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570AEE03-167B-DF4E-8733-B2B30110BE8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T82" i="1"/>
  <c r="BT83"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T97" i="1"/>
  <c r="BF98" i="1"/>
  <c r="BT98" i="1"/>
  <c r="BT99" i="1"/>
  <c r="BF100" i="1"/>
  <c r="BT100" i="1"/>
  <c r="BF101" i="1"/>
  <c r="BT101" i="1"/>
  <c r="BT102" i="1"/>
  <c r="BF103" i="1"/>
  <c r="BT103" i="1"/>
  <c r="BF104" i="1"/>
  <c r="BT104" i="1"/>
  <c r="BF105" i="1"/>
  <c r="BT105" i="1"/>
  <c r="BF106" i="1"/>
  <c r="BT106" i="1"/>
  <c r="BF107" i="1"/>
  <c r="BT107" i="1"/>
  <c r="BF108" i="1"/>
  <c r="BT108" i="1"/>
  <c r="BF109" i="1"/>
  <c r="BT109" i="1"/>
  <c r="BT110" i="1"/>
  <c r="BF111" i="1"/>
  <c r="BT111" i="1"/>
  <c r="BT112" i="1"/>
  <c r="BT113" i="1"/>
  <c r="BT114" i="1"/>
  <c r="BT115" i="1"/>
  <c r="BT116"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T137" i="1"/>
  <c r="BF138" i="1"/>
  <c r="BT138" i="1"/>
  <c r="BF139" i="1"/>
  <c r="BT139" i="1"/>
  <c r="BF140" i="1"/>
  <c r="BT140" i="1"/>
  <c r="BF141" i="1"/>
  <c r="BT141" i="1"/>
  <c r="BF142" i="1"/>
  <c r="BT142" i="1"/>
  <c r="BF143" i="1"/>
  <c r="BT143" i="1"/>
  <c r="BF144" i="1"/>
  <c r="BT144" i="1"/>
  <c r="BF145" i="1"/>
  <c r="BT145" i="1"/>
  <c r="BF146" i="1"/>
  <c r="BT146" i="1"/>
  <c r="BT147" i="1"/>
  <c r="BF148" i="1"/>
  <c r="BT148" i="1"/>
  <c r="BF149" i="1"/>
  <c r="BT149" i="1"/>
  <c r="BT150" i="1"/>
  <c r="BF151" i="1"/>
  <c r="BT151" i="1"/>
  <c r="BF152" i="1"/>
  <c r="BT152" i="1"/>
  <c r="BF153" i="1"/>
  <c r="BT153" i="1"/>
  <c r="BF154" i="1"/>
  <c r="BT154" i="1"/>
  <c r="BF155" i="1"/>
  <c r="BT155" i="1"/>
  <c r="BF156" i="1"/>
  <c r="BT156" i="1"/>
  <c r="BT157" i="1"/>
  <c r="BF158" i="1"/>
  <c r="BT158" i="1"/>
  <c r="BF159" i="1"/>
  <c r="BT159" i="1"/>
  <c r="BF160" i="1"/>
  <c r="BT160" i="1"/>
  <c r="BF161" i="1"/>
  <c r="BT161" i="1"/>
  <c r="BF162" i="1"/>
  <c r="BT162" i="1"/>
  <c r="BF163" i="1"/>
  <c r="BT163" i="1"/>
  <c r="BF164" i="1"/>
  <c r="BT164" i="1"/>
  <c r="BT165" i="1"/>
  <c r="BT166" i="1"/>
  <c r="BF167" i="1"/>
  <c r="BT167" i="1"/>
  <c r="BF168" i="1"/>
  <c r="BT168" i="1"/>
  <c r="BF169" i="1"/>
  <c r="BT169" i="1"/>
  <c r="BF170" i="1"/>
  <c r="BT170" i="1"/>
  <c r="BF171" i="1"/>
  <c r="BT171" i="1"/>
  <c r="BF172" i="1"/>
  <c r="BT172" i="1"/>
  <c r="BT173" i="1"/>
  <c r="BF174" i="1"/>
  <c r="BT174" i="1"/>
  <c r="BF175" i="1"/>
  <c r="BT175" i="1"/>
  <c r="BT176" i="1"/>
  <c r="BT177" i="1"/>
  <c r="BT178" i="1"/>
  <c r="BT179" i="1"/>
  <c r="BT180" i="1"/>
  <c r="BT181" i="1"/>
  <c r="BT182" i="1"/>
  <c r="BT183" i="1"/>
  <c r="BT184" i="1"/>
  <c r="BT185" i="1"/>
  <c r="BT186" i="1"/>
  <c r="BT187" i="1"/>
  <c r="BT188"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T289" i="1"/>
  <c r="BF290" i="1"/>
  <c r="BT290" i="1"/>
  <c r="BF291" i="1"/>
  <c r="BT291" i="1"/>
  <c r="BF292" i="1"/>
  <c r="BT292" i="1"/>
  <c r="BF293" i="1"/>
  <c r="BT293" i="1"/>
  <c r="BF294" i="1"/>
  <c r="BT294" i="1"/>
  <c r="BF295" i="1"/>
  <c r="BT295" i="1"/>
  <c r="BF296" i="1"/>
  <c r="BT296" i="1"/>
  <c r="BF297" i="1"/>
  <c r="BT297" i="1"/>
  <c r="BT298" i="1"/>
  <c r="BT299" i="1"/>
  <c r="BF300" i="1"/>
  <c r="BT300" i="1"/>
  <c r="BF301" i="1"/>
  <c r="BT301" i="1"/>
  <c r="BT302"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T316" i="1"/>
  <c r="BF317" i="1"/>
  <c r="BT317" i="1"/>
  <c r="BF318" i="1"/>
  <c r="BT318" i="1"/>
  <c r="BF319" i="1"/>
  <c r="BT319" i="1"/>
  <c r="BF320" i="1"/>
  <c r="BT320"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T391" i="1"/>
  <c r="BF392" i="1"/>
  <c r="BT392" i="1"/>
  <c r="BF393" i="1"/>
  <c r="BT393" i="1"/>
  <c r="BF394" i="1"/>
  <c r="BT394" i="1"/>
  <c r="BF395" i="1"/>
  <c r="BT395" i="1"/>
  <c r="BF396" i="1"/>
  <c r="BT396" i="1"/>
  <c r="BF397" i="1"/>
  <c r="BT397" i="1"/>
  <c r="BF398" i="1"/>
  <c r="BT398"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T445"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T495"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T509" i="1"/>
  <c r="BT510" i="1"/>
  <c r="BT511"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T528" i="1"/>
  <c r="BF529" i="1"/>
  <c r="BT529" i="1"/>
  <c r="BF530" i="1"/>
  <c r="BT530" i="1"/>
  <c r="BT531" i="1"/>
  <c r="BF532" i="1"/>
  <c r="BT532" i="1"/>
  <c r="BT533" i="1"/>
  <c r="BF534" i="1"/>
  <c r="BT534" i="1"/>
  <c r="BF535" i="1"/>
  <c r="BT535" i="1"/>
  <c r="BF536" i="1"/>
  <c r="BT536" i="1"/>
  <c r="BF537" i="1"/>
  <c r="BT537" i="1"/>
  <c r="BT538" i="1"/>
  <c r="BF539" i="1"/>
  <c r="BT539" i="1"/>
  <c r="BF540" i="1"/>
  <c r="BT540" i="1"/>
  <c r="BT541" i="1"/>
  <c r="BT542" i="1"/>
  <c r="BF543" i="1"/>
  <c r="BT543" i="1"/>
  <c r="BF544" i="1"/>
  <c r="BT544" i="1"/>
  <c r="BF545" i="1"/>
  <c r="BT545" i="1"/>
  <c r="BF546" i="1"/>
  <c r="BT546" i="1"/>
  <c r="BF547" i="1"/>
  <c r="BT547" i="1"/>
  <c r="BF548" i="1"/>
  <c r="BT548" i="1"/>
  <c r="BF549" i="1"/>
  <c r="BT549" i="1"/>
  <c r="BT550" i="1"/>
  <c r="BT551" i="1"/>
  <c r="BT552" i="1"/>
  <c r="BF553" i="1"/>
  <c r="BT553" i="1"/>
  <c r="BF554" i="1"/>
  <c r="BT554" i="1"/>
  <c r="BF555" i="1"/>
  <c r="BT555" i="1"/>
  <c r="BF556" i="1"/>
  <c r="BT556" i="1"/>
  <c r="BT557" i="1"/>
  <c r="BT558" i="1"/>
  <c r="BT559" i="1"/>
  <c r="BT560" i="1"/>
  <c r="BF561" i="1"/>
  <c r="BT561" i="1"/>
  <c r="BF562" i="1"/>
  <c r="BT562" i="1"/>
  <c r="BF563" i="1"/>
  <c r="BT563" i="1"/>
  <c r="BT564" i="1"/>
  <c r="BF565" i="1"/>
  <c r="BT565" i="1"/>
  <c r="BF566" i="1"/>
  <c r="BT566" i="1"/>
  <c r="BT567" i="1"/>
  <c r="BT568" i="1"/>
  <c r="BF569" i="1"/>
  <c r="BT569" i="1"/>
  <c r="BT570" i="1"/>
  <c r="BF571" i="1"/>
  <c r="BT571" i="1"/>
  <c r="BF572" i="1"/>
  <c r="BT572"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<sst xmlns="http://schemas.openxmlformats.org/spreadsheetml/2006/main" count="59720" uniqueCount="19334">
  <si>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</si>
  <si>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</si>
  <si>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</si>
  <si>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</si>
  <si>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</si>
  <si>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</si>
  <si>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</si>
  <si>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</si>
  <si>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</si>
  <si>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</si>
  <si>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</si>
  <si>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</si>
  <si>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</si>
  <si>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</si>
  <si>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</si>
  <si>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</si>
  <si>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</si>
  <si>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</si>
  <si>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</si>
  <si>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</si>
  <si>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</si>
  <si>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</si>
  <si>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</si>
  <si>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</si>
  <si>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</si>
  <si>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</si>
  <si>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</si>
  <si>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</si>
  <si>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</si>
  <si>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</si>
  <si>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</si>
  <si>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</si>
  <si>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</si>
  <si>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</si>
  <si>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</si>
  <si>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</si>
  <si>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</si>
  <si>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</si>
  <si>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</si>
  <si>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</si>
  <si>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</si>
  <si>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</si>
  <si>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</si>
  <si>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</si>
  <si>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</si>
  <si>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</si>
  <si>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</si>
  <si>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</si>
  <si>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</si>
  <si>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</si>
  <si>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</si>
  <si>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</si>
  <si>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</si>
  <si>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</si>
  <si>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</si>
  <si>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</si>
  <si>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</si>
  <si>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</si>
  <si>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</si>
  <si>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</si>
  <si>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</si>
  <si>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</si>
  <si>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</si>
  <si>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</si>
  <si>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</si>
  <si>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</si>
  <si>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</si>
  <si>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</si>
  <si>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</si>
  <si>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</si>
  <si>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</si>
  <si>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</si>
  <si>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</si>
  <si>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Northfield, TD; Laurance, SGW; Mayfield, MM; Paini, DR; Snyder, WE; Stouffer, DB; Wright, JT; Lach, L</t>
  </si>
  <si>
    <t/>
  </si>
  <si>
    <t>Northfield, Tobin D.; Laurance, Susan G. W.; Mayfield, Margaret M.; Paini, Dean R.; Snyder, William E.; Stouffer, Daniel B.; Wright, Jeffrey T.; Lach, Lori</t>
  </si>
  <si>
    <t>Native turncoats and indirect facilitation of species invasions</t>
  </si>
  <si>
    <t>PROCEEDINGS OF THE ROYAL SOCIETY B-BIOLOGICAL SCIENCES</t>
  </si>
  <si>
    <t>English</t>
  </si>
  <si>
    <t>Article</t>
  </si>
  <si>
    <t>biotic resistance; invasion paradox; competition; mutualism; predation; indirect effects</t>
  </si>
  <si>
    <t>BIOLOGICAL INVASIONS; COMMUNITY STRUCTURE; PLANT-COMMUNITIES; TROPHIC CASCADES; COMPETITION; DIVERSITY; COEXISTENCE; RESISTANCE; BIODIVERSITY; SYSTEMS</t>
  </si>
  <si>
    <t>At local scales, native species can resist invasion by feeding on and competing with would-be invasive species. However, this relationship tends to break down or reverse at larger scales. Here, we consider the role of native species as indirect facilitators of invasion and their potential role in this diversity-driven 'invasion paradox'. We coin the term 'native turncoats' to describe native facilitators of non-native species and identify eight ways they may indirectly facilitate species invasion. Some are commonly documented, while others, such as indirect interactions within competitive communities, are largely undocumented in an invasion context. Therefore, we use models to evaluate the likelihood that these competitive interactions influence invasions. We find that native turncoat effects increase with the number of resources and native species. Furthermore, our findings suggest the existence, abundance and effectiveness of native turncoats in a community could greatly influence invasion success at large scales.</t>
  </si>
  <si>
    <t>[Northfield, Tobin D.; Laurance, Susan G. W.; Lach, Lori] James Cook Univ, Coll Sci &amp; Engn, Ctr Trop Environm &amp; Sustainabil Sci, Cairns, Qld, Australia; [Mayfield, Margaret M.] Univ Queensland, Sch Biol Sci, Brisbane, Qld 4072, Australia; [Paini, Dean R.] CSIRO, Black Mt Labs, Acton, ACT 2601, Australia; [Snyder, William E.] Washington State Univ, Dept Entomol, Pullman, WA 99164 USA; [Stouffer, Daniel B.] Univ Canterbury, Sch Biol Sci, Ctr Integrat Ecol, Christchurch 8041, New Zealand; [Wright, Jeffrey T.] Univ Tasmania, Inst Marine &amp; Antarctic Studies, Hobart, Tas, Australia</t>
  </si>
  <si>
    <t>James Cook University; University of Queensland; Commonwealth Scientific &amp; Industrial Research Organisation (CSIRO); Washington State University; University of Canterbury; University of Tasmania</t>
  </si>
  <si>
    <t>Northfield, TD (corresponding author), James Cook Univ, Coll Sci &amp; Engn, Ctr Trop Environm &amp; Sustainabil Sci, Cairns, Qld, Australia.</t>
  </si>
  <si>
    <t>tobin.northfield@jcu.edu.au</t>
  </si>
  <si>
    <t>Paini, Dean R/C-2341-2009; Lach, Lori/B-3145-2011; Mayfield, Margaret M/B-7386-2012; Stouffer, Daniel/C-2223-2008; Laurance, Susan/G-6021-2011; Wright, Jeffrey/J-7536-2014; Northfield, Tobin/I-2323-2013</t>
  </si>
  <si>
    <t>Lach, Lori/0000-0001-5137-5185; Mayfield, Margaret M/0000-0002-5101-6542; Snyder, William/0000-0002-2747-3102; Stouffer, Daniel/0000-0001-9436-9674; Laurance, Susan/0000-0002-2831-2933; Wright, Jeffrey/0000-0002-1085-4582; Northfield, Tobin/0000-0002-0563-485X</t>
  </si>
  <si>
    <t>James Cook University mid career researcher grant</t>
  </si>
  <si>
    <t>Financial support was provided by a James Cook University mid career researcher grant to L.L.</t>
  </si>
  <si>
    <t>ROYAL SOC</t>
  </si>
  <si>
    <t>LONDON</t>
  </si>
  <si>
    <t>6-9 CARLTON HOUSE TERRACE, LONDON SW1Y 5AG, ENGLAND</t>
  </si>
  <si>
    <t>0962-8452</t>
  </si>
  <si>
    <t>1471-2954</t>
  </si>
  <si>
    <t>P ROY SOC B-BIOL SCI</t>
  </si>
  <si>
    <t>Proc. R. Soc. B-Biol. Sci.</t>
  </si>
  <si>
    <t>JAN 31</t>
  </si>
  <si>
    <t>10.1098/rspb.2017.1936</t>
  </si>
  <si>
    <t>Biology; Ecology; Evolutionary Biology</t>
  </si>
  <si>
    <t>Science Citation Index Expanded (SCI-EXPANDED)</t>
  </si>
  <si>
    <t>Life Sciences &amp; Biomedicine - Other Topics; Environmental Sciences &amp; Ecology; Evolutionary Biology</t>
  </si>
  <si>
    <t>FU3TN</t>
  </si>
  <si>
    <t>Green Published, Bronze</t>
  </si>
  <si>
    <t>2024-04-21</t>
  </si>
  <si>
    <t>WOS:000423774700005</t>
  </si>
  <si>
    <t>Klein, ES; Hill, SL; Hinke, JT; Phillips, T; Watters, GM</t>
  </si>
  <si>
    <t>Klein, Emily S.; Hill, Simeon L.; Hinke, Jefferson T.; Phillips, Tony; Watters, George M.</t>
  </si>
  <si>
    <t>Impacts of rising sea temperature on krill increase risks for predators in the Scotia Sea</t>
  </si>
  <si>
    <t>PLOS ONE</t>
  </si>
  <si>
    <t>CLIMATE-CHANGE; CONCEPTUAL-MODEL; MARINE FISH; ECOSYSTEM; MANAGEMENT; FISHERIES; DYNAMICS; SCALE; IMPLEMENTATION; POPULATIONS</t>
  </si>
  <si>
    <t>Climate change is a threat to marine ecosystems and the services they provide, and reducing fishing pressure is one option for mitigating the overall consequences for marine biota. We used a minimally realistic ecosystem model to examine how projected effects of ocean warming on the growth of Antarctic krill, Euphausia superba, might affect populations of krill and dependent predators (whales, penguins, seals, and fish) in the Scotia Sea. We also investigated the potential to mitigate depletion risk for predators by curtailing krill fishing at different points in the 21st century. The projected effects of ocean warming on krill biomass were strongest in the northern Scotia Sea, with a &gt;= 40% decline in the mass of individual krill. Projections also suggest a 25% chance that krill biomass will fall below an established depletion threshold (75% of its unimpacted level), with consequent risks for some predator populations, especially penguins. Average penguin abundance declined by up to 30% of its unimpacted level, with up to a 50% chance of falling below the depletion threshold. Simulated krill fishing at currently permitted harvest rates further increased risks for depletion, and stopping fishing offset the increased risks associated with ocean warming in our model to some extent. These results varied by location and species group. Risk reductions at smaller spatial scales also differed from those at the regional level, which suggests that some predator populations may be more vulnerable than others to future changes in krill biomass. However, impacts on predators did not always map directly to those for krill. Our findings indicate the importance of identifying vulnerable marine populations and targeting protection measures at appropriate spatial scales, and the potential for spatially-structured management to avoid aggravating risks associated with rising ocean temperatures. This may help balance tradeoffs among marine ecosystem services in an uncertain future.</t>
  </si>
  <si>
    <t>[Klein, Emily S.; Hinke, Jefferson T.; Watters, George M.] Natl Marine Fisheries Serv, NOAA, Southwest Fisheries Sci Ctr, Antarctic Ecosyst Res Div, La Jolla, CA 92038 USA; [Klein, Emily S.] Farallon Inst, Petaluma, CA 94952 USA; [Hill, Simeon L.; Phillips, Tony] British Antarctic Survey, Nat Environm Res Council, Cambridge, England</t>
  </si>
  <si>
    <t>National Oceanic Atmospheric Admin (NOAA) - USA; UK Research &amp; Innovation (UKRI); Natural Environment Research Council (NERC); NERC British Antarctic Survey</t>
  </si>
  <si>
    <t>Klein, ES (corresponding author), Natl Marine Fisheries Serv, NOAA, Southwest Fisheries Sci Ctr, Antarctic Ecosyst Res Div, La Jolla, CA 92038 USA.;Klein, ES (corresponding author), Farallon Inst, Petaluma, CA 94952 USA.</t>
  </si>
  <si>
    <t>emily.klein04@gmail.com</t>
  </si>
  <si>
    <t>, Jefferson/AAG-1702-2021; Simeon, Hill L/B-2307-2008; Watters, George/HPE-2184-2023</t>
  </si>
  <si>
    <t>, Jefferson/0000-0002-3600-1414; Watters, George/0000-0002-6989-1273; Klein, Emily S./0000-0001-9514-7344</t>
  </si>
  <si>
    <t>Pew Charitable Trusts [29068]; NERC [bas0100035] Funding Source: UKRI</t>
  </si>
  <si>
    <t>Pew Charitable Trusts; NERC(UK Research &amp; Innovation (UKRI)Natural Environment Research Council (NERC))</t>
  </si>
  <si>
    <t>This work was supported by funding from the Pew Charitable Trusts, contract ID #29068. This funder had no role in study design, data collection and analysis, or preparation of the manuscript, Publication under peer review was a requirement of this funding source, although the funder had no say in where this manuscript would be submitted.</t>
  </si>
  <si>
    <t>PUBLIC LIBRARY SCIENCE</t>
  </si>
  <si>
    <t>SAN FRANCISCO</t>
  </si>
  <si>
    <t>1160 BATTERY STREET, STE 100, SAN FRANCISCO, CA 94111 USA</t>
  </si>
  <si>
    <t>1932-6203</t>
  </si>
  <si>
    <t>PLoS One</t>
  </si>
  <si>
    <t>e0191011</t>
  </si>
  <si>
    <t>10.1371/journal.pone.0191011</t>
  </si>
  <si>
    <t>Multidisciplinary Sciences</t>
  </si>
  <si>
    <t>Science &amp; Technology - Other Topics</t>
  </si>
  <si>
    <t>FU2GT</t>
  </si>
  <si>
    <t>Green Published, gold, Green Submitted, Green Accepted</t>
  </si>
  <si>
    <t>WOS:000423668400032</t>
  </si>
  <si>
    <t>Feng, YY; Roleda, MY; Armstrong, E; Law, CS; Boyd, PW; Hurd, CL</t>
  </si>
  <si>
    <t>Feng, Yuanyuan; Roleda, Michael Y.; Armstrong, Evelyn; Law, Cliff S.; Boyd, Philip W.; Hurd, Catriona L.</t>
  </si>
  <si>
    <t>Environmental controls on the elemental composition of a Southern Hemisphere strain of the coccolithophore Emiliania huxleyi</t>
  </si>
  <si>
    <t>BIOGEOSCIENCES</t>
  </si>
  <si>
    <t>MARINE-PHYTOPLANKTON; CO2 CONCENTRATION; CARBON ACQUISITION; CHANGING WORLD; CLIMATE-CHANGE; CHLOROPHYLL-A; PIC/POC RATIO; TEMPERATURE; CALCIFICATION; GROWTH</t>
  </si>
  <si>
    <t>A series of semi-continuous incubation experiments were conducted with the coccolithophore Emiliania huxleyi strain NIWA1108 (Southern Ocean isolate) to examine the effects of five environmental drivers (nitrate and phosphate concentrations, irradiance, temperature, and partial pressure of CO2 (pCO(2))) on both the physiological rates and elemental composition of the coccolithophore. Here, we report the alteration of the elemental composition of E. huxleyi in response to the changes in these environmental drivers. A series of dose-response curves for the cellular elemental composition of E. huxleyi were fitted for each of the five drivers across an environmentally representative gradient. The importance of each driver in regulating the elemental composition of E. huxleyi was ranked using a semi-quantitative approach. The percentage variations in elemental composition arising from the change in each driver between present-day and model-projected conditions for the year 2100 were calculated. Temperature was the most important driver controlling both cellular particulate organic and inorganic carbon content, whereas nutrient concentrations were the most important regulator of cellular particulate nitrogen and phosphorus of E. huxleyi. In contrast, elevated pCO(2) had the greatest influence on cellular particulate inorganic carbon to organic carbon ratio, resulting in a decrease in the ratio. Our results indicate that the different environ-mental drivers play specific roles in regulating the elemental composition of E. huxleyi with wide-reaching implications for coccolithophore-related marine biogeochemical cycles, as a consequence of the regulation of E. huxleyi physiological processes.</t>
  </si>
  <si>
    <t>[Feng, Yuanyuan] Tianjin Univ Sci &amp; Technol, Coll Marine &amp; Environm Sci, Tianjin 300457, Peoples R China; [Feng, Yuanyuan; Roleda, Michael Y.; Hurd, Catriona L.] Univ Otago, Dept Bot, POB 56, Dunedin 9054, New Zealand; [Feng, Yuanyuan] Tianjin Key Lab Marine Resources &amp; Chem, Tianjin 300457, Peoples R China; [Feng, Yuanyuan] Tianjin Marine Environm Protect &amp; Restorat Techno, Tianjin 300457, Peoples R China; [Roleda, Michael Y.] Norwegian Inst Bioecon Res, N-8027 Bodo, Norway; [Armstrong, Evelyn; Law, Cliff S.] Univ Otago, Dept Chem, POB 56, Dunedin 9054, New Zealand; [Law, Cliff S.] Natl Inst Water &amp; Atmospher Res NIWA, Greta Point, Wellington 6023, New Zealand; [Boyd, Philip W.; Hurd, Catriona L.] Univ Tasmania, Inst Marine &amp; Antarctic Studies, Hobart, Tas 7005, Australia</t>
  </si>
  <si>
    <t>Tianjin University Science &amp; Technology; University of Otago; Norwegian Institute of Bioeconomy Research; University of Otago; National Institute of Water &amp; Atmospheric Research (NIWA) - New Zealand; University of Tasmania</t>
  </si>
  <si>
    <t>Feng, YY (corresponding author), Tianjin Univ Sci &amp; Technol, Coll Marine &amp; Environm Sci, Tianjin 300457, Peoples R China.;Feng, YY (corresponding author), Univ Otago, Dept Bot, POB 56, Dunedin 9054, New Zealand.;Feng, YY (corresponding author), Tianjin Key Lab Marine Resources &amp; Chem, Tianjin 300457, Peoples R China.;Feng, YY (corresponding author), Tianjin Marine Environm Protect &amp; Restorat Techno, Tianjin 300457, Peoples R China.</t>
  </si>
  <si>
    <t>yfeng@tust.edu.cn</t>
  </si>
  <si>
    <t>Roleda, Michael Y./H-9645-2019; Feng, Yuanyuan/K-5983-2012; Hurd, Catriona/J-2411-2013; Boyd, Philip/J-7624-2014</t>
  </si>
  <si>
    <t>Roleda, Michael Y./0000-0003-0568-9081; Feng, Yuanyuan/0000-0002-4565-8717; Hurd, Catriona/0000-0001-9965-4917; Law, Cliff/0000-0002-7669-2475; Boyd, Philip/0000-0001-7850-1911</t>
  </si>
  <si>
    <t>New Zealand Marsden [09-UOO-175]; National Natural Science Foundation of China [41306118, 41676160]</t>
  </si>
  <si>
    <t>New Zealand Marsden(Royal Society of New ZealandMarsden Fund (NZ)); National Natural Science Foundation of China(National Natural Science Foundation of China (NSFC))</t>
  </si>
  <si>
    <t>We would like to thank Hoe Chang at National Institute of Water and Atmospheric Research Ltd (NIWA) Wellington for providing the stock culture of Emiliania huxleyi NIWA1108. We also thank Kim Currie at NIWA, Department of Chemistry, University of Otago, for helping with the DIC and alkalinity analysis and Graham Rickard for generating the future estimates of environmental variables for New Zealand waters from the CMIP5 models. This work was supported by a New Zealand Marsden grant (09-UOO-175) to Catriona L. Hurd and National Natural Science Foundation of China grants (no. 41306118 and no. 41676160) to Yuanyuan Feng.</t>
  </si>
  <si>
    <t>COPERNICUS GESELLSCHAFT MBH</t>
  </si>
  <si>
    <t>GOTTINGEN</t>
  </si>
  <si>
    <t>BAHNHOFSALLEE 1E, GOTTINGEN, 37081, GERMANY</t>
  </si>
  <si>
    <t>1726-4170</t>
  </si>
  <si>
    <t>1726-4189</t>
  </si>
  <si>
    <t>Biogeosciences</t>
  </si>
  <si>
    <t>JAN 30</t>
  </si>
  <si>
    <t>10.5194/bg-15-581-2018</t>
  </si>
  <si>
    <t>Ecology; Geosciences, Multidisciplinary</t>
  </si>
  <si>
    <t>Environmental Sciences &amp; Ecology; Geology</t>
  </si>
  <si>
    <t>FU3BR</t>
  </si>
  <si>
    <t>gold</t>
  </si>
  <si>
    <t>WOS:000423725000001</t>
  </si>
  <si>
    <t>Morgenstern, O; Stone, KA; Schofield, R; Akiyoshi, H; Yamashita, Y; Kinnison, DE; Garcia, RR; Sudo, K; Plummer, DA; Scinocca, J; Oman, LD; Manyin, ME; Zeng, G; Rozanov, E; Stenke, A; Revell, LE; Pitari, G; Mancini, E; Di Genova, G; Visioni, D; Dhomse, SS; Chipperfield, MP</t>
  </si>
  <si>
    <t>Morgenstern, Olaf; Stone, Kane A.; Schofield, Robyn; Akiyoshi, Hideharu; Yamashita, Yousuke; Kinnison, Douglas E.; Garcia, Rolando R.; Sudo, Kengo; Plummer, David A.; Scinocca, John; Oman, Luke D.; Manyin, Michael E.; Zeng, Guang; Rozanov, Eugene; Stenke, Andrea; Revell, Laura E.; Pitari, Giovanni; Mancini, Eva; Di Genova, Glauco; Visioni, Daniele; Dhomse, Sandip S.; Chipperfield, Martyn P.</t>
  </si>
  <si>
    <t>Ozone sensitivity to varying greenhouse gases and ozone-depleting substances in CCMI-1 simulations</t>
  </si>
  <si>
    <t>ATMOSPHERIC CHEMISTRY AND PHYSICS</t>
  </si>
  <si>
    <t>CHEMISTRY-CLIMATE MODEL; STRATOSPHERIC OZONE; TROPOSPHERIC OZONE; NITROUS-OXIDE; ATMOSPHERIC CHEMISTRY; METHANE; IMPACT; 21ST-CENTURY; PREINDUSTRIAL; PHOTOLYSIS</t>
  </si>
  <si>
    <t>Ozone fields simulated for the first phase of the Chemistry-Climate Model Initiative (CCMI-1) will be used as forcing data in the 6th Coupled Model Intercomparison Project. Here we assess, using reference and sensitivity simulations produced for CCMI-1, the suitability of CCMI-1 model results for this process, investigating the degree of consistency amongst models regarding their responses to variations in individual forcings. We consider the influences of methane, nitrous oxide, a combination of chlorinated or brominated ozone-depleting substances, and a combination of carbon dioxide and other greenhouse gases. We find varying degrees of consistency in the models' responses in ozone to these individual forcings, including some considerable dis-agreement. In particular, the response of total-column ozone to these forcings is less consistent across the multi-model ensemble than profile comparisons. We analyse how stratospheric age of air, a commonly used diagnostic of stratospheric transport, responds to the forcings. For this diagnostic we find some salient differences in model behaviour, which may explain some of the findings for ozone. The findings imply that the ozone fields derived from CCMI-1 are subject to considerable uncertainties regarding the impacts of these anthropogenic forcings. We offer some thoughts on how to best approach the problem of generating a consensus ozone database from a multi-model ensemble such as CCMI-1.</t>
  </si>
  <si>
    <t>[Morgenstern, Olaf; Zeng, Guang] Natl Inst Water &amp; Atmospher Res NIWA, Wellington, New Zealand; [Stone, Kane A.; Schofield, Robyn] Univ Melbourne, Sch Earth Sci, Melbourne, Vic, Australia; [Stone, Kane A.; Schofield, Robyn] Univ New South Wales, ARC Ctr Excellence Climate Syst Sci, Sydney, NSW, Australia; [Akiyoshi, Hideharu; Yamashita, Yousuke] NIES, Tsukuba, Ibaraki, Japan; [Kinnison, Douglas E.; Garcia, Rolando R.] Natl Ctr Atmospher Res, POB 3000, Boulder, CO 80307 USA; [Sudo, Kengo] Nagoya Univ, Grad Sch Environm Studies, Nagoya, Aichi, Japan; [Plummer, David A.] Environm &amp; Climate Change Canada, Montreal, PQ, Canada; [Scinocca, John] Univ Victoria, CCCMA, Victoria, BC, Canada; [Oman, Luke D.; Manyin, Michael E.] NASA, Goddard Space Flight Ctr, Greenbelt, MD USA; [Manyin, Michael E.] Sci Syst &amp; Applicat Inc, Lanham, MD USA; [Rozanov, Eugene] World Radiat Ctr, Phys Meteorol Observ Davos, Davos, Switzerland; [Rozanov, Eugene; Stenke, Andrea; Revell, Laura E.] ETH, Inst Atmospher &amp; Climate Sci, Zurich, Switzerland; [Revell, Laura E.] Bodeker Sci, Christchurch, New Zealand; [Pitari, Giovanni; Mancini, Eva; Visioni, Daniele] Univ Aquila, Dipartimento Sci Fis &amp; Chim, Laquila, Italy; [Mancini, Eva; Di Genova, Glauco; Visioni, Daniele] Univ Aquila, CETEMPS, Laquila, Italy; [Dhomse, Sandip S.; Chipperfield, Martyn P.] Univ Leeds, Sch Earth &amp; Environm, Leeds, W Yorkshire, England; [Stone, Kane A.] MIT, 77 Massachusetts Ave, Cambridge, MA 02139 USA; [Yamashita, Yousuke] Japan Agcy Marine Earth Sci &amp; Technol JAMSTE, Yokohama, Kanagawa, Japan</t>
  </si>
  <si>
    <t>National Institute of Water &amp; Atmospheric Research (NIWA) - New Zealand; University of Melbourne; Melbourne Bioinformatics; ARC Centre of Excellence for Climate System Science; University of New South Wales Sydney; National Institute for Environmental Studies - Japan; National Center Atmospheric Research (NCAR) - USA; Nagoya University; Environment &amp; Climate Change Canada; University of Victoria; National Aeronautics &amp; Space Administration (NASA); NASA Goddard Space Flight Center; Science Systems and Applications Inc; Swiss Federal Institutes of Technology Domain; ETH Zurich; University of L'Aquila; University of L'Aquila; University of Leeds; Massachusetts Institute of Technology (MIT)</t>
  </si>
  <si>
    <t>Morgenstern, O (corresponding author), Natl Inst Water &amp; Atmospher Res NIWA, Wellington, New Zealand.</t>
  </si>
  <si>
    <t>olaf.morgenstern@niwa.co.nz</t>
  </si>
  <si>
    <t>Sudo, Kengo/I-6394-2014; Schofield, Robyn/A-4062-2010; Stenke, Andrea/GYJ-6299-2022; Yamashita, Yousuke/AAB-4754-2019; Dhomse, Sandip/C-8198-2011; Pitari, Giovanni/O-7458-2016; Garcia-Herrera, Ricardo/ABE-4731-2020; Oman, Luke D/C-2778-2009; Akiyoshi, Hideharu/H-8170-2018; Revell, Laura/ABG-7040-2020; Chipperfield, Martyn/H-6359-2013; Visioni, Daniele/O-7824-2016; Rozanov, Eugene/V-1881-2018</t>
  </si>
  <si>
    <t>Sudo, Kengo/0000-0002-5013-4168; Schofield, Robyn/0000-0002-4230-717X; Yamashita, Yousuke/0000-0002-6813-4668; Dhomse, Sandip/0000-0003-3854-5383; Revell, Laura/0000-0002-8974-7703; Chipperfield, Martyn/0000-0002-6803-4149; Visioni, Daniele/0000-0002-7342-2189; Rozanov, Eugene/0000-0003-0479-4488; Plummer, David/0000-0001-8087-3976; Zeng, Guang/0000-0002-9356-5021; Akiyoshi, Hideharu/0000-0001-6463-9004; Morgenstern, Olaf/0000-0002-9967-9740; Stenke, Andrea/0000-0002-5916-4013</t>
  </si>
  <si>
    <t>NZ Government's Strategic Science Investment Fund (SSIF) through the NIWA programme CACV; New Zealand Royal Society Marsden Fund [12-NIW-006]; Deep South National Science Challenge; NeSI's collaborator institutions; Ministry of Business, Innovation &amp; Employment's Research Infrastructure programme; Australian Research Council's Centre of Excellence for Climate System Science [CE110001028]; Australian Government's National Computational Merit Allocation Scheme [q90]; Australian Antarctic science grant program [FoRCES 4012]; National Science Foundation (NSF); National Science Foundation; Swiss National Science Foundation [CRSII2_147659]; Environment Research and Technology Development Fund of the Ministry of the Environment, Japan [2-1303, 2-1709]; NERC [NE/R001782/1] Funding Source: UKRI; Swiss National Science Foundation (SNF) [CRSII2_147659] Funding Source: Swiss National Science Foundation (SNF); Grants-in-Aid for Scientific Research [16K16186, 16H01183] Funding Source: KAKEN</t>
  </si>
  <si>
    <t>NZ Government's Strategic Science Investment Fund (SSIF) through the NIWA programme CACV; New Zealand Royal Society Marsden Fund(Royal Society of New ZealandMarsden Fund (NZ)); Deep South National Science Challenge; NeSI's collaborator institutions; Ministry of Business, Innovation &amp; Employment's Research Infrastructure programme(New Zealand Ministry of Business, Innovation and Employment (MBIE)); Australian Research Council's Centre of Excellence for Climate System Science(Australian Research Council); Australian Government's National Computational Merit Allocation Scheme(Australian Government); Australian Antarctic science grant program; National Science Foundation (NSF)(National Science Foundation (NSF)); National Science Foundation(National Science Foundation (NSF)); Swiss National Science Foundation(Swiss National Science Foundation (SNSF)); Environment Research and Technology Development Fund of the Ministry of the Environment, Japan(Ministry of the Environment, Japan); NERC(UK Research &amp; Innovation (UKRI)Natural Environment Research Council (NERC)); Swiss National Science Foundation (SNF)(Swiss National Science Foundation (SNSF)); Grants-in-Aid for Scientific Research(Ministry of Education, Culture, Sports, Science and Technology, Japan (MEXT)Japan Society for the Promotion of ScienceGrants-in-Aid for Scientific Research (KAKENHI))</t>
  </si>
  <si>
    <t>We thank the Centre for Environmental Data Analysis (CEDA) for hosting the CCMI-1 data archive. We acknowledge the modelling groups for making their simulations available for this analysis, and the joint WCRP SPARC/IGAC Chemistry-Climate Model Initiative (CCMI) for organizing and coordinating this model data analysis activity. We acknowledge the UK Met Office for use of the MetUM. This research was supported by the NZ Government's Strategic Science Investment Fund (SSIF) through the NIWA programme CACV. Olaf Morgen-stern acknowledges funding by the New Zealand Royal Society Marsden Fund (grant 12-NIW-006) and by the Deep South National Science Challenge (http://www.deepsouthchallenge.co.nz). The authors wish to acknowledge the contribution of NeSI high-performance computing facilities to the results of this research. New Zealand's national facilities are provided by the New Zealand eScience Infrastructure (NeSI) and funded jointly by NeSI's collaborator institutions and through the Ministry of Business, Innovation &amp; Employment's Research Infrastructure programme (https://www.nesi.org.nz). ACCESS-CCM runs were supported by Australian Research Council's Centre of Excellence for Climate System Science (CE110001028), the Australian Government's National Computational Merit Allocation Scheme (q90) and Australian Antarctic science grant program (FoRCES 4012). WACCM is a component of NCAR's Community Earth System Model (CESM), which is supported by the National Science Foundation (NSF). Computing resources (ark:/85065/d7wd3xhc) were provided by the Climate Simulation Laboratory at NCAR's Computational and Information Systems Laboratory, sponsored by the National Science Foundation and other agencies. The SOCOL team acknowledges support from the Swiss National Science Foundation under grant agreement CRSII2_147659 (FUPSOL II). CCSRNIES's research was supported by the Environment Research and Technology Development Fund (2-1303 and 2-1709) of the Ministry of the Environment, Japan, and computations were performed on NEC-SX9/A(ECO) and NEC SX-ACE computers at the CGER, NIES.</t>
  </si>
  <si>
    <t>1680-7316</t>
  </si>
  <si>
    <t>1680-7324</t>
  </si>
  <si>
    <t>ATMOS CHEM PHYS</t>
  </si>
  <si>
    <t>Atmos. Chem. Phys.</t>
  </si>
  <si>
    <t>JAN 29</t>
  </si>
  <si>
    <t>10.5194/acp-18-1091-2018</t>
  </si>
  <si>
    <t>Environmental Sciences; Meteorology &amp; Atmospheric Sciences</t>
  </si>
  <si>
    <t>Environmental Sciences &amp; Ecology; Meteorology &amp; Atmospheric Sciences</t>
  </si>
  <si>
    <t>FT9XP</t>
  </si>
  <si>
    <t>Green Submitted, gold, Green Published</t>
  </si>
  <si>
    <t>WOS:000423506100001</t>
  </si>
  <si>
    <t>Irrgang, C; Saynisch-Wagner, J; Thomas, M</t>
  </si>
  <si>
    <t>Irrgang, Christopher; Saynisch-Wagner, Jan; Thomas, Maik</t>
  </si>
  <si>
    <t>Depth of origin of ocean-circulation-induced magnetic signals</t>
  </si>
  <si>
    <t>ANNALES GEOPHYSICAE</t>
  </si>
  <si>
    <t>Electromagnetics; numerical methods; geomagnetism and paleomagnetism; geomagnetic induction; history of geophysics; transport</t>
  </si>
  <si>
    <t>ANTARCTIC CIRCUMPOLAR CURRENT; ELECTROMAGNETIC INDUCTION; MOTIONAL INDUCTION; DRAKE PASSAGE; FIELDS; SATELLITE; MODEL; CONDUCTIVITY; ASSIMILATION; VARIABILITY</t>
  </si>
  <si>
    <t>As the world ocean moves through the ambient geomagnetic core field, electric currents are generated in the entire ocean basin. These oceanic electric currents induce weak magnetic signals that are principally observable outside of the ocean and allow inferences about large-scale oceanic transports of water, heat, and salinity. The ocean-induced magnetic field is an integral quantity and, to first order, it is proportional to depth-integrated and conductivity-weighted ocean currents. However, the specific contribution of oceanic transports at different depths to the motional induction process remains unclear and is examined in this study. We show that large-scale motional induction due to the general ocean circulation is dominantly generated by ocean currents in the upper 2000m of the ocean basin. In particular, our findings allow relating regional patterns of the oceanic magnetic field to corresponding oceanic transports at different depths. Ocean currents below 3000 m, in contrast, only contribute a small fraction to the ocean-induced magnetic signal strength with values up to 0.2 nT at sea surface and less than 0.1 nT at the Swarm satellite altitude. Thereby, potential satellite observations of ocean-circulation-induced magnetic signals are found to be likely insensitive to deep ocean currents. Furthermore, it is shown that annual temporal variations of the ocean-induced magnetic field in the region of the Antarctic Circumpolar Current contain information about sub-surface ocean currents below 1000m with intra-annual periods. Specifically, ocean currents with sub-monthly periods dominate the annual temporal variability of the oceaninduced magnetic field.</t>
  </si>
  <si>
    <t>[Irrgang, Christopher; Saynisch-Wagner, Jan; Thomas, Maik] GFZ German Res Ctr Geosci, Helmholtz Ctr Potsdam, Sect 1 3, Earth Syst Modelling, Potsdam, Germany; [Thomas, Maik] Free Univ Berlin, Inst Meteorol, Berlin, Germany</t>
  </si>
  <si>
    <t>Helmholtz Association; Helmholtz-Center Potsdam GFZ German Research Center for Geosciences; Free University of Berlin</t>
  </si>
  <si>
    <t>Irrgang, C (corresponding author), GFZ German Res Ctr Geosci, Helmholtz Ctr Potsdam, Sect 1 3, Earth Syst Modelling, Potsdam, Germany.</t>
  </si>
  <si>
    <t>irrgang@gfz-potsdam.de</t>
  </si>
  <si>
    <t>Saynisch-Wagner, Jan/JVM-7971-2024</t>
  </si>
  <si>
    <t>Saynisch-Wagner, Jan/0000-0001-9619-0336; Irrgang, Christopher/0000-0001-8274-1678</t>
  </si>
  <si>
    <t>German Research Foundation [1788]; Helmholtz Association of German Research Centres</t>
  </si>
  <si>
    <t>German Research Foundation(German Research Foundation (DFG)); Helmholtz Association of German Research Centres(Helmholtz Association)</t>
  </si>
  <si>
    <t>We thank the editor, Jurgen Kusche, and the two anonymous reviewers for their time and helpful remarks, which helped to improve this paper. This study is funded by the German Research Foundation's priority programme 1788 Dynamic Earth and by the Helmholtz Association of German Research Centres. We thank Alexey Kuvshinov for sharing his EM induction model, as well as his expertise on the topic. We also thank the European Centre for Medium-Range Weather Forecasts for providing the atmospheric reanalysis that was used as forcing for the OMCT. Numerical simulations of the OMCT were performed on the Mistral super computer from the German High Performance Computing Centre for Climate and Earth System Research (DKRZ) in Hamburg.</t>
  </si>
  <si>
    <t>0992-7689</t>
  </si>
  <si>
    <t>1432-0576</t>
  </si>
  <si>
    <t>ANN GEOPHYS-GERMANY</t>
  </si>
  <si>
    <t>Ann. Geophys.</t>
  </si>
  <si>
    <t>10.5194/angeo-36-167-2018</t>
  </si>
  <si>
    <t>Astronomy &amp; Astrophysics; Geosciences, Multidisciplinary; Meteorology &amp; Atmospheric Sciences</t>
  </si>
  <si>
    <t>Astronomy &amp; Astrophysics; Geology; Meteorology &amp; Atmospheric Sciences</t>
  </si>
  <si>
    <t>FU4DY</t>
  </si>
  <si>
    <t>gold, Green Submitted</t>
  </si>
  <si>
    <t>WOS:000423804900002</t>
  </si>
  <si>
    <t>Roach, LA; Dean, SM; Renwick, JA</t>
  </si>
  <si>
    <t>Roach, Lettie A.; Dean, Samuel M.; Renwick, James A.</t>
  </si>
  <si>
    <t>Consistent biases in Antarctic sea ice concentration simulated by climate models</t>
  </si>
  <si>
    <t>CRYOSPHERE</t>
  </si>
  <si>
    <t>FLOE-SIZE DISTRIBUTION; PASSIVE MICROWAVE OBSERVATIONS; COUPLED MODEL; GENERAL-CIRCULATION; CMIP5; ALGORITHMS; RETRIEVAL; EXTENT; THERMODYNAMICS; VARIABILITY</t>
  </si>
  <si>
    <t>The simulation of Antarctic sea ice in global climate models often does not agree with observations. In this study, we examine the compactness of sea ice, as well as the regional distribution of sea ice concentration, in climate models from the latest Coupled Model Intercomparison Project (CMIP5) and in satellite observations. We find substantial differences in concentration values between different sets of satellite observations, particularly at high concentrations, requiring careful treatment when comparing to models. As a fraction of total sea ice extent, models simulate too much loose, low-concentration sea ice cover throughout the year, and too little compact, high-concentration cover in the summer. In spite of the differences in physics between models, these tendencies are broadly consistent across the population of 40 CMIP5 simulations, a result not previously highlighted. Separating models with and without an explicit lateral melt term, we find that inclusion of lateral melt may account for overestimation of low-concentration cover. Targeted model experiments with a coupled ocean-sea ice model show that choice of constant floe diameter in the lateral melt scheme can also impact representation of loose ice. This suggests that current sea ice thermodynamics contribute to the inadequate simulation of the low-concentration regime in many models.</t>
  </si>
  <si>
    <t>[Roach, Lettie A.; Dean, Samuel M.] Natl Inst Water &amp; Atmospher Res, 301 Evans Bay Parade, Wellington 6021, New Zealand; [Roach, Lettie A.; Renwick, James A.] Victoria Univ Wellington, Sch Geog Environm &amp; Earth Sci, Wellington 6021, New Zealand</t>
  </si>
  <si>
    <t>National Institute of Water &amp; Atmospheric Research (NIWA) - New Zealand; Victoria University Wellington</t>
  </si>
  <si>
    <t>Roach, LA (corresponding author), Natl Inst Water &amp; Atmospher Res, 301 Evans Bay Parade, Wellington 6021, New Zealand.;Roach, LA (corresponding author), Victoria Univ Wellington, Sch Geog Environm &amp; Earth Sci, Wellington 6021, New Zealand.</t>
  </si>
  <si>
    <t>lettie.roach@niwa.co.nz</t>
  </si>
  <si>
    <t>Roach, Lettie/HKV-2511-2023; Dean, Samuel/F-7711-2011</t>
  </si>
  <si>
    <t>Roach, Lettie/0000-0003-4189-3928; Dean, Samuel/0000-0001-6338-4601</t>
  </si>
  <si>
    <t>Marsden contract [VUW-1408]</t>
  </si>
  <si>
    <t>Marsden contract(Royal Society of New ZealandMarsden Fund (NZ))</t>
  </si>
  <si>
    <t>The authors wish to thank Erik Behrens and Jonny Williams for assistance setting up and running the coupled ocean-sea ice model, Stephen Stuart for assistance with CMIP5 output acquisition, and Cecilia Bitz for helpful discussions in the early stages of this work. We are grateful to the reviewers, whose comments significantly improved the manuscript. This research was funded via Marsden contract VUW-1408. We acknowledge the World Climate Research Programme's Working Group on Coupled Modelling, which is responsible for CMIP, and we thank the climate modelling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</si>
  <si>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1994-0416</t>
  </si>
  <si>
    <t>1994-0424</t>
  </si>
  <si>
    <t>Cryosphere</t>
  </si>
  <si>
    <t>10.5194/tc-12-365-2018</t>
  </si>
  <si>
    <t>Geography, Physical; Geosciences, Multidisciplinary</t>
  </si>
  <si>
    <t>Physical Geography; Geology</t>
  </si>
  <si>
    <t>FU4HH</t>
  </si>
  <si>
    <t>Green Submitted, gold</t>
  </si>
  <si>
    <t>WOS:000423813600001</t>
  </si>
  <si>
    <t>Curtis, CJ; Kaiser, J; Marca, A; Anderson, NJ; Simpson, G; Jones, V; Whiteford, E</t>
  </si>
  <si>
    <t>Curtis, Chris J.; Kaiser, Jan; Marca, Alina; Anderson, N. John; Simpson, Gavin; Jones, Vivienne; Whiteford, Erika</t>
  </si>
  <si>
    <t>Spatial variations in snowpack chemistry, isotopic composition of NO3- and nitrogen deposition from the ice sheet margin to the coast of western Greenland</t>
  </si>
  <si>
    <t>ATMOSPHERIC NITRATE DEPOSITION; EAST ANTARCTIC PLATEAU; FIRN CONCENTRATIONS; REACTIVE NITROGEN; N-15/N-14 RATIOS; 1ST MEASUREMENTS; STABLE-ISOTOPES; ROCKY-MOUNTAINS; LAKE-SEDIMENTS; SURFACE SNOW</t>
  </si>
  <si>
    <t>The relative roles of anthropogenic nitrogen (N) deposition and climate change in causing ecological change in remote Arctic ecosystems, especially lakes, have been the subject of debate over the last decade. Some palaeoecological studies have cited isotopic signals (delta N-15)) preserved in lake sediments as evidence linking N deposition with ecological change, but a key limitation has been the lack of co-located data on both deposition input fluxes and isotopic composition of deposited nitrate (NO3-). In Arctic lakes, including those in western Greenland, previous palaeolimnological studies have indicated a spatial variation in delta(N-15) trends in lake sediments but data are lacking for deposition chemistry, input fluxes and stable isotope composition of NO3-. In the present study, snowpack chemistry, NO3- stable isotopes and net deposition fluxes for the largest ice-free region in Greenland were investigated to determine whether there are spatial gradients from the ice sheet margin to the coast linked to a gradient in precipitation. Late-season snowpack was sampled in March 2011 at eight locations within three lake catchments in each of three regions (ice sheet margin in the east, the central area near Kelly Ville and the coastal zone to the west). At the coast, snowpack accumulation averaged 181mm snow water equivalent (SWE) compared with 36mm SWE by the ice sheet. Coastal snowpack showed significantly greater concentrations of marine salts (Na+, Cl-, other major cations), ammonium (NH4+; regional means 1.4-2.7 mu mol L-1), total and non-sea-salt sulfate (SO42-; total 1.8-7.7, non-sea-salt 1.0-1.8 mu mol L-1/than the two inland regions. Nitrate (1.5-2.4 mu mol L-1/showed significantly lower concentrations at the coast. Despite lower concentrations, higher precipitation at the coast results in greater net deposition for NO3- as well as NH4+ and non-sea-salt sulfate (nss-SO42-) relative to the inland regions (lowest at Kelly Ville 6, 4 and 3; highest at coast 9, 17 and 11 mol ha(-1) a(-1) of NO3-, NH4+ and nss-SO42- respectively). The delta(N-15) of snowpack NO3- shows a significant decrease from inland regions (5.7 parts per thousand at Kelly Ville) to the coast (-11.3 parts per thousand). We attribute the spatial patterns of delta(N-15) in western Greenland to post-depositional processing rather than differing sources because of (1) spatial relationships with precipitation and sublimation, (2) within catchment isotopic differences between terrestrial snowpack and lake ice snowpack, and (3) similarities between fresh snow (rather than accumulated snowpack) at Kelly Ville and the coast. Hence the delta(N-15) of coastal snowpack is most representative of snowfall in western Greenland, but after deposition the effects of photolysis, volatilization and sublimation lead to enrichment of the remaining snowpack with the greatest effect in inland areas of low precipitation and high sublimation losses.</t>
  </si>
  <si>
    <t>[Curtis, Chris J.] Univ Witwatersrand, Sch Geog Archaeol &amp; Environm Studies, Johannesburg, South Africa; [Kaiser, Jan; Marca, Alina] Univ East Anglia, Sch Environm Sci, Ctr Ocean &amp; Atmospher Sci, Norwich Res Pk, Norwich, Norfolk, England; [Anderson, N. John; Whiteford, Erika] Loughborough Univ, Dept Geog, Loughborough, Leics, England; [Simpson, Gavin] Univ Regina, Inst Environm Change &amp; Soc, Regina, SK, Canada; [Simpson, Gavin] Univ Regina, Dept Biol, Regina, SK, Canada; [Curtis, Chris J.; Simpson, Gavin; Jones, Vivienne] UCL, Dept Geog, ECRC, Gower St, London, England</t>
  </si>
  <si>
    <t>University of Witwatersrand; University of East Anglia; Loughborough University; University of Regina; University of Regina; University of London; University College London</t>
  </si>
  <si>
    <t>Curtis, CJ (corresponding author), Univ Witwatersrand, Sch Geog Archaeol &amp; Environm Studies, Johannesburg, South Africa.;Curtis, CJ (corresponding author), UCL, Dept Geog, ECRC, Gower St, London, England.</t>
  </si>
  <si>
    <t>christopher.curtis@wits.ac.za</t>
  </si>
  <si>
    <t>Kaiser, Jan/D-3327-2009; Simpson, Gavin L/C-1671-2008; Curtis, Chris/AAH-3030-2021; Curtis, Christopher/A-1768-2013; Simpson, Gavin/KFQ-1110-2024</t>
  </si>
  <si>
    <t>Kaiser, Jan/0000-0002-1553-4043; Curtis, Chris/0000-0002-6597-2172; Curtis, Christopher/0000-0002-6597-2172; Simpson, Gavin/0000-0002-9084-8413</t>
  </si>
  <si>
    <t>NERC [NE/G020027/1, NE/G019509/1, NE/G019622/1]; NERC [NE/G020027/1, NE/G019509/1, NE/G019622/1] Funding Source: UKRI; Natural Environment Research Council [NE/G019622/1, NE/G020027/1, NE/G019509/1]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</si>
  <si>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</si>
  <si>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project was funded by NERC (long range atmospheric nitrogen deposition as a driver of ecological change in Arctic lakes; grant NE/G020027/1 to UCL, NE/G019509/1 to UEA and NE/G019622/1 to Loughborough University). We thank Karen Schleiss of Kangerlussuaq and Morten Nielsen of DTU (Sisimiut) for ad hoc rainfall sampling. Figure 1 was produced by Wendy Phillips of GAES. The study would not have been possible without the dedication in the field from James Shilland, Simon Patrick, Ewan Shilland and Simon Turner of UCL.</t>
  </si>
  <si>
    <t>10.5194/bg-15-529-2018</t>
  </si>
  <si>
    <t>FT9XV</t>
  </si>
  <si>
    <t>gold, Green Accepted, Green Submitted, Green Published</t>
  </si>
  <si>
    <t>WOS:000423506700001</t>
  </si>
  <si>
    <t>Itkin, P; Spreen, G; Hvidegaard, SM; Skourup, H; Wilkinson, J; Gerland, S; Granskog, MA</t>
  </si>
  <si>
    <t>Itkin, Polona; Spreen, Gunnar; Hvidegaard, Sine Munk; Skourup, Henriette; Wilkinson, Jeremy; Gerland, Sebastian; Granskog, Mats A.</t>
  </si>
  <si>
    <t>Contribution of Deformation to Sea Ice Mass Balance: A Case Study From an N-ICE2015 Storm</t>
  </si>
  <si>
    <t>GEOPHYSICAL RESEARCH LETTERS</t>
  </si>
  <si>
    <t>VARIABILITY; THICKNESS</t>
  </si>
  <si>
    <t>The fastest and most efficient process of gaining sea ice volume is through the mechanical redistribution of mass as a consequence of deformation events. During the ice growth season divergent motion produces leads where new ice grows thermodynamically, while convergent motion fractures the ice and either piles the resultant ice blocks into ridges or rafts one floe under the other. Here we present an exceptionally detailed airborne data set from a 9 km(2) area of first year and second year ice in the Transpolar Drift north of Svalbard that allowed us to estimate the redistribution of mass from an observed deformation event. To achieve this level of detail we analyzed changes in sea ice freeboard acquired from two airborne laser scanner surveys just before and right after a deformation event brought on by a passing low-pressure system. A linear regression model based on divergence during this storm can explain 64% of freeboard variability. Over the survey region we estimated that about 1.3% of level sea ice volume was pressed together into deformed ice and the new ice formed in leads in a week after the deformation event would increase the sea ice volume by 0.5%. As the region is impacted by about 15 storms each winter, a simple linear extrapolation would result in about 7% volume increase and 20% deformed ice fraction at the end of the season.</t>
  </si>
  <si>
    <t>[Itkin, Polona; Spreen, Gunnar; Gerland, Sebastian; Granskog, Mats A.] Norwegian Polar Res Inst, Fram Ctr, Tromso, Norway; [Spreen, Gunnar] Univ Bremen, Inst Environm Phys, Bremen, Germany; [Hvidegaard, Sine Munk; Skourup, Henriette] Tech Univ Denmark, Natl Space Inst DTU Space, Lyngby, Denmark; [Wilkinson, Jeremy] British Antarctic Survey, Cambridge, England</t>
  </si>
  <si>
    <t>Norwegian Polar Institute; University of Bremen; Technical University of Denmark; UK Research &amp; Innovation (UKRI); Natural Environment Research Council (NERC); NERC British Antarctic Survey</t>
  </si>
  <si>
    <t>Itkin, P (corresponding author), Norwegian Polar Res Inst, Fram Ctr, Tromso, Norway.</t>
  </si>
  <si>
    <t>polona.itkin@npolar.no</t>
  </si>
  <si>
    <t>Skourup, Henriette/A-7950-2015; Spreen, Gunnar/A-4533-2010; amplification, ³ - Arctic/AAU-6640-2020; Hvidegaard, Sine Munk/K-2733-2014</t>
  </si>
  <si>
    <t>Skourup, Henriette/0000-0002-4468-8033; Spreen, Gunnar/0000-0003-0165-8448; Hvidegaard, Sine Munk/0000-0001-8159-6499; Itkin, Polona/0000-0002-4029-1936; Granskog, Mats/0000-0002-5035-4347</t>
  </si>
  <si>
    <t>EU ICE-ARC project [ICE-ARC-020]; Norwegian Polar Institute's Centre for Ice, Climate and Ecosystems (ICE) through the N-ICE project; ID Arctic (Norwegian Ministry of Foreign Affairs); ID Arctic (Norwegian Ministry of Climate and Environment); Transregional Collaborative Research Center [TR 172]; German Research Foundation (DFG, Deutsche Forschungsgemeinschaft); NERC [bas0100032] Funding Source: UKRI</t>
  </si>
  <si>
    <t>EU ICE-ARC project; Norwegian Polar Institute's Centre for Ice, Climate and Ecosystems (ICE) through the N-ICE project; ID Arctic (Norwegian Ministry of Foreign Affairs); ID Arctic (Norwegian Ministry of Climate and Environment); Transregional Collaborative Research Center; German Research Foundation (DFG, Deutsche Forschungsgemeinschaft)(German Research Foundation (DFG)); NERC(UK Research &amp; Innovation (UKRI)Natural Environment Research Council (NERC))</t>
  </si>
  <si>
    <t>We deeply thank the crew and scientists on board BAS Twin Otter airplane and R/V Lance for their hard work during the airplane overflights. The field campaign and associated data and processing and analysis have been funded by the EU ICE-ARC project (paper ICE-ARC-020) and the Norwegian Polar Institute's Centre for Ice, Climate and Ecosystems (ICE) through the N-ICE project. P.I. was also supported by ID Arctic (funded the by Norwegian Ministries of Foreign Affairs and Climate and Environment, programme Arktis 2030). G. S. was supported by the Transregional Collaborative Research Center (TR 172). ArctiC Amplification: Climate Relevant Atmospheric and SurfaCe Processes, and Feedback mechanisms (AC)3 funded by the German Research Foundation (DFG, Deutsche Forschungsgemeinschaft). All in situ data used in this paper are published in the Norwegian Polar Institute database http://data.npolar.no. The airborne data from the campaign are available from the ICE-ARC project repository http://ice2seadata.nerc-bas.ac.uk/.</t>
  </si>
  <si>
    <t>AMER GEOPHYSICAL UNION</t>
  </si>
  <si>
    <t>WASHINGTON</t>
  </si>
  <si>
    <t>2000 FLORIDA AVE NW, WASHINGTON, DC 20009 USA</t>
  </si>
  <si>
    <t>0094-8276</t>
  </si>
  <si>
    <t>1944-8007</t>
  </si>
  <si>
    <t>GEOPHYS RES LETT</t>
  </si>
  <si>
    <t>Geophys. Res. Lett.</t>
  </si>
  <si>
    <t>JAN 28</t>
  </si>
  <si>
    <t>10.1002/2017GL076056</t>
  </si>
  <si>
    <t>Geosciences, Multidisciplinary</t>
  </si>
  <si>
    <t>Geology</t>
  </si>
  <si>
    <t>FW7OV</t>
  </si>
  <si>
    <t>Green Published, Green Accepted, hybrid</t>
  </si>
  <si>
    <t>WOS:000425514300035</t>
  </si>
  <si>
    <t>Johnson, RS</t>
  </si>
  <si>
    <t>Johnson, R. S.</t>
  </si>
  <si>
    <t>Application of the ideas and techniques of classical fluid mechanics to some problems in physical oceanography</t>
  </si>
  <si>
    <t>PHILOSOPHICAL TRANSACTIONS OF THE ROYAL SOCIETY A-MATHEMATICAL PHYSICAL AND ENGINEERING SCIENCES</t>
  </si>
  <si>
    <t>Review</t>
  </si>
  <si>
    <t>physical oceanography; Euler equation; classical fluids; Equatorial Undercurrent; Antarctic Circumpolar Current; gyres</t>
  </si>
  <si>
    <t>ANTARCTIC CIRCUMPOLAR CURRENT; OCEAN CIRCULATION; SOUTHERN-OCEAN; FREE-SURFACE; WAVES; FLOWS; UNDERCURRENT; EXISTENCE; VELOCITY; CURRENTS</t>
  </si>
  <si>
    <t>This review makes a case for describing many of the flows observed in our oceans, simply based on the Euler equation, with (piecewise) constant density and with suitable boundary conditions. The analyses start from the Euler and mass conservation equations, expressed in a rotating, spherical coordinate system (but the f-plane and beta-plane approximations are also mentioned); five examples are discussed. For three of them, a suitable non-dimensionalization is introduced, and a single small parameter is identified in each case. These three examples lead straightforwardly and directly to new results for: waves on the Pacific Equatorial Undercurrent (EUC) with a thermocline (in the f-plane); a nonlinear, three-dimensional model for EUC-type flows (in the beta-plane); and a detailed model for large gyres. The other two examples are exact solutions of the complete system: a flow which corresponds to the underlying structure of the Pacific EUC; and a flow based on the necessary requirement to use a non-conservative body force, which produces the type of flow observed in the Antarctic Circumpolar Current. (All these examples have been discussed in detail in the references cited.) This review concludes with a few comments on how these solutions can be extended and expanded. This article is part of the theme issue 'Nonlinear water waves'.</t>
  </si>
  <si>
    <t>[Johnson, R. S.] Newcastle Univ, Sch Math &amp; Stat, Newcastle Upon Tyne NE1 7RU, Tyne &amp; Wear, England</t>
  </si>
  <si>
    <t>Newcastle University - UK</t>
  </si>
  <si>
    <t>Johnson, RS (corresponding author), Newcastle Univ, Sch Math &amp; Stat, Newcastle Upon Tyne NE1 7RU, Tyne &amp; Wear, England.</t>
  </si>
  <si>
    <t>robin.johnson@newcastle.ac.uk</t>
  </si>
  <si>
    <t>Johnson, Robin/0000-0001-7744-2307</t>
  </si>
  <si>
    <t>University of Vienna (Faculty of Mathematics)</t>
  </si>
  <si>
    <t>The author is very pleased indeed to record his thanks to Prof. Adrian Constantin who encouraged the work that led to the results presented here, and to the University of Vienna (Faculty of Mathematics) for support and facilities over the last three years. Also thanks go to a referee who suggested some useful additional references.</t>
  </si>
  <si>
    <t>1364-503X</t>
  </si>
  <si>
    <t>1471-2962</t>
  </si>
  <si>
    <t>PHILOS T R SOC A</t>
  </si>
  <si>
    <t>Philos. Trans. R. Soc. A-Math. Phys. Eng. Sci.</t>
  </si>
  <si>
    <t>10.1098/rsta.2017.0092</t>
  </si>
  <si>
    <t>FP8UQ</t>
  </si>
  <si>
    <t>Bronze</t>
  </si>
  <si>
    <t>WOS:000417922000006</t>
  </si>
  <si>
    <t>Waibel, MS; Hulbe, CL; Jackson, CS; Martin, DF</t>
  </si>
  <si>
    <t>Waibel, M. S.; Hulbe, C. L.; Jackson, C. S.; Martin, D. F.</t>
  </si>
  <si>
    <t>Rate of Mass Loss Across the Instability Threshold for Thwaites Glacier Determines Rate of Mass Loss for Entire Basin</t>
  </si>
  <si>
    <t>ANTARCTIC ICE-SHEET; AMUNDSEN SEA EMBAYMENT; WEST ANTARCTICA; PINE ISLAND; SHELF; RETREAT; WIDESPREAD; COLLAPSE; FLOW; BED</t>
  </si>
  <si>
    <t>Rapid change now underway on Thwaites Glacier (TG) raises concern that a threshold for unstoppable grounding line retreat has been or is about to be crossed. We use a high-resolution ice sheet model to examine the mechanics of TG self-sustained retreat by nudging the grounding line just past the point of instability. We find that by modifying surface slope in the region of the grounding line, the rate of the forcing dictates the rate of retreat, even after the external forcing is removed. Grounding line retreats that begin faster proceed more rapidly because the shorter time interval for the grounding line to erode into the grounded ice sheet means relatively thicker ice and larger driving stress upstream of the boundary. Retreat is sensitive to short-duration re-advances associated with reduced external forcing where the bathymetry allows regrounding, even when an instability is invoked.</t>
  </si>
  <si>
    <t>[Waibel, M. S.] Portland State Univ, Dept Geol, Portland, OR 97207 USA; [Hulbe, C. L.] Univ Otago, Natl Sch Surveying, Dunedin, New Zealand; [Jackson, C. S.] Univ Texas Austin, Inst Geophys, Austin, TX USA; [Martin, D. F.] Lawrence Berkeley Natl Lab, Appl Numer Algorithms Grp, Berkeley, CA USA</t>
  </si>
  <si>
    <t>Portland State University; University of Otago; University of Texas System; University of Texas Austin; United States Department of Energy (DOE); Lawrence Berkeley National Laboratory</t>
  </si>
  <si>
    <t>Waibel, MS (corresponding author), Portland State Univ, Dept Geol, Portland, OR 97207 USA.</t>
  </si>
  <si>
    <t>waibelms@pdx.edu</t>
  </si>
  <si>
    <t>Jackson, Charles/AAE-1420-2019</t>
  </si>
  <si>
    <t>Jackson, Charles/0000-0002-2870-4494; Waibel, Michael/0000-0001-7911-7268; Hulbe, Christina/0000-0003-4765-7037; Martin, Daniel/0000-0003-4488-2538</t>
  </si>
  <si>
    <t>NASA [NNX11AH89G]; NSF [ANT-1142139]; U.S. DoE through the SciDAC project - DoE Office of Science, Advanced Scientific Computing Research [DE-SC0008083]; U.S. DoE through the SciDAC project - DoE Office of Science, Biological and Environmental Research [DE-SC0008083]; Office of Science, Office of Advanced Scientific Computing Research [DE-AC02-05CH11231]; U.S. Department of Energy (DOE) [DE-SC0008083] Funding Source: U.S. Department of Energy (DOE); Office of Polar Programs (OPP); Directorate For Geosciences [1142139] Funding Source: National Science Foundation; NASA [145068, NNX11AH89G] Funding Source: Federal RePORTER</t>
  </si>
  <si>
    <t>NASA(National Aeronautics &amp; Space Administration (NASA)); NSF(National Science Foundation (NSF)); U.S. DoE through the SciDAC project - DoE Office of Science, Advanced Scientific Computing Research; U.S. DoE through the SciDAC project - DoE Office of Science, Biological and Environmental Research; Office of Science, Office of Advanced Scientific Computing Research; U.S. Department of Energy (DOE)(United States Department of Energy (DOE)); Office of Polar Programs (OPP); Directorate For Geosciences(National Science Foundation (NSF)NSF - Directorate for Geosciences (GEO)); NASA(National Aeronautics &amp; Space Administration (NASA))</t>
  </si>
  <si>
    <t>Supported by NASA grant NNX11AH89G, NSF grant ANT-1142139, and U.S. DoE grant DE-SC0008083 through the SciDAC project funded by the DoE Office of Science, Advanced Scientific Computing Research and Biological and Environmental Research. Work at Lawrence Berkeley Laboratory was supported by the DoE Director, Office of Science, Office of Advanced Scientific Computing Research, under DE-AC02-05CH11231. Results of this study will be archived at https://doi.org/10.5281/zenodo.1134979. We thank the Editor and two anonymous reviewers for their efforts to help us improve the manuscript.</t>
  </si>
  <si>
    <t>10.1002/2017GL076470</t>
  </si>
  <si>
    <t>WOS:000425514300037</t>
  </si>
  <si>
    <t>DeJong, HB; Dunbar, RB; Lyons, EA</t>
  </si>
  <si>
    <t>DeJong, Hans B.; Dunbar, Robert B.; Lyons, Evan A.</t>
  </si>
  <si>
    <t>Late Summer Frazil Ice-Associated Algal Blooms around Antarctica</t>
  </si>
  <si>
    <t>ROSS-SEA; PHYTOPLANKTON BIOMASS; PRODUCTIVITY; IMPACT; MODEL</t>
  </si>
  <si>
    <t>Antarctic continental shelf waters are the most biologically productive in the Southern Ocean. Although satellite-derived algorithms report peak productivity during the austral spring/early summer, recent studies provide evidence for substantial late summer productivity that is associated with green colored frazil ice. Here we analyze daily Moderate Resolution Imaging Spectroradiometer satellite images for February and March from 2003 to 2017 to identify green colored frazil ice hot spots. Green frazil ice is concentrated in 11 of the 13 major sea ice production polynyas, with the greenest frazil ice in the Terra Nova Bay and Cape Darnley polynyas. While there is substantial interannual variability, green frazil ice is present over greater than 300,000 km(2) during March. Late summer frazil ice-associated algal productivity may be a major phenomenon around Antarctica that is not considered in regional carbon and ecosystem models.</t>
  </si>
  <si>
    <t>[DeJong, Hans B.; Dunbar, Robert B.; Lyons, Evan A.] Stanford Univ, Dept Earth Syst Sci, Stanford, CA 94305 USA</t>
  </si>
  <si>
    <t>Stanford University</t>
  </si>
  <si>
    <t>DeJong, HB (corresponding author), Stanford Univ, Dept Earth Syst Sci, Stanford, CA 94305 USA.</t>
  </si>
  <si>
    <t>hdejong@stanford.edu</t>
  </si>
  <si>
    <t>Dunbar, Robert/0000-0002-9728-5609</t>
  </si>
  <si>
    <t>U.S. NSF [OPP-1142044]; NSF Graduate Research Fellowship grant [DGE-114747]</t>
  </si>
  <si>
    <t>U.S. NSF(National Science Foundation (NSF)); NSF Graduate Research Fellowship grant</t>
  </si>
  <si>
    <t>This research was supported by the U.S. NSF (OPP-1142044 to R.B. Dunbar) and NSF Graduate Research Fellowship grant (DGE-114747 to H.B. DeJong). We thank two anonymous reviewers for their valuable feedback. The MODIS and Landsat data are freely available for download courtesy of the NASA Land Processes Distributed Active Archive Center (LP DAAC) at the United States Geological Survey (USGS) Earth Resources Observation and Science (EROS) Center (https://lpdaac.usgs.gov).</t>
  </si>
  <si>
    <t>10.1002/2017GL075472</t>
  </si>
  <si>
    <t>WOS:000425514300039</t>
  </si>
  <si>
    <t>McKenna, CM; Bracegirdle, TJ; Shuckburgh, EF; Haynes, PH; Joshi, MM</t>
  </si>
  <si>
    <t>McKenna, Christine M.; Bracegirdle, Thomas J.; Shuckburgh, Emily F.; Haynes, Peter H.; Joshi, Manoj M.</t>
  </si>
  <si>
    <t>Arctic Sea Ice Loss in Different Regions Leads to Contrasting Northern Hemisphere Impacts</t>
  </si>
  <si>
    <t>ATMOSPHERIC CIRCULATION; COLD WINTERS; ANOMALIES; OSCILLATION; MECHANISMS; COMPONENTS; AMERICA; WEATHER</t>
  </si>
  <si>
    <t>To explore the mechanisms linking Arctic sea ice loss to changes in midlatitude surface temperatures, we conduct idealized modeling experiments using an intermediate general circulation model and with sea ice loss confined to the Atlantic or Pacific sectors of the Arctic (Barents-Kara or Chukchi-Bering Seas). Extending previous findings, there are opposite effects on the winter stratospheric polar vortex for both large-magnitude (late 21st century) and moderate-magnitude sea ice loss. Accordingly, there are opposite tropospheric Arctic Oscillation (AO) responses for moderate-magnitude sea ice loss. However, there are similar strength negative AO responses for large-magnitude sea ice loss, suggesting that tropospheric mechanisms become relatively more important than stratospheric mechanisms as the sea ice loss magnitude increases. The midlatitude surface temperature response for each loss region and magnitude can be understood as the combination of an indirect part induced by the large-scale circulation (AO) response, and a residual direct part that is local to the loss region.</t>
  </si>
  <si>
    <t>[McKenna, Christine M.; Bracegirdle, Thomas J.; Shuckburgh, Emily F.] British Antarctic Survey, Cambridge, England; [McKenna, Christine M.; Haynes, Peter H.] Univ Cambridge, Dept Appl Math &amp; Theoret Phys, Cambridge, England; [Joshi, Manoj M.] Univ East Anglia, Ctr Ocean &amp; Atmospher Sci, Norwich, Norfolk, England; [Joshi, Manoj M.] Univ East Anglia, Climat Res Unit, Norwich, Norfolk, England</t>
  </si>
  <si>
    <t>UK Research &amp; Innovation (UKRI); Natural Environment Research Council (NERC); NERC British Antarctic Survey; University of Cambridge; University of East Anglia; University of East Anglia</t>
  </si>
  <si>
    <t>McKenna, CM (corresponding author), British Antarctic Survey, Cambridge, England.;McKenna, CM (corresponding author), Univ Cambridge, Dept Appl Math &amp; Theoret Phys, Cambridge, England.</t>
  </si>
  <si>
    <t>christine.mckenna@bas.ac.uk</t>
  </si>
  <si>
    <t>Joshi, Manoj/C-1795-2008; Bracegirdle, Tom/AAD-6060-2020</t>
  </si>
  <si>
    <t>Joshi, Manoj/0000-0002-2948-2811; Bracegirdle, Thomas/0000-0002-8868-4739; Haynes, Peter/0000-0002-7726-6988; Shuckburgh, Emily/0000-0001-9206-3444; McKenna, Christine/0000-0002-9677-4582</t>
  </si>
  <si>
    <t>Cambridge Earth System Science NERC DTP (Natural Environment Research Council Doctoral Training Partnership); NERC [bas0100033, bas0100032] Funding Source: UKRI; Natural Environment Research Council [bas0100032, bas0100033, 1654307] Funding Source: researchfish</t>
  </si>
  <si>
    <t>Cambridge Earth System Science NERC DTP (Natural Environment Research Council Doctoral Training Partnership); NERC(UK Research &amp; Innovation (UKRI)Natural Environment Research Council (NERC)); Natural Environment Research Council(UK Research &amp; Innovation (UKRI)Natural Environment Research Council (NERC))</t>
  </si>
  <si>
    <t>The authors would like to acknowledge helpful discussions with Peter Hitchcock, Alison Ming, Ted Shepherd, Maarten Ambaum, Doug Smith, and James Screen. Thank you also to Karen Smith and one anonymous reviewer for their valuable comments, which greatly helped to improve the manuscript. We acknowledge the World Climate Research Programme's Working Group on Coupled Modelling, which is responsible for CMIP, and we thank the climate modeling groups (listed in Table S1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wish to thank STFC CEDA for use of the JASMIN storage and analysis platform, where the model experiment data are stored and analyzed. The data can be shared via this platform by contacting the author. This work was funded by a PhD studentship awarded to C.M.M. by the Cambridge Earth System Science NERC DTP (Natural Environment Research Council Doctoral Training Partnership).</t>
  </si>
  <si>
    <t>10.1002/2017GL076433</t>
  </si>
  <si>
    <t>Green Published, Bronze, Green Accepted</t>
  </si>
  <si>
    <t>WOS:000425514300052</t>
  </si>
  <si>
    <t>Kostov, Y; Ferreira, D; Armour, KC; Marshall, J</t>
  </si>
  <si>
    <t>Kostov, Yavor; Ferreira, David; Armour, Kyle C.; Marshall, John</t>
  </si>
  <si>
    <t>Contributions of Greenhouse Gas Forcing and the Southern Annular Mode to Historical Southern Ocean Surface Temperature Trends</t>
  </si>
  <si>
    <t>Southern Ocean; CMIP5; Southern Annular Mode; greenhouse gas forcing; climate variability; ozone forcing</t>
  </si>
  <si>
    <t>ANTARCTIC SEA-ICE; HEMISPHERE CLIMATE-CHANGE; CMIP5 MODELS; TRANSIENT-RESPONSE; STRATOSPHERIC OZONE; ATMOSPHERE MODEL; CARBON-DIOXIDE; CIRCULATION; WINDS; BIAS</t>
  </si>
  <si>
    <t>We examine the 1979-2014 Southern Ocean (SO) sea surface temperature (SST) trends simulated in an ensemble of coupled general circulation models and evaluate possible causes of the models' inability to reproduce the observed 1979-2014 SO cooling. For each model we estimate the response of SO SST to step changes in greenhouse gas (GHG) forcing and in the seasonal indices of the Southern Annular Mode (SAM). Using these step-response functions, we skillfully reconstruct the models' 1979-2014 SO SST trends. Consistent with the seasonal signature of the Antarctic ozone hole and the seasonality of SO stratification, the summer and fall SAM exert a large impact on the simulated SO SST trends. We further identify conditions that favor multidecadal SO cooling: (1) a weak SO warming response to GHG forcing, (2) a strong multidecadal SO cooling response to a positive SAM trend, and (3) a historical SAM trend as strong as in observations.</t>
  </si>
  <si>
    <t>[Kostov, Yavor] Univ Oxford, Dept Phys, Oxford, England; [Ferreira, David] Univ Reading, Dept Meteorol, Reading, Berks, England; [Armour, Kyle C.] Univ Washington, Sch Oceanog, Seattle, WA 98195 USA; [Armour, Kyle C.] Univ Washington, Dept Atmospher Sci, Seattle, WA 98195 USA; [Marshall, John] MIT, Dept Earth Atmospher &amp; Planetary Sci, Cambridge, MA USA</t>
  </si>
  <si>
    <t>University of Oxford; University of Reading; University of Washington; University of Washington Seattle; University of Washington; University of Washington Seattle; Massachusetts Institute of Technology (MIT)</t>
  </si>
  <si>
    <t>Kostov, Y (corresponding author), Univ Oxford, Dept Phys, Oxford, England.</t>
  </si>
  <si>
    <t>yavor.kostov@physics.ox.ac.uk</t>
  </si>
  <si>
    <t>Ferreira, David/JJD-6133-2023; Ferreira, David/JNR-2354-2023</t>
  </si>
  <si>
    <t>, Yavor/0000-0001-6038-8818</t>
  </si>
  <si>
    <t>NSF MOBY grant [NSF OCE-1048926]; NSF FESD Ozone Hole grant [NSF OCE-1338814]; NSF [NSF PLR-1543366, OCE-1523641]; Directorate For Geosciences; Division Of Ocean Sciences [1523641] Funding Source: National Science Foundation</t>
  </si>
  <si>
    <t>NSF MOBY grant; NSF FESD Ozone Hole grant; NSF(National Science Foundation (NSF)); Directorate For Geosciences; Division Of Ocean Sciences(National Science Foundation (NSF)NSF - Directorate for Geosciences (GEO))</t>
  </si>
  <si>
    <t>The CMIP5 data for this study are accessible at the Earth System Grid Federation (ESGF) Portal (https://esgf-node.llnl.gov/search/cmip5/). Y. K. was funded by an NSF MOBY grant (NSF OCE-1048926). J. M. and D. F. received support from the NSF FESD Ozone Hole grant (NSF OCE-1338814). J. M. was funded by the NSF grant Dynamics of the Antarctic Seasonal Ice Zone (NSF PLR-1543366). K. C. A. was funded by an NSF grant OCE-1523641. We would like to thank the World Climate Research Programme and the Working Group on Coupled Modeling, which coordinates CMIP5. We extend our appreciation to the organizations in charge of the CMIP infrastructure: the U.S. Department of Energy through its Program for Climate Model Diagnosis and Intercomparison and the Global Organization for Earth System Science Portals. We thank the CMIP5 climate modeling groups for making their numerical output available. We express our gratitude to Susan Solomon for her helpful feedback.</t>
  </si>
  <si>
    <t>10.1002/2017GL074964</t>
  </si>
  <si>
    <t>Green Published, Green Accepted</t>
  </si>
  <si>
    <t>WOS:000425514300067</t>
  </si>
  <si>
    <t>Seppälä, A; Douma, E; Rodger, CJ; Verronen, PT; Clilverd, MA; Bortnik, J</t>
  </si>
  <si>
    <t>Seppaelae, A.; Douma, E.; Rodger, C. J.; Verronen, P. T.; Clilverd, M. A.; Bortnik, J.</t>
  </si>
  <si>
    <t>Relativistic Electron Microburst Events: Modeling the Atmospheric Impact</t>
  </si>
  <si>
    <t>PARTICLE-PRECIPITATION; CLIMATE MODEL; GEM STORMS; CHEMISTRY; STRATOSPHERE; TEMPERATURE; OZONE</t>
  </si>
  <si>
    <t>Relativistic electron microbursts are short-duration, high-energy precipitation events that are an important loss mechanism for radiation belt particles. Previous work to estimate their atmospheric impacts found no significant changes in atmospheric chemistry. Recent research on microbursts revealed that both the fluxes and frequency of microbursts are much higher than previously thought. We test the seasonal range of atmospheric impacts using this latest microburst information as input forcing to the Sodankyla Ion and Neutral Chemistry model. A modeled 6h microburst storm increased mesospheric HOx by 15-25%/800-1,200% (summer/winter) and NOx by 1,500-2,250%/80-120%. Together, these drive 7-12%/12-20% upper mesospheric ozone losses, with a further 10-12% longer-term middle mesospheric loss during winter. Our results suggest that existing electron precipitation proxies, which do not yet take relativistic microburst energies into account, are likely missing a significant source of precipitation that contributes to atmospheric ozone balance.</t>
  </si>
  <si>
    <t>[Seppaelae, A.; Douma, E.; Rodger, C. J.] Univ Otago, Dept Phys, Dunedin, New Zealand; [Seppaelae, A.; Verronen, P. T.] Finnish Meteorol Inst, Helsinki, Finland; [Clilverd, M. A.] British Antarctic Survey NERC, Cambridge, England; [Bortnik, J.] Univ Calif Los Angeles, Dept Atmospher &amp; Ocean Sci, Los Angeles, CA USA</t>
  </si>
  <si>
    <t>University of Otago; Finnish Meteorological Institute; UK Research &amp; Innovation (UKRI); Natural Environment Research Council (NERC); NERC British Antarctic Survey; University of California System; University of California Los Angeles</t>
  </si>
  <si>
    <t>Seppälä, A (corresponding author), Univ Otago, Dept Phys, Dunedin, New Zealand.</t>
  </si>
  <si>
    <t>annika.seppala@otago.ac.nz</t>
  </si>
  <si>
    <t>Rodger, Craig/A-1501-2011; Verronen, Pekka T/G-6658-2014; Douma, Emma/AAE-9976-2020; Seppälä, Annika/C-8031-2014; Verronen, P. T./AIE-0203-2022</t>
  </si>
  <si>
    <t>Douma, Emma/0000-0003-3709-4939; Seppälä, Annika/0000-0002-5028-8220; Verronen, P. T./0000-0002-3479-9071; Rodger, Craig J./0000-0002-6770-2707</t>
  </si>
  <si>
    <t>Academy of Finland [276926, 258165, 265005]; Natural Environment Research Council; NERC [NE/P01738X/1, bas0100031, NE/R016038/1] Funding Source: UKRI; Academy of Finland (AKA) [276926, 258165, 265005] Funding Source: Academy of Finland (AKA)</t>
  </si>
  <si>
    <t>Academy of Finland(Research Council of Finland); Natural Environment Research Council(UK Research &amp; Innovation (UKRI)Natural Environment Research Council (NERC)); NERC(UK Research &amp; Innovation (UKRI)Natural Environment Research Council (NERC)); Academy of Finland (AKA)(Research Council of Finland)</t>
  </si>
  <si>
    <t>The work of A. S. and P. T. V. was supported in part by the Academy of Finland through the projects 276926 (SECTIC: Sun-Earth Connection Through Ion Chemistry), 258165, and 265005 (CLASP: Climate and Solar Particle Forcing). M. A. C. was supported by the Natural Environment Research Council. SAMPEX data are available from the SAMPEX Data Center at Caltech: http://www.srl.caltech.edu/sampex/DataCenter. The SIC model results presented here are available from the corresponding author.</t>
  </si>
  <si>
    <t>10.1002/2017GL075949</t>
  </si>
  <si>
    <t>Green Accepted</t>
  </si>
  <si>
    <t>WOS:000425514300073</t>
  </si>
  <si>
    <t>Stewart, AL; Klocker, A; Menemenlis, D</t>
  </si>
  <si>
    <t>Stewart, Andrew L.; Klocker, Andreas; Menemenlis, Dimitris</t>
  </si>
  <si>
    <t>Circum-Antarctic Shoreward Heat Transport Derived From an Eddy- and Tide-Resolving Simulation</t>
  </si>
  <si>
    <t>SOUTHERN WEDDELL SEA; ICE-SHELF CAVITY; WESTERN ROSS SEA; CONTINENTAL-SHELF; AMUNDSEN SEA; DEEP-WATER; OVERTURNING CIRCULATION; RESIDUAL CIRCULATION; OCEAN CIRCULATION; SLOPE FRONT</t>
  </si>
  <si>
    <t>Almost all heat reaching the bases of Antarctica's ice shelves originates from warm Circumpolar Deep Water in the open Southern Ocean. This study quantifies the roles of mean and transient flows in transporting heat across almost the entire Antarctic continental slope and shelf using an ocean/sea ice model run at eddy- and tide-resolving (1/48 degrees) horizontal resolution. Heat transfer by transient flows is approximately attributed to eddies and tides via a decomposition into time scales shorter than and longer than 1 day, respectively. It is shown that eddies transfer heat across the continental slope (ocean depths greater than 1,500 m), but tides produce a stronger shoreward heat flux across the shelf break (ocean depths between 500 m and 1,000 m). However, the tidal heat fluxes are approximately compensated by mean flows, leaving the eddy heat flux to balance the net shoreward heat transport. The eddy-driven cross-slope overturning circulation is too weak to account for the eddy heat flux. This suggests that isopycnal eddy stirring is the principal mechanism of shoreward heat transport around Antarctica, though likely modulated by tides and surface forcing.</t>
  </si>
  <si>
    <t>[Stewart, Andrew L.] Univ Calif Los Angeles, Dept Atmospher &amp; Ocean Sci, Los Angeles, CA 90095 USA; [Klocker, Andreas] Univ Tasmania, Inst Marine &amp; Antarctic Studies, Hobart, Tas, Australia; [Klocker, Andreas] Univ Tasmania, Australian Res Council, Ctr Excellence Climate Syst Sci, Hobart, Tas, Australia; [Klocker, Andreas] Univ Tasmania, Antarctic Climate &amp; Ecosyst Cooperat Res Ctr, Hobart, Tas, Australia; [Menemenlis, Dimitris] CALTECH, Jet Prop Lab, Div Sci, Pasadena, CA USA</t>
  </si>
  <si>
    <t>University of California System; University of California Los Angeles; University of Tasmania; University of Tasmania; University of Tasmania; Antarctic Climate &amp; Ecosystems Cooperative Research Centre (ACE CRC); California Institute of Technology; National Aeronautics &amp; Space Administration (NASA); NASA Jet Propulsion Laboratory (JPL)</t>
  </si>
  <si>
    <t>Stewart, AL (corresponding author), Univ Calif Los Angeles, Dept Atmospher &amp; Ocean Sci, Los Angeles, CA 90095 USA.</t>
  </si>
  <si>
    <t>astewart@atmos.ucla.edu</t>
  </si>
  <si>
    <t>Menemenlis, Dimitris/G-8091-2017; Klocker, Andreas/E-4632-2011</t>
  </si>
  <si>
    <t>Menemenlis, Dimitris/0000-0001-9940-8409; Klocker, Andreas/0000-0002-2038-7922; Stewart, Andrew/0000-0001-5861-4070</t>
  </si>
  <si>
    <t>National Science Foundation [OCE-1538702, PLR-1543388]; Australian Research Council Discovery Early Career Researcher Award [DE140100076]; Directorate For Geosciences [1543388, 1538702] Funding Source: National Science Foundation; Division Of Ocean Sciences [1538702] Funding Source: National Science Foundation; Office of Polar Programs (OPP) [1543388] Funding Source: National Science Foundation; Australian Research Council [DE140100076] Funding Source: Australian Research Council</t>
  </si>
  <si>
    <t>National Science Foundation(National Science Foundation (NSF)); Australian Research Council Discovery Early Career Researcher Award(Australian Research Council); Directorate For Geosciences(National Science Foundation (NSF)NSF - Directorate for Geosciences (GEO)); Division Of Ocean Sciences(National Science Foundation (NSF)NSF - Directorate for Geosciences (GEO)); Office of Polar Programs (OPP)(National Science Foundation (NSF)NSF - Directorate for Geosciences (GEO)); Australian Research Council(Australian Research Council)</t>
  </si>
  <si>
    <t>This material is based in part upon work supported by the National Science Foundation under grants OCE-1538702 and PLR-1543388. A. K. was supported by the Australian Research Council Discovery Early Career Researcher Award (DE140100076). D. M. carried out this work at the Jet Propulsion Laboratory (JPL), California Institute of Technology, under a contract with the National Aeronautics and Space Administration (NASA). High-end computing resources were provided by the NASA Advanced Supercomputing (NAS) Division of the Ames Research Center. The authors thank the MITgcm development team, NAS computer scientists, and SGI engineers for their contributions in producing and making available the high-resolution model output used in this study. The model configuration files can be downloaded from http://wwwcvs.mitgcm.org/viewvc/MITgcm/MITgcm_contrib/llc_hires/llc_4320/. The raw model output data are stored on NASA's Pleiades supercomputer and may be accessed via request to D. M. The time-averaged model output fields used to derive the results presented in this manuscript can be downloaded from https://doi.org/10.4226/77/5a37035ea15b2. The authors thank three anonymous reviewers for comments that improved the manuscript.</t>
  </si>
  <si>
    <t>10.1002/2017GL075677</t>
  </si>
  <si>
    <t>Bronze, Green Published, Green Accepted</t>
  </si>
  <si>
    <t>WOS:000425514300040</t>
  </si>
  <si>
    <t>Wang, Y; Zhang, DM; Liu, XH; Wang, ZE</t>
  </si>
  <si>
    <t>Wang, Yong; Zhang, Damao; Liu, Xiaohong; Wang, Zhien</t>
  </si>
  <si>
    <t>Distinct Contributions of Ice Nucleation, Large-Scale Environment, and Shallow Cumulus Detrainment to Cloud Phase Partitioning With NCAR CAM5</t>
  </si>
  <si>
    <t>JOURNAL OF GEOPHYSICAL RESEARCH-ATMOSPHERES</t>
  </si>
  <si>
    <t>cloud phase partitioning; mixed-phase clouds; ice nucleation; CAM5</t>
  </si>
  <si>
    <t>COMMUNITY ATMOSPHERE MODEL; THEORY-BASED PARAMETERIZATION; VERSION 5; SUBGRID PARAMETERIZATION; CLIMATE SIMULATIONS; MINERAL DUST; A-TRAIN; MICROPHYSICS; SATELLITE; RADAR</t>
  </si>
  <si>
    <t>Mixed-phase clouds containing both liquid droplets and ice particles occur frequently at high latitudes and in the midlatitude storm track regions. Simulations of the cloud phase partitioning between liquid and ice hydrometeors in state-of-the-art global climate models are still associated with large biases. In this study, the phase partitioning in terms of liquid mass phase ratio (MPRliq, defined as the ratio of liquid mass to total condensed water mass) simulated from the NCAR Community Atmosphere Model version 5 (CAM5) is evaluated against the observational data from A-Train satellite remote sensors. Modeled MPRliq is significantly lower than observations on the global scale, especially in the Southern Hemisphere (e.g., Southern Ocean and the Antarctic). Sensitivity tests with CAM5 are conducted to investigate the distinct contributions of heterogeneous ice nucleation, shallow cumulus detrainment, and large-scale environment (e.g., winds, temperature, and water vapor) to the low MPRliq biases. Our results show that an aerosol-aware ice nucleation parameterization increases the MPRliq especially at temperatures colder than -20 degrees C and significantly improves the model agreements with observations in the Polar regions in summer. The decrease of threshold temperature over which all detrained cloud water is liquid from 268 to 253K enhances the MPRliq and improves the MPRliq mostly over the Southern Ocean. By constraining water vapor in CAM5 toward reanalysis, modeled low biases in many geographical regions are largely reduced through a significant decrease of cloud ice mass mixing ratio.</t>
  </si>
  <si>
    <t>[Wang, Yong] Tsinghua Univ, Dept Earth Syst Sci, Beijing, Peoples R China; [Wang, Yong; Zhang, Damao; Liu, Xiaohong; Wang, Zhien] Univ Wyoming, Dept Atmospher Sci, Laramie, WY 82071 USA; [Zhang, Damao] Brookhaven Natl Lab, Upton, NY 11973 USA</t>
  </si>
  <si>
    <t>Tsinghua University; University of Wyoming; United States Department of Energy (DOE); Brookhaven National Laboratory</t>
  </si>
  <si>
    <t>Liu, XH (corresponding author), Univ Wyoming, Dept Atmospher Sci, Laramie, WY 82071 USA.</t>
  </si>
  <si>
    <t>xliu6@uwyo.edu</t>
  </si>
  <si>
    <t>Liu, Xiaohong/E-9304-2011; Wang, Zhien/AAN-2341-2020; Wang, Zhien/AAB-1528-2021; Zhang, Damao/JVD-9442-2023; Wang, Zhien/F-4857-2011; Zhang, Damao/A-2900-2016</t>
  </si>
  <si>
    <t>Liu, Xiaohong/0000-0002-3994-5955; Wang, Zhien/0000-0003-3871-3834; Zhang, Damao/0000-0002-3518-292X; Wang, Yong/0000-0002-5831-9466</t>
  </si>
  <si>
    <t>U.S. Department of Energy's Atmospheric System Research Program [DE-SC0014239]; National Natural Science Foundation of China [41605074]; National Key Research and Development Program of China [2016YFA0602103]; U.S. Department of Energy (DOE) [DE-SC0014239] Funding Source: U.S. Department of Energy (DOE)</t>
  </si>
  <si>
    <t>U.S. Department of Energy's Atmospheric System Research Program(United States Department of Energy (DOE)); National Natural Science Foundation of China(National Natural Science Foundation of China (NSFC)); National Key Research and Development Program of China; U.S. Department of Energy (DOE)(United States Department of Energy (DOE))</t>
  </si>
  <si>
    <t>The authors acknowledge the support of the U.S. Department of Energy's Atmospheric System Research Program (grant DE-SC0014239). Yong Wang also acknowledges the funding support of the National Natural Science Foundation of China for the Youth Science Foundation Project with grant 41605074, and the National Key Research and Development Program of China grant 2016YFA0602103. The authors thank the three anonymous reviewers for their constructive comments, which have improved the quality of this paper. The ERA-Interim reanalysis data can be downloaded from website (www.ecmwf.int). The GPCP version 1DD data are available from NASA GSFC RSD (ftp://rsd.gsfc.nasa.gov/pub/1ddv1.2/). The A-Train data can be obtained from https://eosweb.larc.nasa.gov/order-data. The CAM5 simulation outputs for this study are archived on the NCAR Yellowstone computer system and can be obtained from the authors upon request.</t>
  </si>
  <si>
    <t>2169-897X</t>
  </si>
  <si>
    <t>2169-8996</t>
  </si>
  <si>
    <t>J GEOPHYS RES-ATMOS</t>
  </si>
  <si>
    <t>J. Geophys. Res.-Atmos.</t>
  </si>
  <si>
    <t>JAN 27</t>
  </si>
  <si>
    <t>10.1002/2017JD027213</t>
  </si>
  <si>
    <t>Meteorology &amp; Atmospheric Sciences</t>
  </si>
  <si>
    <t>FW7QV</t>
  </si>
  <si>
    <t>Green Submitted</t>
  </si>
  <si>
    <t>WOS:000425520200030</t>
  </si>
  <si>
    <t>Gaye, B; Böll, A; Segschneider, J; Burdanowitz, N; Emeis, KC; Ramaswamy, V; Lahajnar, N; Lückge, A; Rixen, T</t>
  </si>
  <si>
    <t>Gaye, Birgit; Boell, Anna; Segschneider, Joachim; Burdanowitz, Nicole; Emeis, Kay-Christian; Ramaswamy, Venkitasubramani; Lahajnar, Niko; Lueckge, Andreas; Rixen, Tim</t>
  </si>
  <si>
    <t>Glacial-interglacial changes and Holocene variations in Arabian Sea denitrification</t>
  </si>
  <si>
    <t>OXYGEN MINIMUM ZONE; TROPICAL NORTH-PACIFIC; ASIAN SUMMER MONSOON; SURFACE TEMPERATURE-VARIATIONS; OCEANIC FIXED NITROGEN; ORGANIC-MATTER SOURCES; INDIAN-OCEAN; SOUTHWEST MONSOON; PRIMARY PRODUCTIVITY; ISOTOPIC COMPOSITION</t>
  </si>
  <si>
    <t>At present, the Arabian Sea has a permanent oxygen minimum zone (OMZ) at water depths between about 100 and 1200 m. Active denitrification in the upper part of the OMZ is recorded by enhanced delta N-15 values in the sediments. Sediment cores show a delta N-15 increase during the middle and late Holocene, which is contrary to the trend in the other two regions of water column denitrification in the eastern tropical North and South Pacific. We calculated composite sea surface temperature (SST) and delta N-15 ratios in time slices of 1000 years of the last 25 kyr to better understand the reasons for the establishment of the Arabian Sea OMZ and its response to changes in the Asian monsoon system. Low delta N-15 values of 4-7% during the last glacial maximum (LGM) and stadials (Younger Dryas and Heinrich events) suggest that denitrification was inactive or weak during Pleistocene cold phases, while warm interstadials (ISs) had elevated ffi 15N. Fast changes in upwelling intensities and OMZ delta N-15 ventilation from the Antarctic were responsible for these strong millennial-scale variations during the glacial. During the entire Holocene delta N-15 values &gt; 6% indicate a relatively stable OMZ with enhanced denitrification. The OMZ develops parallel to the strengthening of the SW monsoon and monsoonal upwelling after the LGM. Despite the relatively stable climatic conditions of the Holocene, the delta N-15 records show regionally different trends in the Arabian Sea. In the upwelling areas in the western part of the basin, delta N-15 values are lower during the mid-Holocene (4.2-8.2 ka BP) compared to the late Holocene (&lt; 4.2 ka BP) due to stronger ventilation of the OMZ during the period of the most intense southwest monsoonal upwelling. In contrast, BP values in the northern and eastern Arabian Sea rose during the last 8 kyr. The displacement of the core of the OMZ from the region of maximum productivity in the western Arabian Sea to its present position in the northeast was established during the middle and late Holocene. This was probably caused by (i) reduced ventilation due to a longer residence time of OMZ waters and (ii) augmented by rising oxygen consumption due to enhanced northeast-monsoon-driven biological productivity. This concurs with the results of the Kiel Climate Model, which show an increase in OMZ volume during the last 9 kyr related to the increasing age of the OMZ water mass.</t>
  </si>
  <si>
    <t>[Gaye, Birgit; Boell, Anna; Burdanowitz, Nicole; Emeis, Kay-Christian; Lahajnar, Niko; Rixen, Tim] Univ Hamburg, Inst Geol, Bundesstr 55, D-20146 Hamburg, Germany; [Segschneider, Joachim] Univ Kiel, Inst Geosci, Ludewig Meyn Str 10, D-24118 Kiel, Germany; [Emeis, Kay-Christian] Helmholtz Ctr Geesthacht, Inst Coastal Res, Max Planck Str 1, D-21502 Geesthacht, Germany; [Ramaswamy, Venkitasubramani] Natl Inst Oceanog, Panaji 403004, Goa, India; [Lueckge, Andreas] Bundesanstalt Geowissensch &amp; Rohstoffe, Stilleweg 2, D-30655 Hannover, Germany; [Rixen, Tim] Leibniz Zentrum Marine Tropenforsch ZMT GmbH, Fahrenheitstr 6, D-28359 Bremen, Germany</t>
  </si>
  <si>
    <t>University of Hamburg; University of Kiel; Helmholtz Association; Helmholtz-Zentrum Hereon; Max Planck Society; Council of Scientific &amp; Industrial Research (CSIR) - India; CSIR - National Institute of Oceanography (NIO)</t>
  </si>
  <si>
    <t>Gaye, B (corresponding author), Univ Hamburg, Inst Geol, Bundesstr 55, D-20146 Hamburg, Germany.</t>
  </si>
  <si>
    <t>birgit.gaye@uni-hamburg.de</t>
  </si>
  <si>
    <t>Gaye, Birgit/J-4621-2012</t>
  </si>
  <si>
    <t>Burdanowitz, Nicole/0000-0001-9922-1863; Emeis, Kay-Christian/0000-0003-0459-913X</t>
  </si>
  <si>
    <t>German Federal Ministry of Education and Research (BMBF); BMBF [03G0806A, 03G0806B, 03G0806C, 03G0864A]</t>
  </si>
  <si>
    <t>German Federal Ministry of Education and Research (BMBF)(Federal Ministry of Education &amp; Research (BMBF)); BMBF(Federal Ministry of Education &amp; Research (BMBF))</t>
  </si>
  <si>
    <t>We are grateful to the German Federal Ministry of Education and Research (BMBF) for funding the BMBF projects CARIMA and CAHOL as subprojects of the research programs CAME and CAME II (BMBF grants 03G0806A, 03G0806B, 03G0806C, 03G0864A). We thank Frauke Langenberg and Sabine Beckmann for analytical support. Reiner Schlitzer and the ODV group are acknowledged for supplying the program Ocean Data View used for Figs. 1, 2, 4, and 5 (Ocean Data View available at http://odv.awi.de). Computations with KCM were carried out at the computing center of the University of Kiel. The authors are indebted to the late Ernst Maier-Reimer for his curiosity and interest in their research over many years and his never-ending willingness to help and test hypotheses with his numerical models.</t>
  </si>
  <si>
    <t>JAN 26</t>
  </si>
  <si>
    <t>10.5194/bg-15-507-2018</t>
  </si>
  <si>
    <t>FT8LN</t>
  </si>
  <si>
    <t>WOS:000423404400002</t>
  </si>
  <si>
    <t>Fegyveresi, JM; Alley, RB; Muto, A; Orsi, AJ; Spencer, MK</t>
  </si>
  <si>
    <t>Fegyveresi, John M.; Alley, Richard B.; Muto, Atsuhiro; Orsi, Anais J.; Spencer, Matthew K.</t>
  </si>
  <si>
    <t>Surface formation, preservation, and history of low-porosity crusts at the WAIS Divide site, West Antarctica</t>
  </si>
  <si>
    <t>CORE WD2014 CHRONOLOGY; ICE CORE; TEMPERATURE-GRADIENT; ENERGY-BALANCE; SNOW METAMORPHISM; SCALAR TRANSFER; MELT LAYERS; DEPTH-HOAR; DRY SNOW; GREENLAND</t>
  </si>
  <si>
    <t>Observations at the West Antarctic Ice Sheet (WAIS) Divide site show that near-surface snow is strongly altered by weather-related processes such as strong winds and temperature fluctuations, producing features that are recognizable in the deep ice core. Prominent glazed surface crusts develop frequently at the site during summer seasons. Surface, snow pit, and ice core observations made in this study during summer field seasons from 2008-2009 to 2012-2013, supplemented by automated weather station (AWS) data with short-and longwave radiation sensors, revealed that such crusts formed during relatively low-wind, low-humidity, clear-sky periods with intense daytime sunshine. After formation, such glazed surfaces typically developed cracks in a polygonal pattern likely from thermal contraction at night. Cracking was commonest when several clear days occurred in succession and was generally followed by surface hoar growth; vapor escaping through the cracks during sunny days may have contributed to the high humidity that favored nighttime formation of surface hoar. Temperature and radiation observations show that daytime solar heating often warmed the near-surface snow above the air temperature, contributing to upward mass transfer, favoring crust formation from below, and then surface hoar formation. A simple surface energy calculation supports this observation. Subsequent examination of the WDC06A deep ice core revealed that crusts are preserved through the bubbly ice, and some occur in snow accumulated during winters, although not as commonly as in summertime deposits. Although no one has been on site to observe crust formation during winter, it may be favored by greater wintertime wind packing from stronger peak winds, high temperatures and steep temperature gradients from rapid midwinter warmings reaching as high as -15 degrees C, and perhaps longer intervals of surface stability. Time variations in crust occurrence in the core may provide paleoclimatic information, although additional studies are required. Discontinuity and cracking of crusts likely explain why crusts do not produce significant anomalies in other paleoclimatic records.</t>
  </si>
  <si>
    <t>[Fegyveresi, John M.] US Cold Reg Res &amp; Engn Lab CRREL, Terr &amp; Cryospher Sci Branch, Hanover, NH 03755 USA; [Fegyveresi, John M.; Alley, Richard B.] Penn State Univ, Dept Geosci, University Pk, PA 16802 USA; [Fegyveresi, John M.; Alley, Richard B.] Penn State Univ, Earth &amp; Environm Syst Inst, University Pk, PA 16802 USA; [Muto, Atsuhiro] Temple Univ, Coll Sci &amp; Technol, Dept Earth &amp; Environm Sci, Philadelphia, PA 19122 USA; [Orsi, Anais J.] Univ Paris Saclay, LSCE, IPSL, CEA,CNRS,UVSQ, F-91191 Gif Sur Yvette, France; [Spencer, Matthew K.] Lake Super State Univ, Sch Phys Sci, Sault Sainte Marie, MI 49783 USA</t>
  </si>
  <si>
    <t>United States Department of Defense; United States Army; U.S. Army Corps of Engineers; U.S. Army Engineer Research &amp; Development Center (ERDC); Cold Regions Research &amp; Engineering Laboratory (CRREL);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Temple University; Universite Paris Saclay; Universite Paris Cite; CEA; Centre National de la Recherche Scientifique (CNRS)</t>
  </si>
  <si>
    <t>Fegyveresi, JM (corresponding author), US Cold Reg Res &amp; Engn Lab CRREL, Terr &amp; Cryospher Sci Branch, Hanover, NH 03755 USA.;Fegyveresi, JM (corresponding author), Penn State Univ, Dept Geosci, University Pk, PA 16802 USA.;Fegyveresi, JM (corresponding author), Penn State Univ, Earth &amp; Environm Syst Inst, University Pk, PA 16802 USA.</t>
  </si>
  <si>
    <t>fegy.john@gmail.com</t>
  </si>
  <si>
    <t>Muto, Atsuhiro/AAJ-9558-2020</t>
  </si>
  <si>
    <t>Muto, Atsuhiro/0000-0002-1722-2457; Alley, Richard/0000-0003-1833-0115; Fegyveresi, John/0000-0002-1029-6277; Orsi, Anais/0000-0001-5511-3940</t>
  </si>
  <si>
    <t>US National Science Foundation Division of Polar Programs [0539578, 1043528, 1142085, 1619793]; Directorate For Geosciences; Office of Polar Programs (OPP) [1043528, 1619793, 1142085] Funding Source: National Science Foundation; Office of Polar Programs (OPP); Directorate For Geosciences [0539578] Funding Source: National Science Foundation</t>
  </si>
  <si>
    <t>US National Science Foundation Division of Polar Programs(National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</si>
  <si>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acknowledge the following funding sources for support of this work: US National Science Foundation Division of Polar Programs grants 0539578, 1043528, 1142085, and 1619793. We also acknowledge Donald E. Voigt, Joan J. Fitzpatrick, Eric D. Cravens, and the staff of the US National Ice Core Laboratory in Denver, Colorado, as well as the WAIS Divide Science Coordination Office at the University of New Hampshire and the Ice Drilling Design and Operations group at the University of Wisconsin. We thank numerous colleagues involved with the WAIS Divide project, especially Kendrick Taylor, Mark Twickler, and Joseph Souney. We thank Bess Koffman, Gifford Wong, Dominic Winski, Aron Buffen, and Logan Mitchell for assistance with snow pit preparation. We thank Jonathan Thom and the University of Wisconsin-Madison Automatic Weather Station Program for assistance with weather station sensor installation. Lastly, we thank our reviewers, whose thoughtful suggestions and questions served to clarify and improve the manuscript. Any use of trade, firm, or product names is for descriptive purposes only and does not imply endorsement.</t>
  </si>
  <si>
    <t>10.5194/tc-12-325-2018</t>
  </si>
  <si>
    <t>FT9FH</t>
  </si>
  <si>
    <t>WOS:000423457000002</t>
  </si>
  <si>
    <t>Goñi, MFS; Desprat, S; Fletcher, WJ; Morales-Molino, C; Naughton, F; Oliveira, D; Urrego, DH; Zorzi, C</t>
  </si>
  <si>
    <t>Goni, Maria F. Sanchez; Desprat, Stephanie; Fletcher, William J.; Morales-Molino, Cesar; Naughton, Filipa; Oliveira, Dulce; Urrego, Dunia H.; Zorzi, Coralie</t>
  </si>
  <si>
    <t>Pollen from the Deep-Sea: A Breakthrough in the Mystery of the Ice Ages</t>
  </si>
  <si>
    <t>FRONTIERS IN PLANT SCIENCE</t>
  </si>
  <si>
    <t>vegetation; millennial-scale climate variability; Dansgaard-Oeschger cycles; Heinrich events; glaciations; interglacials; Europe; Quaternary</t>
  </si>
  <si>
    <t>LAST GLACIAL PERIOD; SUBPOLAR NORTH-ATLANTIC; MERIDIONAL OVERTURNING CIRCULATION; MILLENNIAL-SCALE VARIABILITY; CLIMATIC VARIABILITY; IBERIAN MARGIN; OCEAN CIRCULATION; GREENLAND ICE; ANTARCTIC ICE; INTERGLACIAL COMPLEX</t>
  </si>
  <si>
    <t>Pollen from deep-sea sedimentary sequences provides an integrated regional reconstruction of vegetation and climate (temperature, precipitation, and seasonality) on the adjacent continent. More importantly, the direct correlation of pollen, marine and ice indicators allows comparison of the atmospheric climatic changes that have affected the continent with the response of the Earth's other reservoirs, i.e., the oceans and cryosphere, without any chronological uncertainty. The study of long continuous pollen records from the European margin has revealed a changing and complex interplay between European climate, North Atlantic sea surface temperatures (SSTs), ice growth and decay, and high-and low-latitude forcing at orbital and millennial timescales. These records have shown that the amplitude of the last five terrestrial interglacials was similar above 40 degrees N, while below 40 degrees N their magnitude differed due to precession-modulated changes in seasonality and, particularly, winter precipitation. These records also showed that vegetation response was in dynamic equilibrium with rapid climate changes such as the Dangaard-Oeschger (D-O) cycles and Heinrich events, similar in magnitude and velocity to the ongoing global warming. However, the magnitude of the millennial-scale warming events of the last glacial period was regionally-specific. Precession seems to have imprinted regions below 40 degrees N while obliquity, which controls average annual temperature, probably mediated the impact of D-O warming events above 40 degrees N. A decoupling between high-and low-latitude climate was also observed within last glacial warm (Greenland interstadials) and cold phases (Greenland stadials). The synchronous response of western European vegetation/climate and eastern North Atlantic SSTs to D-O cycles was not a pervasive feature throughout the Quaternary. During periods of ice growth such as MIS 5a/4, MIS 11c/b and MIS 19c/b, repeated millennial-scale cold-air/warm-sea decoupling events occurred on the European margin superimposed to a long-term air-sea decoupling trend. Strong air-sea thermal contrasts promoted the production of water vapor that was then transported northward by the westerlies and fed ice sheets. This interaction between long-term and shorter timescale climatic variability may have amplified insolation decreases and thus explain the Ice Ages. This hypothesis should be tested by the integration of stochastic processes in Earth models of intermediate complexity.</t>
  </si>
  <si>
    <t>[Goni, Maria F. Sanchez; Desprat, Stephanie; Morales-Molino, Cesar; Oliveira, Dulce] EPHE PSL Univ, Ecole Prat Hautes Etud, Paris, France; [Goni, Maria F. Sanchez; Desprat, Stephanie; Morales-Molino, Cesar; Oliveira, Dulce] Univ Bordeaux, Environm &amp; Paleoenvironm Ocean &amp; Continentaux, UMR 5805, Pessac, France; [Fletcher, William J.] Univ Manchester, Sch Environm Educ &amp; Dev, Dept Geog, Quaternary Environm &amp; Geoarchaeol, Manchester, Lancs, England; [Naughton, Filipa; Oliveira, Dulce] Portuguese Inst Sea &amp; Atmosphere, Lisbon, Portugal; [Naughton, Filipa] Algarve Univ, Ctr Marine Sci, Faro, Portugal; [Urrego, Dunia H.] Univ Exeter, Coll Life &amp; Environm Sci, Exeter, Devon, England; [Zorzi, Coralie] Univ Quebec, Geotop, Montreal, PQ, Canada</t>
  </si>
  <si>
    <t>Universite PSL; Ecole Pratique des Hautes Etudes (EPHE); Universite de Bordeaux; Centre National de la Recherche Scientifique (CNRS); CNRS - National Institute for Earth Sciences &amp; Astronomy (INSU); University of Manchester; Instituto Portugues do Mar e da Atmosfera; Universidade do Algarve; University of Exeter; University of Quebec; University of Quebec Montreal</t>
  </si>
  <si>
    <t>Goñi, MFS (corresponding author), EPHE PSL Univ, Ecole Prat Hautes Etud, Paris, France.;Goñi, MFS (corresponding author), Univ Bordeaux, Environm &amp; Paleoenvironm Ocean &amp; Continentaux, UMR 5805, Pessac, France.</t>
  </si>
  <si>
    <t>maria.sanchez-goni@u-bordeaux.fr</t>
  </si>
  <si>
    <t>Sanchez Goñi, Maria Fernanda/R-3699-2019; Naughton, Filipa/AAA-1589-2019; Morales-Molino, Cesar/B-3315-2011; Desprat, Stephanie/N-7637-2013; Urrego, Dunia H./A-6545-2010</t>
  </si>
  <si>
    <t>Sanchez Goñi, Maria Fernanda/0000-0001-8238-7488; Naughton, Filipa/0000-0002-3055-9396; Morales-Molino, Cesar/0000-0002-9464-862X; Desprat, Stephanie/0000-0003-4400-679X;</t>
  </si>
  <si>
    <t>WarmClim; LEFE-INSU; IMAGO project; IdEx Bordeaux; Climhol [PTDC/AACCLI/100157/2008]; Ultimatum [IF/01489/2015]; Portuguese Foundation for Science and Technology (FCT) [SFRH/BD/9079/2012]</t>
  </si>
  <si>
    <t>WarmClim; LEFE-INSU; IMAGO project; IdEx Bordeaux; Climhol; Ultimatum; Portuguese Foundation for Science and Technology (FCT)(Fundacao para a Ciencia e a Tecnologia (FCT))</t>
  </si>
  <si>
    <t>Financial support was provided by WarmClim, a LEFE-INSU, IMAGO project. CM-M was supported by an IdEx Bordeaux post-doctoral fellowship, FN by Climhol (PTDC/AACCLI/100157/2008) and Ultimatum (IF/01489/2015), DO by the Portuguese Foundation for Science and Technology (FCT) through the doctoral grant (SFRH/BD/9079/2012).</t>
  </si>
  <si>
    <t>FRONTIERS MEDIA SA</t>
  </si>
  <si>
    <t>LAUSANNE</t>
  </si>
  <si>
    <t>PO BOX 110, EPFL INNOVATION PARK, BUILDING I, LAUSANNE, 1015, SWITZERLAND</t>
  </si>
  <si>
    <t>1664-462X</t>
  </si>
  <si>
    <t>FRONT PLANT SCI</t>
  </si>
  <si>
    <t>Front. Plant Sci.</t>
  </si>
  <si>
    <t>10.3389/fpls.2018.00038</t>
  </si>
  <si>
    <t>Plant Sciences</t>
  </si>
  <si>
    <t>FT7TD</t>
  </si>
  <si>
    <t>Green Published, gold</t>
  </si>
  <si>
    <t>WOS:000423355000001</t>
  </si>
  <si>
    <t>Soler, GA; Edgar, GJ; Stuart-Smith, RD; Smith, ADM; Thomson, RJ</t>
  </si>
  <si>
    <t>Soler, German A.; Edgar, Graham J.; Stuart-Smith, Rick D.; Smith, Anthony D. M.; Thomson, Russell J.</t>
  </si>
  <si>
    <t>Moving beyond trophic groups: evaluating fishing-induced changes to temperate reef food webs</t>
  </si>
  <si>
    <t>MARINE ECOLOGY PROGRESS SERIES</t>
  </si>
  <si>
    <t>Australia; Fish diets; Herbivores; Marine protected areas; Marine reserves; Trophic cascades</t>
  </si>
  <si>
    <t>SOUTHERN AUSTRALIA; MARINE RESERVES; SIZE-STRUCTURE; WESTERN PORT; BODY-SIZE; ASSEMBLAGES; HABITAT; FISHES; ECOSYSTEM; ECOPATH</t>
  </si>
  <si>
    <t>Fish capture has far-reaching but inadequately assessed implications for marine food webs. At the community level, such effects are typically investigated using dynamic models that rely on partially subjective categorization of species into trophic groups and that mostly overlook the substantial contribution of ontogenetic dietary variation within fish species. Here, we estimate consumption by fish communities at 376 southern Australian sites by applying a recently developed statistical model that predicts diet for individual fish based on their body size and taxonomic identity, with predicted diets then summed to estimate total community consumption. Impacts of fishing and human population density as top-down pressures on shallow reef communities were thereby resolved at fine taxonomic scales. Fishes were estimated to consume 71% more prey biomass in southern Australian no-take marine protected areas (MPAs) relative to fished sites. Consumption of algae and sessile invertebrates was unexpectedly high in MPAs, an outcome not apparent with fish species allocated into pre-defined trophic groups. Extension of this individual size-structured modelling approach provides an opportunity to fill important knowledge gaps in understanding human impacts on marine food webs.</t>
  </si>
  <si>
    <t>[Soler, German A.; Edgar, Graham J.; Stuart-Smith, Rick D.] Univ Tasmania, Inst Marine &amp; Antarctic Studies, Private Bag 49, Hobart, Tas 7001, Australia; [Smith, Anthony D. M.] CSIRO Oceans &amp; Atmosphere, GPO Box 1538, Hobart, Tas 7001, Australia; [Thomson, Russell J.] Western Sydney Univ, Sch Comp Engn &amp; Math, Ctr Res Math, Penrith, NSW 2751, Australia</t>
  </si>
  <si>
    <t>University of Tasmania; Commonwealth Scientific &amp; Industrial Research Organisation (CSIRO); Western Sydney University</t>
  </si>
  <si>
    <t>Soler, GA (corresponding author), Univ Tasmania, Inst Marine &amp; Antarctic Studies, Private Bag 49, Hobart, Tas 7001, Australia.</t>
  </si>
  <si>
    <t>german.soler@utas.edu.au</t>
  </si>
  <si>
    <t>Edgar, Graham/AAY-3797-2020; Stuart-Smith, Rick D/M-1829-2013; Stuart-Smith, Rick/I-5214-2019; Thomson, Russell/H-5653-2012</t>
  </si>
  <si>
    <t>Edgar, Graham/0000-0003-0833-9001; Stuart-Smith, Rick D/0000-0002-8874-0083; Stuart-Smith, Rick/0000-0002-8874-0083; Thomson, Russell/0000-0003-4949-4120</t>
  </si>
  <si>
    <t>Australian Research Council, a Tasmania Graduate Research Scholarship; Marine Biodiversity Hub, through the Australian Government's National Environmental Science Programme</t>
  </si>
  <si>
    <t>Australian Research Council, a Tasmania Graduate Research Scholarship(Australian Research Council); Marine Biodiversity Hub, through the Australian Government's National Environmental Science Programme</t>
  </si>
  <si>
    <t>This study was supported by the Australian Research Council, a Tasmania Graduate Research Scholarship (to G.A.S.), and the Marine Biodiversity Hub, a collaborative partnership supported through the Australian Government's National Environmental Science Programme. We also thank Justin Hulls for designing the map of the study area and Dr. Kilian Stehfest in supporting the development of the Consume model. Additionally, we thank Dr. Stuart Kininmonth for providing estimates of human population across the study area. Input and comments by Dr. Simon Wotherspoon and Dr. Andre Punt when developing the predictive diet model were much appreciated.</t>
  </si>
  <si>
    <t>INTER-RESEARCH</t>
  </si>
  <si>
    <t>OLDENDORF LUHE</t>
  </si>
  <si>
    <t>NORDBUNTE 23, D-21385 OLDENDORF LUHE, GERMANY</t>
  </si>
  <si>
    <t>0171-8630</t>
  </si>
  <si>
    <t>1616-1599</t>
  </si>
  <si>
    <t>MAR ECOL PROG SER</t>
  </si>
  <si>
    <t>Mar. Ecol.-Prog. Ser.</t>
  </si>
  <si>
    <t>JAN 25</t>
  </si>
  <si>
    <t>10.3354/meps12433</t>
  </si>
  <si>
    <t>Ecology; Marine &amp; Freshwater Biology; Oceanography</t>
  </si>
  <si>
    <t>Environmental Sciences &amp; Ecology; Marine &amp; Freshwater Biology; Oceanography</t>
  </si>
  <si>
    <t>FX7GR</t>
  </si>
  <si>
    <t>Green Submitted, Green Accepted</t>
  </si>
  <si>
    <t>WOS:000426256700014</t>
  </si>
  <si>
    <t>Durrant, HMS; Barrett, NS; Edgar, GJ; Coleman, MA; Burridge, CP</t>
  </si>
  <si>
    <t>Durrant, Halley M. S.; Barrett, Neville S.; Edgar, Graham J.; Coleman, Melinda A.; Burridge, Christopher P.</t>
  </si>
  <si>
    <t>Seascape habitat patchiness and hydrodynamics explain genetic structuring of kelp populations</t>
  </si>
  <si>
    <t>Lessonia corrugata; Dispersal; Macroalgae; Seascape genetics; Microsatellites</t>
  </si>
  <si>
    <t>MARINE PROTECTED AREAS; MACROCYSTIS-PYRIFERA; GEOGRAPHICAL DISTANCE; GENOTYPIC DIVERSITY; LANDSCAPE GENETICS; CLIMATE-CHANGE; GIANT-KELP; CONNECTIVITY; PATTERNS; DISPERSAL</t>
  </si>
  <si>
    <t>Macroalgae underpin most temperate inshore ecosystems, but increasing macroalgal loss, fragmentation and range contractions are eroding connectivity among populations. Understanding loss, and predicting the likelihood of recovery, is dependent on knowledge of population connectivity and how it is mediated by variability in local seascapes. Although many studies of marine macroalgal connectivity have focussed on influences of geographic distance on genetic structure, the contribution of intervening habitat is rarely considered. We tested the extent to which geographic separation, intervening suitable habitat (reef versus sand and open water) and local hydrodynamics (inferred from particle dispersal models) explained structuring of genetic variation at microsatellite loci in the habitat forming macroalga Lessonia corrugata. Genetic structuring was best explained by the availability of suitable intervening habitat (rocky reef) rather than by geographic separation, although biologically realistic estimates of dispersal probability also became important at smaller spatial scales. Our results indicate that ecological separation can be more influential than geographic distance on population genetic structuring, and this should be considered during the assessment of connectivity and gene flow in marine species.</t>
  </si>
  <si>
    <t>[Durrant, Halley M. S.; Burridge, Christopher P.] Univ Tasmania, Sch Biol Sci, Private Bag 55, Hobart, Tas 7001, Australia; [Barrett, Neville S.; Edgar, Graham J.] Univ Tasmania, Inst Marine &amp; Antarctic Studies, Private Bag 129, Hobart, Tas 7001, Australia; [Coleman, Melinda A.] NSW Fisheries, Dept Primary Ind, POB 4321, Coffs Harbour, NSW 2450, Australia; [Coleman, Melinda A.] Southern Cross Univ, Natl Marine Sci Ctr, 2 Bay Dr, Coffs Harbour, NSW 2450, Australia</t>
  </si>
  <si>
    <t>University of Tasmania; University of Tasmania; NSW Department of Primary Industries; Southern Cross University</t>
  </si>
  <si>
    <t>Burridge, CP (corresponding author), Univ Tasmania, Sch Biol Sci, Private Bag 55, Hobart, Tas 7001, Australia.</t>
  </si>
  <si>
    <t>chris.burridge@utas.edu.au</t>
  </si>
  <si>
    <t>Burridge, Chris/L-4392-2019; Coleman, Melinda A/R-5563-2016; Edgar, Graham/AAY-3797-2020; Burridge, Christopher/J-2653-2012; Barrett, Neville/J-7593-2014</t>
  </si>
  <si>
    <t>Coleman, Melinda A/0000-0003-2623-633X; Edgar, Graham/0000-0003-0833-9001; Burridge, Christopher/0000-0002-8185-6091; Barrett, Neville/0000-0002-6167-1356</t>
  </si>
  <si>
    <t>Holsworth Wildlife Research Endowment; Australian Research Council [LP100200122]; Australian Research Council [LP100200122] Funding Source: Australian Research Council</t>
  </si>
  <si>
    <t>Holsworth Wildlife Research Endowment; Australian Research Council(Australian Research Council); Australian Research Council(Australian Research Council)</t>
  </si>
  <si>
    <t>We thank Nicole Burtt from the Australian Genome Research Facility, Justin Hulls from the Institute for Marine and Antarctic Studies, and Scott Condie from CSIRO for assistance and support. This project was funded by the Holsworth Wildlife Research Endowment and the Australian Research Council (LP100200122 awarded to G.J.E.). We do not have any conflicts of interest to declare.</t>
  </si>
  <si>
    <t>10.3354/meps12447</t>
  </si>
  <si>
    <t>Green Accepted, Green Submitted</t>
  </si>
  <si>
    <t>WOS:000426256700007</t>
  </si>
  <si>
    <t>Vollmer, MK; Young, D; Trudinger, CM; Mühle, J; Henne, S; Rigby, M; Park, S; Li, S; Guillevic, M; Mitrevski, B; Harth, CM; Miller, BR; Reimann, S; Yao, B; Steele, LP; Wyss, SA; Lunder, CR; Arduini, J; McCulloch, A; Wu, S; Rhee, TS; Wang, RHJ; Salameh, PK; Hermansen, O; Hill, M; Langenfelds, RL; Ivy, D; O'Doherty, S; Krummel, PB; Maione, M; Etheridge, DM; Zhou, LX; Fraser, PJ; Prinn, RG; Weiss, RF; Simmonds, PG</t>
  </si>
  <si>
    <t>Vollmer, Martin K.; Young, Dickon; Trudinger, Cathy M.; Muhle, Jens; Henne, Stephan; Rigby, Matthew; Park, Sunyoung; Li, Shanlan; Guillevic, Myriam; Mitrevski, Blagoj; Harth, Christina M.; Miller, Benjamin R.; Reimann, Stefan; Yao, Bo; Steele, L. Paul; Wyss, Simon A.; Lunder, Chris R.; Arduini, Jgor; McCulloch, Archie; Wu, Songhao; Rhee, Tae Siek; Wang, Ray H. J.; Salameh, Peter K.; Hermansen, Ove; Hill, Matthias; Langenfelds, Ray L.; Ivy, Diane; O'Doherty, Simon; Krummel, Paul B.; Maione, Michela; Etheridge, David M.; Zhou, Lingxi; Fraser, Paul J.; Prinn, Ronald G.; Weiss, Ray F.; Simmonds, Peter G.</t>
  </si>
  <si>
    <t>Atmospheric histories and emissions of chlorofluorocarbons CFC-13 (CClF3), ΣCFC-114 (C2Cl2F4), and CFC-115 (C2ClF5)</t>
  </si>
  <si>
    <t>OZONE-DEPLETING SUBSTANCES; INFRARED-ABSORPTION SPECTRA; GLOBAL WARMING POTENTIALS; PARTICLE DISPERSION MODEL; IN-SITU MEASUREMENTS; 1ST OBSERVATIONS; AIR ARCHIVE; TRENDS; HALOCARBONS; LIFETIMES</t>
  </si>
  <si>
    <t>Based on observations of the chlorofluorocarbons CFC-13 (chlorotrifluoromethane), Sigma CFC-114 (combined measurement of both isomers of dichlorotetrafluoroethane), and CFC-115 (chloropentafluoroethane) in atmospheric and firn samples, we reconstruct records of their tropospheric histories spanning nearly 8 decades. These compounds were measured in polar firn air samples, in ambient air archived in canisters, and in situ at the AGAGE (Advanced Global Atmospheric Gases Experiment) network and affiliated sites. Global emissions to the atmosphere are derived from these observations using an inversion based on a 12-box atmospheric transport model. For CFC-13, we provide the first comprehensive global analysis. This compound increased monotonically from its first appearance in the atmosphere in the late 1950s to a mean global abundance of 3.18 ppt (dry-air mole fraction in parts per trillion, pmol mol(-1)) in 2016. Its growth rate has decreased since the mid-1980s but has remained at a surprisingly high mean level of 0.02 ppt yr(-1) since 2000, resulting in a continuing growth of CFC-13 in the atmosphere. Sigma CFC-114 increased from its appearance in the 1950s to a maximum of 16.6 ppt in the early 2000s and has since slightly declined to 16.3 ppt in 2016. CFC-115 increased monotonically from its first appearance in the 1960s and reached a global mean mole fraction of 8.49 ppt in 2016. Growth rates of all three compounds over the past years are significantly larger than would be expected from zero emissions. Under the assumption of unchanging lifetimes and atmospheric transport patterns, we derive global emissions from our measurements, which have remained unexpectedly high in recent years: mean yearly emissions for the last decade (2007-2016) of CFC-13 are at 0.48 +/- 0.15 kt yr(-1) (&gt; 15% of past peak emissions), of 6 CFC-114 at 1.90 +/- 0.84 kt yr(-1) (similar to 10% of peak emissions), and of CFC-115 at 0.80 +/- 0.50 kt yr(-1) (&gt; 5% of peak emissions). Mean yearly emissions of CFC-115 for 2015-2016 are 1.14 +/- 0.50 kt yr(-1) and have doubled compared to the 2007-2010 minimum. We find CFC-13 emissions from aluminum smelters but if extrapolated to global emissions, they cannot account for the lingering global emissions determined from the atmospheric observations. We find impurities of CFC-115 in the refrigerant HFC-125 (CHF2CF3) but if extrapolated to global emissions, they can neither account for the lingering global CFC-115 emissions determined from the atmospheric observations nor for their recent increases. We also conduct regional inversions for the years 2012-2016 for the northeastern Asian area using observations from the Korean AGAGE site at Gosan and find significant emissions for Sigma CFC-114 and CFC-115, suggesting that a large fraction of their global emissions currently occur in northeastern Asia and more specifically on the Chinese mainland.</t>
  </si>
  <si>
    <t>[Vollmer, Martin K.; Henne, Stephan; Reimann, Stefan; Wyss, Simon A.; Hill, Matthias] Empa, Swiss Fed Labs Mat Sci &amp; Technol, Lab Air Pollut &amp; Environm Technol, Uberlandstr 129, CH-8600 Dubendorf, Switzerland; [Young, Dickon; Rigby, Matthew; McCulloch, Archie; O'Doherty, Simon; Simmonds, Peter G.] Univ Bristol, Sch Chem, Atmospher Chem Res Grp, Bristol, Avon, England; [Trudinger, Cathy M.; Mitrevski, Blagoj; Steele, L. Paul; Langenfelds, Ray L.; Krummel, Paul B.; Etheridge, David M.; Fraser, Paul J.] CSIRO Oceans &amp; Atmosphere, Climate Sci Ctr, Aspendale, Vic, Australia; [Muhle, Jens; Harth, Christina M.; Salameh, Peter K.; Weiss, Ray F.] Univ Calif San Diego, Scripps Inst Oceanog, La Jolla, CA 92093 USA; [Park, Sunyoung; Li, Shanlan; Wu, Songhao] Kyungpook Natl Univ, Kyungpook Inst Oceanog, Daegu, South Korea; [Guillevic, Myriam] Fed Inst Metrol, METAS, Lindenweg 50, Bern, Switzerland; [Miller, Benjamin R.] NOAA, Earth Syst Res Lab, Boulder, CO USA; [Miller, Benjamin R.] Univ Colorado, Cooperat Inst Res Environm Sci, Boulder, CO 80309 USA; [Yao, Bo] CMA, MOC, Beijing, Peoples R China; [Lunder, Chris R.; Hermansen, Ove] Norwegian Inst Air Res, Kjeller, Norway; [Arduini, Jgor; Maione, Michela] Univ Urbino, Dept Pure &amp; Appl Sci, Urbino, Italy; [Arduini, Jgor; Maione, Michela] Italian Natl Res Council, Inst Atmospher Sci &amp; Climate, Bologna, Italy; [Rhee, Tae Siek] KIOST, Korea Polar Res Inst, Incheon, South Korea; [Wang, Ray H. J.] Georgia Inst Technol, Sch Earth &amp; Atmospher Sci, Atlanta, GA 30332 USA; [Ivy, Diane; Prinn, Ronald G.] MIT, Ctr Global Change Sci, 77 Massachusetts Ave, Cambridge, MA 02139 USA; [Zhou, Lingxi] Chinese Acad Meteorol Sci, CMA, Beijing, Peoples R China</t>
  </si>
  <si>
    <t>Swiss Federal Institutes of Technology Domain; Swiss Federal Laboratories for Materials Science &amp; Technology (EMPA); University of Bristol; Commonwealth Scientific &amp; Industrial Research Organisation (CSIRO); University of California System; University of California San Diego; Scripps Institution of Oceanography; Kyungpook National University; Swiss Federal Institute for Metrology (METAS); National Oceanic Atmospheric Admin (NOAA) - USA; University of Colorado System; University of Colorado Boulder; China Meteorological Administration; NILU; University of Urbino; Consiglio Nazionale delle Ricerche (CNR); Istituto di Scienze dell'Atmosfera e del Clima (ISAC-CNR); Korea Institute of Ocean Science &amp; Technology (KIOST); Korea Polar Research Institute (KOPRI); University System of Georgia; Georgia Institute of Technology; Massachusetts Institute of Technology (MIT); China Meteorological Administration; Chinese Academy of Meteorological Sciences (CAMS)</t>
  </si>
  <si>
    <t>Vollmer, MK (corresponding author), Empa, Swiss Fed Labs Mat Sci &amp; Technol, Lab Air Pollut &amp; Environm Technol, Uberlandstr 129, CH-8600 Dubendorf, Switzerland.</t>
  </si>
  <si>
    <t>martin.vollmer@empa.ch</t>
  </si>
  <si>
    <t>arduini, jgor/N-2798-2016; Fraser, Paul J. B./D-1755-2012; Yao, Bo/F-9846-2010; Krummel, Paul B/A-4293-2013; Steele, Paul/B-3185-2009; Park, Sunyoung/Q-5477-2019; Young, Dickon/AFO-7065-2022; Muhle, Jens/GPX-3244-2022; Etheridge, David M/B-7334-2013; Henne, Stephan/A-3467-2009; Mitrevski, Blagoj/JAT-7514-2023; Trudinger, Cathy/A-2532-2008; Reimann, Stefan/A-2327-2009; Rigby, Matthew/A-5555-2012; Langenfelds, Ray/B-5381-2012</t>
  </si>
  <si>
    <t>arduini, jgor/0000-0002-5199-3853; Krummel, Paul B/0000-0002-4884-3678; Young, Dickon/0000-0002-6723-3138; Muhle, Jens/0000-0001-9776-3642; Trudinger, Cathy/0000-0002-4844-2153; Etheridge, David/0000-0001-7970-2002; Reimann, Stefan/0000-0002-9885-7138; Rigby, Matthew/0000-0002-2020-9253; Langenfelds, Ray/0000-0003-4890-2049; Maione, Michela/0000-0002-2622-5772</t>
  </si>
  <si>
    <t>NASA [NAG5-12669, NNX07AE89G, NNX11AF17G, NNX16AC98G, NNX07AE87G, NNX07AF09G, NNX11AF15G, NNX11AF16G]; Department for Business, Energy AMP; Industrial Strategy (BEIS) [1028/06/2015]; University of East Anglia for Tacolneston; NOAA (USA) [RA-133-R15-CN-0008]; Commonwealth Scientific and Industrial Research Organization (CSIRO Australia); Bureau of Meteorology (Australia); Department of Environment and Energy (Australia); Refrigerant Reclaim Australia; Swiss National Program HALCLIM (Swiss Federal Office for the Environment, FOEN); International Foundation High Altitude Research Stations Jungfraujoch and Gornergrat (HFSJG); Norwegian Environment Agency; National Research Council of Italy; Italian Ministry of Education, University and Research through Project of National Interest Nextdata; Korea Meteorological Administration research and development program [CATER 2014-6020]; National Nature Science Foundation of China [41575114]; Swiss State Secretariat for Education and Research and Innovation (SERI); National Research Foundation of Korea; Korean Polar Research Institute [PE13410, PP16102]; Australian Climate Change Science Program (ACCSP), an Australian government initiative; Australian Antarctic Science Program; Belgium (FNRS-CFB); Belgium (FWO); Canada (NRCan/GSC); China (CAS); Denmark (FIST); France (IPEV); France (CNRS/INSU); France (CEA); France (ANR); Germany (AWI); Iceland (RannIs); Japan (NIPR); Korea (KOPRI); Netherlands (NWO/ALW); Sweden (VR); Switzerland (SNF); UK (NERC); USA (US NSF, Office of Polar Programs); CSIRO Office of the Chief Executive Distinguished Visiting Scientist grant; Empa; SNF; UK Natural Environment Research Council (NERC) [NE/1021365/1]; NERC [NE/M014851/1, NE/I021365/1] Funding Source: UKRI; Natural Environment Research Council [NE/I021365/1, NE/M014851/1] Funding Source: researchfish</t>
  </si>
  <si>
    <t>NASA(National Aeronautics &amp; Space Administration (NASA)); Department for Business, Energy AMP; Industrial Strategy (BEIS); University of East Anglia for Tacolneston; NOAA (USA)(National Oceanic Atmospheric Admin (NOAA) - USA); Commonwealth Scientific and Industrial Research Organization (CSIRO Australia)(Commonwealth Scientific &amp; Industrial Research Organisation (CSIRO)); Bureau of Meteorology (Australia)(Bureau of Meteorology - Australia); Department of Environment and Energy (Australia); Refrigerant Reclaim Australia; Swiss National Program HALCLIM (Swiss Federal Office for the Environment, FOEN); International Foundation High Altitude Research Stations Jungfraujoch and Gornergrat (HFSJG); Norwegian Environment Agency; National Research Council of Italy(Consiglio Nazionale delle Ricerche (CNR)); Italian Ministry of Education, University and Research through Project of National Interest Nextdata; Korea Meteorological Administration research and development program(Korea Meteorological Administration (KMA)); National Nature Science Foundation of China(National Natural Science Foundation of China (NSFC)); Swiss State Secretariat for Education and Research and Innovation (SERI); National Research Foundation of Korea(National Research Foundation of Korea); Korean Polar Research Institute; Australian Climate Change Science Program (ACCSP), an Australian government initiative; Australian Antarctic Science Program; 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UK (NERC)(UK Research &amp; Innovation (UKRI)Natural Environment Research Council (NERC)); USA (US NSF, Office of Polar Programs); CSIRO Office of the Chief Executive Distinguished Visiting Scientist grant; Empa; SNF; 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</si>
  <si>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acknowledge the station personnel at all stations for their continuous support in conducting in situ measurements and in flask sampling at Cape Grim (CSIRO and Bureau of Meteorology) and King Sejong (KOPRI). David Oram (UEA) is acknowledged for analytic CFC-114a/CFC-114 details of an SIO primary standard and James Burkholder for clarifications on the CFC-114 climate metrics. The joint Cape Grim Air Archive (CGAA) project is operated by CSIRO and the Australian Bureau of Meteorology. AGAGE operations are supported by NASA with grants NAG5-12669, NNX07AE89G, NNX11AF17G, and NNX16AC98G to MIT and grants NNX07AE87G, NNX07AF09G, NNX11AF15G, and NNX11AF16G to SIO. Further support comes from the Department for Business, Energy &amp; Industrial Strategy (BEIS) contract 1028/06/2015 to the University of Bristol for Mace Head and the University of East Anglia for Tacolneston and NOAA (USA) contract RA-133-R15-CN-0008 to the University of Bristol for Barbados. Support for the Australian operations also comes from the Commonwealth Scientific and Industrial Research Organization (CSIRO Australia), the Bureau of Meteorology (Australia), the Department of Environment and Energy (Australia), and Refrigerant Reclaim Australia. Financial support for the measurements at the other sites is provided for Jungfraujoch by the Swiss National Program HALCLIM (Swiss Federal Office for the Environment, FOEN) and by the International Foundation High Altitude Research Stations Jungfraujoch and Gornergrat (HFSJG); for Zeppelin by the Norwegian Environment Agency; for Monte Cimone by the National Research Council of Italy and the Italian Ministry of Education, University and Research through the Project of National Interest Nextdata; for Gosan by the Korea Meteorological Administration research and development program under grant CATER 2014-6020; and for Shangdianzi by the National Nature Science Foundation of China (41575114). Support for King Sejong flask samples comes from the Swiss State Secretariat for Education and Research and Innovation (SERI), the National Research Foundation of Korea for the Korean-Swiss Science and Technology Cooperation Program, and the Korean Polar Research Institute programs PE13410 and PP16102. CSIRO's contribution was supported in part by the Australian Climate Change Science Program (ACCSP), an Australian government initiative. Australian firn activities in the Antarctic are specifically supported by the Australian Antarctic Science Program. We acknowledge the members of the firn air sampling teams for provision of the samples from Law Dome, NEEM, and South Pole.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the UK (NERC), and the USA (US NSF, Office of Polar Programs). Martin K. Vollmer acknowledges a 2011 CSIRO Office of the Chief Executive Distinguished Visiting Scientist grant, and 2016 grants from Empa and SNF to CSIRO Aspendale for technical development and archived air and firn air measurements. Matthew Rigby was supported in part by advanced research fellowships from the UK Natural Environment Research Council (NERC, NE/1021365/1).</t>
  </si>
  <si>
    <t>10.5194/acp-18-979-2018</t>
  </si>
  <si>
    <t>FT7RI</t>
  </si>
  <si>
    <t>Green Published, Green Submitted, gold</t>
  </si>
  <si>
    <t>WOS:000423349900004</t>
  </si>
  <si>
    <t>Andrade, ACDP; Arantes, TS; Rodrigues, RAL; Machado, TB; Dornas, FP; Landell, MF; Furst, C; Borges, LGA; Dutra, LAL; Almeida, G; Trindade, GDS; Bergier, I; Abrahao, W; Borges, IA; Cortines, JR; de Oliveira, DB; Kroon, EG; Abrahao, JS</t>
  </si>
  <si>
    <t>Andrade, Ana Claudia dos S. P.; Arantes, Thalita S.; Rodrigues, Rodrigo A. L.; Machado, Talita B.; Dornas, Fabio P.; Landell, Melissa F.; Furst, Cinthia; Borges, Luiz G. A.; Dutra, Lara A. L.; Almeida, Gabriel; Trindade, Giliane de S.; Bergier, Ivan; Abrahao, Walter; Borges, Iara A.; Cortines, Juliana R.; de Oliveira, Danilo B.; Kroon, Erna G.; Abrahao, Jonatas S.</t>
  </si>
  <si>
    <t>Ubiquitous giants: a plethora of giant viruses found in Brazil and Antarctica</t>
  </si>
  <si>
    <t>VIROLOGY JOURNAL</t>
  </si>
  <si>
    <t>Giant viruses; Prospection; Brazil; Antarctica; Pandoravirus; Cedratvirus; Marseillevirus; Mimivirus</t>
  </si>
  <si>
    <t>1ST ISOLATION; DNA VIRUSES; MARSEILLEVIRUS; MIMIVIRUS; PATIENT; GENOME; HIGHLIGHTS; LINEAGE; AMEBAS; STOOL</t>
  </si>
  <si>
    <t>Background: Since the discovery of giant viruses infecting amoebae in 2003, many dogmas of virology have been revised and the search for these viruses has been intensified. Over the last few years, several new groups of these viruses have been discovered in various types of samples and environments. In this work, we describe the isolation of 68 giant viruses of amoeba obtained from environmental samples from Brazil and Antarctica. Methods: Isolated viruses were identified by hemacolor staining, PCR assays and electron microscopy (scanning and/or transmission). Results: A total of 64 viruses belonging to the Mimiviridae family were isolated (26 from lineage A, 13 from lineage B, 2 from lineage C and 23 from unidentified lineages) from different types of samples, including marine water from Antarctica, thus being the first mimiviruses isolated in this extreme environment to date. Furthermore, a marseillevirus was isolated from sewage samples along with two pandoraviruses and a cedratvirus (the third to be isolated in the world so far). Conclusions: Considering the different type of samples, we found a higher number of viral groups in sewage samples. Our results reinforce the importance of prospective studies in different environmental samples, therefore improving our comprehension about the circulation anddiversity of these viruses in nature.</t>
  </si>
  <si>
    <t>[Andrade, Ana Claudia dos S. P.; Arantes, Thalita S.; Rodrigues, Rodrigo A. L.; Machado, Talita B.; Dornas, Fabio P.; Trindade, Giliane de S.; Borges, Iara A.; Kroon, Erna G.; Abrahao, Jonatas S.] Univ Fed Minas Gerais, Inst Ciencias Biol, Lab Virus, Dept Microbiol, Belo Horizonte, MG, Brazil; [Landell, Melissa F.] Univ Fed Alagoas, Lab Diversidade Mol, Inst Ciencias Biol &amp; Saude, Maceio, Brazil; [Furst, Cinthia] Univ Fed Espirito Santo, Dept Patol, Maruipe, Brazil; [Borges, Luiz G. A.] Icahn Sch Med Mt Sinai, Dept Microbiol, New York, NY 10029 USA; [Borges, Luiz G. A.] Pontificia Univ Catolica Rio Grande do Sul, Inst Petroleo &amp; Recursos Nat IPR, Porto Alegre, RS, Brazil; [Dutra, Lara A. L.; Almeida, Gabriel] Univ Jyvaskyla, Dept Biol &amp; Environm Sci, Jyvaskyla, Finland; [Bergier, Ivan] Embrapa Pantanal, Corumba, Brazil; [Abrahao, Walter] Univ Fed Vicosa, Vicosa, MG, Brazil; [Cortines, Juliana R.] Univ Fed Rio de Janeiro, Dept Virol, Rio De Janeiro, Brazil; [de Oliveira, Danilo B.] Univ Fed Vales Jequitinhonha &amp; Mucuri, Fac Med, Diamantina, Brazil</t>
  </si>
  <si>
    <t>Universidade Federal de Minas Gerais; Universidade Federal de Alagoas; Universidade Federal do Espirito Santo; Icahn School of Medicine at Mount Sinai; Pontificia Universidade Catolica Do Rio Grande Do Sul; University of Jyvaskyla; Empresa Brasileira de Pesquisa Agropecuaria (EMBRAPA); Universidade Federal de Vicosa; Universidade Federal do Rio de Janeiro; Universidade Federal dos Vales do Jequitinhonha e Mucuri (UFVJM)</t>
  </si>
  <si>
    <t>Abrahao, JS (corresponding author), Univ Fed Minas Gerais, Inst Ciencias Biol, Lab Virus, Dept Microbiol, Belo Horizonte, MG, Brazil.</t>
  </si>
  <si>
    <t>jonatas.abrahao@gmail.com</t>
  </si>
  <si>
    <t>Abrahão, Jônatas/B-3895-2015; Bergier, Ivan/H-7514-2013; Cortines, Juliana/V-3997-2019; Dornas, Fabio/AAI-3582-2020; oliveira, danilo/AAX-5520-2021; Kroon, Erna/V-5444-2019; Almeida, Gabriel/IWE-5361-2023; Abrahão, Jônatas/JFJ-2627-2023; Bueloni, Cinthia Furst Leroy Gomes/AAJ-1526-2021; Rodrigues, Rodrigo/JQH-8862-2023; Dutra, Lara/ABX-5652-2022; Almeida, Gabriel/I-8910-2012; dos Anjos Borges, Luiz Gustavo/G-6445-2015; Rodrigues, Rodrigo Araújo Lima/AAI-9292-2021; Fontes Landell, Melissa/N-9546-2013</t>
  </si>
  <si>
    <t>Abrahão, Jônatas/0000-0001-9420-1791; Bergier, Ivan/0000-0002-1076-8617; Dornas, Fabio/0000-0001-7926-5551; oliveira, danilo/0000-0002-3566-2878; Dutra, Lara/0000-0003-3393-1613; Almeida, Gabriel/0000-0003-2317-5092; dos Anjos Borges, Luiz Gustavo/0000-0002-6987-0309; Rodrigues, Rodrigo Araújo Lima/0000-0001-7148-4012; Apolinario Borges, Iara/0000-0003-1466-5575; Fontes Landell, Melissa/0000-0001-6848-0803; Cortines, Juliana/0000-0003-2481-9267</t>
  </si>
  <si>
    <t>CNPq; CAPES; FAPMEIG; Brazilian National Science and Technology Institute on Antarctic Environmental Research (INCT-APA) [CNPq 574018/2008]; Brazilian Antarctic Program, PROANTAR, as part of the IPY [403, 520194/2006-3]</t>
  </si>
  <si>
    <t>CNPq(Conselho Nacional de Desenvolvimento Cientifico e Tecnologico (CNPQ)); CAPES(Coordenacao de Aperfeicoamento de Pessoal de Nivel Superior (CAPES)); FAPMEIG; Brazilian National Science and Technology Institute on Antarctic Environmental Research (INCT-APA); Brazilian Antarctic Program, PROANTAR, as part of the IPY</t>
  </si>
  <si>
    <t>The scholarships were provided by CNPq, CAPES and FAPMEIG. The financial and logistic support were provided by The Brazilian National Science and Technology Institute on Antarctic Environmental Research (INCT-APA, CNPq 574018/2008) and Brazilian Antarctic Program, PROANTAR, as part of the IPY Activity no. 403 'MIDIAPI Microbial Diversity of Terrestrial and Maritime ecosystems in Antarctic Peninsula' (520194/2006-3). JSA, EGK, GST are CNPq researchers.</t>
  </si>
  <si>
    <t>BMC</t>
  </si>
  <si>
    <t>CAMPUS, 4 CRINAN ST, LONDON N1 9XW, ENGLAND</t>
  </si>
  <si>
    <t>1743-422X</t>
  </si>
  <si>
    <t>VIROL J</t>
  </si>
  <si>
    <t>Virol. J.</t>
  </si>
  <si>
    <t>JAN 24</t>
  </si>
  <si>
    <t>10.1186/s12985-018-0930-x</t>
  </si>
  <si>
    <t>Virology</t>
  </si>
  <si>
    <t>FU2LW</t>
  </si>
  <si>
    <t>WOS:000423682700001</t>
  </si>
  <si>
    <t>Bittig, HC; Körtzinger, A; Neill, C; van Ooijen, E; Plant, JN; Hahn, J; Johnson, KS; Yang, B; Emerson, SR</t>
  </si>
  <si>
    <t>Bittig, Henry C.; Koertzinger, Arne; Neill, Craig; van Ooijen, Eikbert; Plant, Joshua N.; Hahn, Johannes; Johnson, Kenneth S.; Yang, Bo; Emerson, Steven R.</t>
  </si>
  <si>
    <t>Oxygen Optode Sensors: Principle, Characterization, Calibration, and Application in the Ocean</t>
  </si>
  <si>
    <t>FRONTIERS IN MARINE SCIENCE</t>
  </si>
  <si>
    <t>dissolved oxygen; ocean observation; operational oceanography; marine technology; calibration; intercomparison; luminescence Quenching</t>
  </si>
  <si>
    <t>IN-SITU CALIBRATION; DISSOLVED-OXYGEN; SOLUBILITY; PRESSURE; AANDERAA; STABILITY; SURFACE; GASES; WATER</t>
  </si>
  <si>
    <t>Recently, measurements of oxygen concentration in the ocean -one of the most classical parameters in chemical oceanography-are experiencing a revival. This is not surprising, given the key role of oxygen for assessing the status of the marine carbon cycle and feeling the pulse of the biological pump. The revival, however, has to a large extent been driven by the availability of robust optical oxygen sensors and their painstakingly thorough characterization. For autonomous observations, oxygen optodes are the sensors of choice: They are used abundantly on Biogeochemical-Argo floats, gliders and other autonomous oceanographic observation platforms. Still, data quality and accuracy are often suboptimal, in some part because sensor and data treatment are not always straightforward and/or sensor characteristics are not adequately taken into account. Here, we want to summarize the current knowledge about oxygen optodes, their working principle as well as their behavior with respect to oxygen, temperature, hydrostatic pressure, and response time. The focus will lie on the most widely used and accepted optodes made by Aanderaa and Sea-Bird. We revisit the essentials and caveats of in-situ in air calibration as well as of time response correction for profiling applications, and provide requirements for a successful field deployment. In addition, all required steps to post-correct oxygen optode data will be discussed. We hope this summary will serve as a comprehensive, yet concise reference to help people get started with oxygen observations, ensure successful sensor deployments and acquisition of highest quality data, and facilitate post-treatment of oxygen data. In the end, we hope that this will lead to more and higher-quality oxygen observations and help to advance our understanding of ocean biogeochemistry in a changing ocean.</t>
  </si>
  <si>
    <t>[Bittig, Henry C.] UPMC Univ Paris 06, Sorbonne Univ, CNRS, UMR 7093,LOV, Villefranche Sur Mer, France; [Koertzinger, Arne; Hahn, Johannes] GEOMAR Helmholtz Zentrum Ozeanforsch Kiel, Kiel, Germany; [Koertzinger, Arne] Christian Albrechts Univ Kiel, Kiel, Germany; [Neill, Craig; van Ooijen, Eikbert] CSIRO Oceans &amp; Atmosphere, Hobart, Tas, Australia; [Plant, Joshua N.; Johnson, Kenneth S.] Monterey Bay Aquarium Res Inst, Moss Landing, CA USA; [Yang, Bo; Emerson, Steven R.] Univ Washington, Sch Oceanog, Seattle, WA 98195 USA</t>
  </si>
  <si>
    <t>Centre National de la Recherche Scientifique (CNRS); CNRS - National Institute for Earth Sciences &amp; Astronomy (INSU); Sorbonne Universite; Helmholtz Association; GEOMAR Helmholtz Center for Ocean Research Kiel; University of Kiel; Commonwealth Scientific &amp; Industrial Research Organisation (CSIRO); Monterey Bay Aquarium Research Institute; University of Washington; University of Washington Seattle</t>
  </si>
  <si>
    <t>Bittig, HC (corresponding author), UPMC Univ Paris 06, Sorbonne Univ, CNRS, UMR 7093,LOV, Villefranche Sur Mer, France.</t>
  </si>
  <si>
    <t>bittig@obs-vlfr.fr</t>
  </si>
  <si>
    <t>Johnson, Kenneth S/F-9742-2011; van Ooijen, Eikbert D/C-9502-2009; Hahn, Johannes/AAK-5487-2020; Körtzinger, Arne/A-4141-2014</t>
  </si>
  <si>
    <t>Hahn, Johannes/0000-0002-5638-2031; van Ooijen, Erik/0000-0002-5059-5271; Yang, Bo/0000-0001-5617-5748; Bittig, Henry/0000-0002-8621-3095</t>
  </si>
  <si>
    <t>project AtlantOS (EU Horizon 2020 research and innovation program) [2014-633211]; project E-AIMS (EU FP7 project) [312642]; project O2-Floats [KO 1717/3-1]; German Science Foundation (DFG) [SFB754]; Integrated Marine Observing System (IMOS); David and Lucile Packard Foundation; U.S. NSF's Southern Ocean Carbon and Climate Observations and Modeling (SOCCOM) project under the NSF Award [PLR-1425989]; NOAA; NASA; U.S. NSF [OCE-1458888]; U.S. National Science Foundation [OCE-1546580]; Australian Government through the National Collaborative Research Infrastructure Strategy; Directorate For Geosciences; Office of Polar Programs (OPP) [1425989] Funding Source: National Science Foundation</t>
  </si>
  <si>
    <t>project AtlantOS (EU Horizon 2020 research and innovation program); project E-AIMS (EU FP7 project); project O2-Floats; German Science Foundation (DFG)(German Research Foundation (DFG)); Integrated Marine Observing System (IMOS); David and Lucile Packard Foundation(The David &amp; Lucile Packard Foundation); U.S. NSF's Southern Ocean Carbon and Climate Observations and Modeling (SOCCOM) project under the NSF Award(National Science Foundation (NSF)); NOAA(National Oceanic Atmospheric Admin (NOAA) - USA); NASA(National Aeronautics &amp; Space Administration (NASA)); U.S. NSF(National Science Foundation (NSF)); U.S. National Science Foundation(National Science Foundation (NSF)); Australian Government through the National Collaborative Research Infrastructure Strategy(Australian GovernmentDepartment of Industry, Innovation and Science); Directorate For Geosciences; Office of Polar Programs (OPP)(National Science Foundation (NSF)NSF - Directorate for Geosciences (GEO))</t>
  </si>
  <si>
    <t>The authors gratefully acknowledge financial support by the following projects and grants: HB, AK, and JH by the projects AtlantOS (EU Horizon 2020 research and innovation program, grant agreement no. 2014-633211), E-AIMS (EU FP7 project 312642), as well as O2-Floats (KO 1717/3-1) and the SFB754 of the German Science Foundation (DFG), CN and EvO by the Integrated Marine Observing System (IMOS), supported by the Australian Government through the National Collaborative Research Infrastructure Strategy, JP and KJ by the David and Lucile Packard Foundation as well as by U.S. NSF's Southern Ocean Carbon and Climate Observations and Modeling (SOCCOM) project under the NSF Award PLR-1425989 with additional support from NOAA and NASA, and BY and SE by U.S. NSF grant OCE-1458888. Logistical support for work in Antarctica was provided by the U.S. National Science Foundation through the U.S. Antarctic Program. Partial funding was provided by a grant from the U.S. National Science Foundation (Award OCE-1546580) to the Scientific Committee on Oceanic Research (SCORWG 142).</t>
  </si>
  <si>
    <t>AVENUE DU TRIBUNAL FEDERAL 34, LAUSANNE, CH-1015, SWITZERLAND</t>
  </si>
  <si>
    <t>2296-7745</t>
  </si>
  <si>
    <t>FRONT MAR SCI</t>
  </si>
  <si>
    <t>Front. Mar. Sci.</t>
  </si>
  <si>
    <t>10.3389/fmars.2017.00429</t>
  </si>
  <si>
    <t>Environmental Sciences; Marine &amp; Freshwater Biology</t>
  </si>
  <si>
    <t>Environmental Sciences &amp; Ecology; Marine &amp; Freshwater Biology</t>
  </si>
  <si>
    <t>HJ1IC</t>
  </si>
  <si>
    <t>gold, Green Published, Green Accepted</t>
  </si>
  <si>
    <t>WOS:000456914600001</t>
  </si>
  <si>
    <t>Friedlander, AM; Ballesteros, E; Bell, TW; Giddens, J; Henning, B; Hüne, M; Muñoz, A; Salinas-de-León, P; Sala, E</t>
  </si>
  <si>
    <t>Friedlander, Alan M.; Ballesteros, Enric; Bell, Tom W.; Giddens, Jonatha; Henning, Brad; Hune, Mathias; Munoz, Alex; Salinas-de-Leon, Pelayo; Sala, Enric</t>
  </si>
  <si>
    <t>Marine biodiversity at the end of the world: Cape Horn and Diego Ramirez islands</t>
  </si>
  <si>
    <t>SALMON ONCORHYNCHUS-TSHAWYTSCHA; KELP MACROCYSTIS-PYRIFERA; TIERRA-DEL-FUEGO; GIANT-KELP; ENVIRONMENTAL CONTROLS; SOUTH-AMERICA; SEA OTTERS; CHILE; PATTERNS; MAGELLAN</t>
  </si>
  <si>
    <t>The vast and complex coast of the Magellan Region of extreme southern Chile possesses a diversity of habitats including fjords, deep channels, and extensive kelp forests, with a unique mix of temperate and sub-Antarctic species. The Cape Horn and Diego Ramirez archipelagos are the most southerly locations in the Americas, with the southernmost kelp forests, and some of the least explored places on earth. The giant kelp Macrocystis pyrifera plays a key role in structuring the ecological communities of the entire region, with the large brown seaweed Lessonia spp. forming dense understories. Kelp densities were highest around Cape Horn, followed by Diego Ramirez, and lowest within the fjord region of Francisco Coloane Marine Park (mean canopy densities of 2.51 kg m(-2), 2.29 kg m(-2), and 2.14 kg m(-2), respectively). There were clear differences in marine communities among these sub-regions, with the lowest diversity in the fjords. We observed 18 species of nearshore fishes, with average species richness nearly 50% higher at Diego Ramirez compared with Cape Horn and Francisco Coloane. The number of individual fishes was nearly 10 times higher at Diego Ramirez and 4 times higher at Cape Horn compared with the fjords. Drop-cam surveys of mesophotic depths (53 +/- 105 m) identified 30 taxa from 25 families, 15 classes, and 7 phyla. While much of these deeper habitats consisted of soft sediment and cobble, in rocky habitats, echinoderms, mollusks, bryozoans, and sponges were common. The southern hagfish (Myxine australis) was the most frequently encountered of the deep-sea fishes (50% of deployments), and while the Fueguian sprat (Sprattus fuegensis) was the most abundant fish species, its distribution was patchy. The Cape Horn and Diego Ramirez archipelagos represent some of the last intact sub-Antarctic ecosystems remaining and a recently declared large protected area will help ensure the health of this unique region.</t>
  </si>
  <si>
    <t>[Friedlander, Alan M.; Munoz, Alex; Salinas-de-Leon, Pelayo; Sala, Enric] Natl Geog Soc, Pristine Seas, Washington, DC 20036 USA; [Friedlander, Alan M.; Giddens, Jonatha] Univ Hawaii, Fisheries Ecol Res Lab, Honolulu, HI 96822 USA; [Ballesteros, Enric] CSIC, Ctr Estudis Avancats CEAB, Blanes, Spain; [Bell, Tom W.] Univ Calif Los Angeles, Dept Geog, Los Angeles, CA 90024 USA; [Henning, Brad] Natl Geog Soc, Remote Imaging Team, Washington, DC USA; [Hune, Mathias] Fdn Ictiol, Santiago, Chile; [Salinas-de-Leon, Pelayo] Charles Darwin Res Stn, Puerto Ayora, Galapagos Islan, Ecuador</t>
  </si>
  <si>
    <t>National Geographic Society; University of Hawaii System; Consejo Superior de Investigaciones Cientificas (CSIC); CSIC - Centre d'Estudis Avancats de Blanes (CEAB); University of California System; University of California Los Angeles; National Geographic Society</t>
  </si>
  <si>
    <t>Friedlander, AM (corresponding author), Natl Geog Soc, Pristine Seas, Washington, DC 20036 USA.;Friedlander, AM (corresponding author), Univ Hawaii, Fisheries Ecol Res Lab, Honolulu, HI 96822 USA.</t>
  </si>
  <si>
    <t>alan.friedlander@hawaii.edu</t>
  </si>
  <si>
    <t>Hüne, Mathias/ABE-6000-2020; Ballesteros, Enric/K-6497-2012; Bell, Tom/AAD-2551-2020</t>
  </si>
  <si>
    <t>Brooks Foundation; Keith Campbell Foundation for the Environment; Case Foundation; Leonardo DiCaprio Foundation; Davidoff; Don Quixote Foundation; Roger and Rosemary Enrico Foundation; Helmsley Charitable Trust; Lindblad Expeditions-National Geographic Fund; Philip Stephenson Foundation; Vicki and Roger Sant; Waitt Foundation; National Geographic Society; Chilean Navy; Tercera Zona Naval; Governor Jorge Flies of the Magellan and Chilean Antarctic Region</t>
  </si>
  <si>
    <t>Brooks Foundation; Keith Campbell Foundation for the Environment; Case Foundation; Leonardo DiCaprio Foundation; Davidoff; Don Quixote Foundation; Roger and Rosemary Enrico Foundation; Helmsley Charitable Trust; Lindblad Expeditions-National Geographic Fund; Philip Stephenson Foundation; Vicki and Roger Sant; Waitt Foundation; National Geographic Society(National Geographic Society); Chilean Navy; Tercera Zona Naval; Governor Jorge Flies of the Magellan and Chilean Antarctic Region</t>
  </si>
  <si>
    <t>We received funding from The Brooks Foundation, The Keith Campbell Foundation for the Environment, The Case Foundation, Leonardo DiCaprio Foundation, Davidoff, The Don Quixote Foundation, Roger and Rosemary Enrico Foundation, Helmsley Charitable Trust, Lindblad Expeditions-National Geographic Fund, Philip Stephenson Foundation, Vicki and Roger Sant, The Waitt Foundation, and The National Geographic Society. The funders had no role in study design, data collection and analysis, decision to publish, or preparation of the manuscript.; We would like to thank the Chilean Navy for sponsoring this expedition, especially to Commander Andres Rodrigo for advice and guidance in planning, as well as the support provided by the Tercera Zona Naval. We would also like to express our gratitude for the support provided by Governor Jorge Flies of the Magellan and Chilean Antarctic Region, along with the Minister of the Environment Marcelo Mena, the former Minister of the Environment Pablo Badenier, and Alejandra Figueroa, the director of the Natural Resources and Biodiversity Division. Additionally, we would like to acknowledge and thank the captain and crew of the M/Y Plan B and the Waitt Foundation for providing the platform for this expedition, as well as their tirelessly work to help make the expedition a success. Finally, we wish to thank and congratulate the President of Chile, Michelle Bachelet, for her leadership in the conservation of Chile's ocean and in her decision to protect the waters around Cabo de Hornos and Diego Ramirez islands to the southern end of the zone economic zone of Chile.</t>
  </si>
  <si>
    <t>e0189930</t>
  </si>
  <si>
    <t>10.1371/journal.pone.0189930</t>
  </si>
  <si>
    <t>FT8OQ</t>
  </si>
  <si>
    <t>Green Published, gold, Green Submitted</t>
  </si>
  <si>
    <t>WOS:000423412500007</t>
  </si>
  <si>
    <t>Figuerola, B; Gordon, DP; Cristobo, J</t>
  </si>
  <si>
    <t>Figuerola, Blanca; Gordon, Dennis P.; Cristobo, Javier</t>
  </si>
  <si>
    <t>New deep Cheilostomata (Bryozoa) species from the Southwestern Atlantic: shedding light in the dark</t>
  </si>
  <si>
    <t>ZOOTAXA</t>
  </si>
  <si>
    <t>Cheilostomata; biodiversity; Patagonian region; South Atlantic Ocean</t>
  </si>
  <si>
    <t>SOUTH; ANTARCTICA; ISLANDS; DIVERSITY; FALKLAND; SHELF; SLOPE; SEA</t>
  </si>
  <si>
    <t>The present paper reports on 22 bryozoan species collected from 25 localities on the Southwestern Atlantic continental shelf and slope by the Instituto Espanol de Oceanografia vessel RV Miguel Oliver (20082010). Two new genera, Amynaskolia n. gen. and Biconcavus n. gen., and twenty new cheilostome species are described: Amastigia zigzag n. sp., Membranicellaria balanyai n. sp., Figularia dimorpha n. sp., Biconcavus batmani n. sp., Smittina acicularis n. sp., Smittoidea granulosa n. sp., Amynaskolia foramina n. sp., Mawatarius avilae n. sp., Mucropetraliella reticulata n. sp., Ipsibuffonella umbonata n. sp., Microporella gappai n. sp., Fenestrulina curviscutum n. sp., Fenestrulina multiflorum n. sp., Malakosaria cecilioi n. sp., Osthimosia incisa n. sp., Spigaleos simplex n. sp., Reteporella kuklinskii n. sp., Reteporella maryae n. sp., Reteporella taylori n. sp., Orthoporidra nova n. sp.. New taxonomic remarks are also included for two little-known species: Melicerita atlantica Busk, 1884 and Arachnopusia tubula Hayward &amp; Thorpe, 1988. Membranicellaria balanyai n. sp., Mawatarius avilae n. sp. and Ipsibuffonella umbonata n. sp. represent the third described species of their genera, whereas Spigaleos simplex n. sp., Malakosaria cecilioi n. sp. and Orthoporidra nova n. sp. are the fourth, fifth and sixth described species of their genera respectively. Spigaleos (Celleporidae) and Arachnopusia tubula (Arachnopusiidae), previously reported only from Antarctica, Ipsibuffonella (Buffonellodidae), reported from tropical and subtropical regions, and Mucropetraliella (Petraliidae) all represent first records for the Patagonian region, expanding their geographic distributions northwards and southwards, respectively. These results highlight the importance of sampling the slope and deep waters of South American and Antarctic margins and basins, filling significant gaps in the knowledge of the biodiversity and biogeographic ranges of certain taxa in these unique and varied ecosystems.</t>
  </si>
  <si>
    <t>[Figuerola, Blanca] Univ Barcelona, Dept Evolutionary Biol Ecol &amp; Environm Sci, Av Diagonal 643, E-08028 Barcelona, Catalonia, Spain; [Figuerola, Blanca] Univ Barcelona, Biodivers Res Inst IrBIO, Av Diagonal 643, E-08028 Barcelona, Catalonia, Spain; [Figuerola, Blanca] Smithsonian Trop Res Inst, Panama City, Panama; [Gordon, Dennis P.] Natl Inst Water &amp; Atmospher Res, Private Bag 14901, Wellington 6021, New Zealand; [Cristobo, Javier] Spanish Inst Oceanog IEO, Oceanog Ctr Gijon, Av Principe Asturias,70 Bis, Gijon 33212, Asturias, Spain</t>
  </si>
  <si>
    <t>University of Barcelona; University of Barcelona; Smithsonian Institution; Smithsonian Tropical Research Institute; National Institute of Water &amp; Atmospheric Research (NIWA) - New Zealand</t>
  </si>
  <si>
    <t>Figuerola, B (corresponding author), Univ Barcelona, Dept Evolutionary Biol Ecol &amp; Environm Sci, Av Diagonal 643, E-08028 Barcelona, Catalonia, Spain.;Figuerola, B (corresponding author), Univ Barcelona, Biodivers Res Inst IrBIO, Av Diagonal 643, E-08028 Barcelona, Catalonia, Spain.;Figuerola, B (corresponding author), Smithsonian Trop Res Inst, Panama City, Panama.</t>
  </si>
  <si>
    <t>bfiguerola@gmail.com; dennis.gordon@niwa.co.nz</t>
  </si>
  <si>
    <t>Cristobo, Javier/M-1949-2014; Figuerola, Blanca/C-6252-2015</t>
  </si>
  <si>
    <t>Figuerola, Blanca/0000-0003-4731-9337</t>
  </si>
  <si>
    <t>Spanish government through the ACTIQUIM project [CGL2007-65453/ANT, CTM2010-17415/ANT]; Spanish government through the DISTANTCOM project [CTM2013-42667/ANT]</t>
  </si>
  <si>
    <t>Spanish government through the ACTIQUIM project; Spanish government through the DISTANTCOM project</t>
  </si>
  <si>
    <t>The authors wish to thank Dr Conxita Avila for financing SEM sessions, Monica Utjes, Helena Basas and Dr Antoni Serra for their valuable support at the Animal Biodiversity Resource Center (CRBA), and Dr Juan LopezGappa (Museo Argentino de Ciencias Naturales, Argentina), Hans De Blauwe (Royal Belgian Institute of Natural Sciences, Brussels) and Dr Phil Bock (Australia) for their help with the bibliography. Mary Spencer Jones generously provided SEM photos of species held in the Natural History Museum, London. We are also very grateful for the helpful suggestions of an anonymous reviewer and Dr Javier Souto. We wish to thank the crew of the R.V. Miguel Oliver (owned by the Spanish Secretariat of the Sea [SGM]) and SGM for ship time and technical support, and the members of the Spanish Oceanography Institute (IEO) who participated in the cruises. Part of the funding and the research stage of B.F. at the National Institute of Water and Atmospheric Research were provided by the Spanish government through the ACTIQUIM (CGL2007-65453/ANT, CTM2010-17415/ANT) and DISTANTCOM (CTM2013-42667/ANT) projects. This work is part of the AntEco (State of the Antarctic Ecosystem) Scientific Research Programme.</t>
  </si>
  <si>
    <t>MAGNOLIA PRESS</t>
  </si>
  <si>
    <t>AUCKLAND</t>
  </si>
  <si>
    <t>PO BOX 41383, AUCKLAND, ST LUKES 1030, NEW ZEALAND</t>
  </si>
  <si>
    <t>1175-5326</t>
  </si>
  <si>
    <t>1175-5334</t>
  </si>
  <si>
    <t>Zootaxa</t>
  </si>
  <si>
    <t>10.11646/zootaxa.4375.2.3</t>
  </si>
  <si>
    <t>Zoology</t>
  </si>
  <si>
    <t>FT4HI</t>
  </si>
  <si>
    <t>WOS:000423114500003</t>
  </si>
  <si>
    <t>Otero, XL; De La Peña-Lastra, S; Pérez-Alberti, A; Ferreira, TO; Huerta-Diaz, MA</t>
  </si>
  <si>
    <t>Luis Otero, Xose; De La Pena-Lastra, Saul; Perez-Alberti, Augusto; Osorio Ferreira, Tiago; Angel Huerta-Diaz, Miguel</t>
  </si>
  <si>
    <t>Seabird colonies as important global drivers in the nitrogen and phosphorus cycles</t>
  </si>
  <si>
    <t>NATURE COMMUNICATIONS</t>
  </si>
  <si>
    <t>AMMONIA EMISSIONS; ORNITHOGENIC CRYOSOLS; MARITIME ANTARCTICA; PENGUIN ROOKERY; ISLANDS; GULLS; SOIL; VEGETATION; IRON; PENINSULA</t>
  </si>
  <si>
    <t>Seabirds drastically transform the environmental conditions of the sites where they establish their breeding colonies via soil, sediment, and water eutrophication (hereafter termed ornitheutrophication). Here, we report worldwide amounts of total nitrogen (N) and total phosphorus (P) excreted by seabirds using an inventory of global seabird populations applied to a bioenergetics model. We estimate these fluxes to be 591 Gg N y(-1) and 99 Gg P y(-1), respectively, with the Antarctic and Southern coasts receiving the highest N and P inputs. We show that these inputs are of similar magnitude to others considered in global N and P cycles, with concentrations per unit of surface area in seabird colonies among the highest measured on the Earth's surface. Finally, an important fraction of the total excreted N (72.5 Gg y(-1)) and P (21.8 Gg y(-1)) can be readily solubilized, increasing their short-term bioavailability in continental and coastal waters located near the seabird colonies.</t>
  </si>
  <si>
    <t>[Luis Otero, Xose; De La Pena-Lastra, Saul] Univ Santiago de Compostela, Fac Biol, Dept Edafoloxia &amp; Quim Agr, Campus Vida, Santiago De Compostela 15782, Spain; [Perez-Alberti, Augusto] Univ Santiago de Compostela, Fac Xeog &amp; Hist, Dept Xeog Fis, Campus Vida, Santiago De Compostela 15782, Spain; [Osorio Ferreira, Tiago] Univ Sao Paulo, Luiz de Queiroz Coll Agr, ESALQ, Av Padua Dias 11, BR-13418900 Sao Paulo, Brazil; [Angel Huerta-Diaz, Miguel] Univ Autonoma Baja California, Inst Invest Oceanol, Carretera Transpeninsular Ensenada Tijuana 3917, Ensenada 22860, Baja California, Mexico</t>
  </si>
  <si>
    <t>Universidade de Santiago de Compostela; Universidade de Santiago de Compostela; Universidade de Sao Paulo; Universidad Autonoma de Baja California</t>
  </si>
  <si>
    <t>Huerta-Diaz, MA (corresponding author), Univ Autonoma Baja California, Inst Invest Oceanol, Carretera Transpeninsular Ensenada Tijuana 3917, Ensenada 22860, Baja California, Mexico.</t>
  </si>
  <si>
    <t>huertam@uabc.edu.mx</t>
  </si>
  <si>
    <t>De la Peña-Lastra, Saúl/Y-2686-2019; OTERO, XOSE LUIS/C-7958-2012; Ferreira, Tiago Osório/D-3340-2015; Huerta-Diaz, Miguel Angel/AAT-4625-2020</t>
  </si>
  <si>
    <t>De la Peña-Lastra, Saúl/0000-0001-8694-9388; Ferreira, Tiago Osório/0000-0002-4088-7457; Huerta-Diaz, Miguel Angel/0000-0001-5248-4340; Perez Alberti, Augusto/0000-0001-7428-4622</t>
  </si>
  <si>
    <t>BBVA Foundation Grant for Researchers and Cultural Creators; Autonomous National Parks Organization of the Spanish Ministry for the Environment, Rural and Marine Affairs [041/2010]; CRETUS strategic group [AGRUP2015/02]; FPU Programme of the Spanish Ministry of Education and Innovation</t>
  </si>
  <si>
    <t>BBVA Foundation Grant for Researchers and Cultural Creators(BBVA Foundation); Autonomous National Parks Organization of the Spanish Ministry for the Environment, Rural and Marine Affairs; CRETUS strategic group; FPU Programme of the Spanish Ministry of Education and Innovation</t>
  </si>
  <si>
    <t>This work was supported by a 2016 BBVA Foundation Grant for Researchers and Cultural Creators, by the Autonomous National Parks Organization (Ref. 041/2010) of the Spanish Ministry for the Environment, Rural and Marine Affairs, and CRETUS strategic group (AGRUP2015/02). S. De La Pena-Lastra benefitted from a predoctoral fellowship from the FPU Programme of the Spanish Ministry of Education and Innovation. The authors thank Esther Sierra for her contribution in the elaboration of Fig. 1. We dedicate this work to the memory of Antonio Sierra and Susino, two great and irreplaceable friends.</t>
  </si>
  <si>
    <t>NATURE PUBLISHING GROUP</t>
  </si>
  <si>
    <t>MACMILLAN BUILDING, 4 CRINAN ST, LONDON N1 9XW, ENGLAND</t>
  </si>
  <si>
    <t>2041-1723</t>
  </si>
  <si>
    <t>NAT COMMUN</t>
  </si>
  <si>
    <t>Nat. Commun.</t>
  </si>
  <si>
    <t>JAN 23</t>
  </si>
  <si>
    <t>10.1038/s41467-017-02446-8</t>
  </si>
  <si>
    <t>FT3NX</t>
  </si>
  <si>
    <t>gold, Green Published</t>
  </si>
  <si>
    <t>WOS:000423055100001</t>
  </si>
  <si>
    <t>Sangiorgi, F; Bijl, PK; Passchier, S; Salzmann, U; Schouten, S; McKay, R; Cody, RD; Pross, J; van de Flierdt, T; Bohaty, SM; Levy, R; Williams, T; Escutia, C; Brinkhuis, H</t>
  </si>
  <si>
    <t>Sangiorgi, Francesca; Bijl, Peter K.; Passchier, Sandra; Salzmann, Ulrich; Schouten, Stefan; McKay, Robert; Cody, Rosemary D.; Pross, Joerg; van de Flierdt, Tina; Bohaty, Steven M.; Levy, Richard; Williams, Trevor; Escutia, Carlota; Brinkhuis, Henk</t>
  </si>
  <si>
    <t>Southern Ocean warming and Wilkes Land ice sheet retreat during the mid-Miocene</t>
  </si>
  <si>
    <t>TETRAETHER MEMBRANE-LIPIDS; SIZE ANALYSIS; CARBON-CYCLE; EARLY EOCENE; CIRCULATION; ANTARCTICA; SEA; SURFACE; ONSET; INSTABILITY</t>
  </si>
  <si>
    <t>Observations and model experiments highlight the importance of ocean heat in forcing ice sheet retreat during the present and geological past, but past ocean temperature data are virtually missing in ice sheet proximal locations. Here we document paleoceanographic conditions and the (in) stability of the Wilkes Land subglacial basin (East Antarctica) during the mid-Miocene (similar to 17-13.4 million years ago) by studying sediment cores from offshore Adelie Coast. Inland retreat of the ice sheet, temperate vegetation, and warm oligotrophic waters characterise the mid-Miocene Climatic Optimum (MCO; 17-14.8 Ma). After the MCO, expansion of a marine-based ice sheet occurs, but remains sensitive to melting upon episodic warm water incursions. Our results suggest that the mid-Miocene latitudinal temperature gradient across the Southern Ocean never resembled that of the present day. We demonstrate that a strong coupling of oceanic climate and Antarctic continental conditions existed and that the East Antarctic subglacial basins were highly sensitive to ocean warming.</t>
  </si>
  <si>
    <t>[Sangiorgi, Francesca; Bijl, Peter K.; Brinkhuis, Henk] Univ Utrecht, Lab Palaeobotany &amp; Palynol, Dept Earth Sci Marine Palynol &amp; Paleoceanog, Heidelberglaan 2, NL-3584 CS Utrecht, Netherlands; [Passchier, Sandra] Montclair State Univ, Dept Earth &amp; Environm Studies, 1 Normal Ave, Montclair, NJ 07043 USA; [Salzmann, Ulrich] Northumbria Univ, Fac Engn &amp; Environm, Dept Geog &amp; Environm Sci, Newcastle Upon Tyne NE1 8ST, Tyne &amp; Wear, England; [Schouten, Stefan; Brinkhuis, Henk] NIOZ Royal Netherlands Inst Sea Res, Landsdiep 4, NL-1797 SZ T Horntje, Netherlands; [Schouten, Stefan] Univ Utrecht, Dept Earth Sci, Organ Geochem, Heidelberglaan 2, NL-3584 CS Utrecht, Netherlands; [McKay, Robert; Cody, Rosemary D.] Victoria Univ Wellington, Antarctic Res Ctr, POB 600, Wellington 6140, New Zealand; [Pross, Joerg] Heidelberg Univ, Inst Earth Sci, Paleoenvironm Dynam Grp, Neuenheimer Feld 234, D-69120 Heidelberg, Germany; [van de Flierdt, Tina] Imperial Coll London, Dept Earth Sci &amp; Engn, South Kensington Campus,Exhibit Rd, London SW7 2AZ, England; [Bohaty, Steven M.] Univ Southampton, Natl Oceanog Ctr Southampton, Ocean &amp; Earth Sci, European Way, Southampton SO14 3ZH, Hants, England; [Levy, Richard] GNS Sci, Dept Paleontol, 1 Fairway Dr, Lower Hutt 5040, New Zealand; [Williams, Trevor] Texas A&amp;M Univ, Int Ocean Discovery Program, 1000 Discovery Dr, College Stn, TX 77845 USA; [Escutia, Carlota] Univ Granada, CSIC, Inst Andaluz Ciencias Tierra, Ave las Palmeras 4, Armilla 18100, Granada, Spain</t>
  </si>
  <si>
    <t>Utrecht University; Montclair State University; Northumbria University; Utrecht University; Royal Netherlands Institute for Sea Research (NIOZ); Utrecht University; Victoria University Wellington; Ruprecht Karls University Heidelberg; Imperial College London; University of Southampton; NERC National Oceanography Centre; GNS Science - New Zealand; Texas A&amp;M University System; Texas A&amp;M University College Station; Consejo Superior de Investigaciones Cientificas (CSIC); CSIC - Instituto Andaluz de Ciencias de la Tierra (IACT); University of Granada</t>
  </si>
  <si>
    <t>Sangiorgi, F (corresponding author), Univ Utrecht, Lab Palaeobotany &amp; Palynol, Dept Earth Sci Marine Palynol &amp; Paleoceanog, Heidelberglaan 2, NL-3584 CS Utrecht, Netherlands.</t>
  </si>
  <si>
    <t>f.sangiorgi@uu.nl</t>
  </si>
  <si>
    <t>Williams, Trevor/L-7670-2014; Levy, Richard H/E-2477-2011; Brinkhuis, Henk/IUO-8165-2023; Passchier, Sandra/AAQ-2243-2021; Passchier, Sandra/GYU-2381-2022; Salzmann, Ulrich/H-9929-2017; Escutia, Carlota/B-8614-2015</t>
  </si>
  <si>
    <t>Brinkhuis, Henk/0000-0003-0253-6610; Passchier, Sandra/0000-0001-7204-7025; Salzmann, Ulrich/0000-0001-5598-5327; van de Flierdt, Tina/0000-0001-7176-9755; Escutia, Carlota/0000-0002-4932-8619; Sangiorgi, Francesca/0000-0003-4233-6154; Bijl, Peter/0000-0002-1710-4012; McKay, Robert/0000-0002-5602-6985; Levy, Richard/0000-0002-8783-0167</t>
  </si>
  <si>
    <t>NWO (Netherlands Organisation for Scientific Research) [NNPP 866.10.110]; NWO-VENI [863.13.002]; U.S. Science Support Program; National Science Foundation [OCE 1060080]; Natural Environment Research Council (NERC) [NE/H000984/1]; Rutherford Discovery Fellowship [RDF-13-VUW-003]; Ministry of Education, Culture and Science (OCW); IODP priority program of the German Research Foundation (DFG); Spanish MINECO [CTM2014-60451-C2-1-P]; European Union through FEDER funds; NERC [NE/H000984/1, NE/I006257/1, NE/H014144/1, NE/H025162/1, NE/R018219/1, NE/L004607/1] Funding Source: UKRI; Natural Environment Research Council [NE/H000984/1, NE/I006257/1, NE/L004607/1, NE/H025162/1, NE/H014144/1, NE/R018219/1] Funding Source: researchfish</t>
  </si>
  <si>
    <t>NWO (Netherlands Organisation for Scientific Research)(Netherlands Organization for Scientific Research (NWO)); NWO-VENI(Netherlands Organization for Scientific Research (NWO)); U.S. Science Support Program; National Science Foundation(National Science Foundation (NSF)); Natural Environment Research Council (NERC)(UK Research &amp; Innovation (UKRI)Natural Environment Research Council (NERC)); Rutherford Discovery Fellowship(Royal Society of New Zealand); Ministry of Education, Culture and Science (OCW)(Ministry of Education, Culture, Sports, Science and Technology, Japan (MEXT)); IODP priority program of the German Research Foundation (DFG); Spanish MINECO(Spanish Government); European Union through FEDER funds(European Union (EU)Marie Curie Actions); NERC(UK Research &amp; Innovation (UKRI)Natural Environment Research Council (NERC)); Natural Environment Research Council(UK Research &amp; Innovation (UKRI)Natural Environment Research Council (NERC))</t>
  </si>
  <si>
    <t>This research used samples and data from the Integrated Ocean Drilling Program (now International Ocean Discovery Program; IODP). F.S. and H.B. thank NWO (Netherlands Organisation for Scientific Research) for funding research grant NNPP 866.10.110. P.K.B. was supported through NWO-VENI project number 863.13.002. F.S. thanks the ANDRILL SMS co-chiefs Fabio Florindo and David Harwood. S.P. was supported through the U.S. Science Support Program and the National Science Foundation (OCE 1060080). U.S. acknowledges funding received from the Natural Environment Research Council (NERC Grant NE/H000984/1). R.M. acknowledges support through the Rutherford Discovery Fellowship (RDF-13-VUW-003). The work of S.S. was carried out under the program of the Netherlands Earth System Science Centre (NESSC), which is supported financially by the Ministry of Education, Culture and Science (OCW). J.P. acknowledges support through the IODP priority program of the German Research Foundation (DFG). C.E. thanks the Spanish MINECO for scientific research grant CTM2014-60451-C2-1-P co-funded by the European Union through FEDER funds. Joe Prebble is thanked for providing dinoflagellate cyst counts from surface sediment samples of the Southern Ocean.</t>
  </si>
  <si>
    <t>NATURE RESEARCH</t>
  </si>
  <si>
    <t>BERLIN</t>
  </si>
  <si>
    <t>HEIDELBERGER PLATZ 3, BERLIN, 14197, GERMANY</t>
  </si>
  <si>
    <t>JAN 22</t>
  </si>
  <si>
    <t>10.1038/s41467-017-02609-7</t>
  </si>
  <si>
    <t>FT1SE</t>
  </si>
  <si>
    <t>Green Published, Green Accepted, gold</t>
  </si>
  <si>
    <t>WOS:000422915700012</t>
  </si>
  <si>
    <t>Munoz, YP; Wellner, JS</t>
  </si>
  <si>
    <t>Munoz, Yuribia P.; Wellner, Julia S.</t>
  </si>
  <si>
    <t>Seafloor geomorphology of western Antarctic Peninsula bays: a signature of ice flow behaviour</t>
  </si>
  <si>
    <t>KING-GEORGE-ISLAND; LAST GLACIAL MAXIMUM; SOUTH SHETLAND ISLANDS; LATE-HOLOCENE ADVANCE; CONTINENTAL-SHELF; SUBMARINE LANDFORMS; SUBGLACIAL BEDFORMS; CLIMATE-CHANGE; SHEET FLOW; STREAM-B</t>
  </si>
  <si>
    <t>Glacial geomorphology is used in Antarctica to reconstruct ice advance during the Last Glacial Maximum and subsequent retreat across the continental shelf. Analogous geomorphic assemblages are found in glaciated fjords and are used to interpret the glacial history and glacial dynamics in those areas. In addition, understanding the distribution of submarine landforms in bays and the local controls exerted on ice flow can help improve numerical models by providing constraints through these drainage areas. We present multibeam swath bathymetry from several bays in the South Shetland Islands and the western Antarctic Peninsula. The submarine landforms are described and interpreted in detail. A schematic model was developed showing the features found in the bays: from glacial lineations and moraines in the inner bay to grounding zone wedges and drumlinoid features in the middle bay and streamlined features and meltwater channels in the outer bay areas. In addition, we analysed local variables in the bays and observed the following: (1) the number of landforms found in the bays scales to the size of the bay, but the geometry of the bays dictates the types of features that form; specifically, we observe a correlation between the bay width and the number of transverse features present in the bays. (2) The smaller seafloor features are present only in the smaller glacial systems, indicating that short-lived atmospheric and oceanographic fluctuations, responsible for the formation of these landforms, are only recorded in these smaller systems. (3) Meltwater channels are abundant on the seafloor, but some are subglacial, carved in bedrock, and some are modern erosional features, carved on soft sediment. Lastly, based on geomorphological evidence, we propose the features found in some of the proximal bay areas were formed during a recent glacial advance, likely the Little Ice Age.</t>
  </si>
  <si>
    <t>[Munoz, Yuribia P.; Wellner, Julia S.] Univ Houston, Dept Earth &amp; Atmospher Sci, Houston, TX 77204 USA</t>
  </si>
  <si>
    <t>University of Houston System; University of Houston</t>
  </si>
  <si>
    <t>Munoz, YP (corresponding author), Univ Houston, Dept Earth &amp; Atmospher Sci, Houston, TX 77204 USA.</t>
  </si>
  <si>
    <t>ypmunoz@uh.edu</t>
  </si>
  <si>
    <t>Wellner, Julia/0000-0002-6807-8635</t>
  </si>
  <si>
    <t>National Science Foundation, Office of Polar Programs [OPP0739596]; National Science Foundation Graduate Research Fellowship</t>
  </si>
  <si>
    <t>National Science Foundation, Office of Polar Programs(National Science Foundation (NSF)); National Science Foundation Graduate Research Fellowship(National Science Foundation (NSF))</t>
  </si>
  <si>
    <t>This research was funded by the National Science Foundation, Office of Polar Programs grant no. OPP0739596. YPM was supported by a National Science Foundation Graduate Research Fellowship. We thank the crew and science parties of the RV/IB Nathaniel B. Palmer and Araon cruises to the Antarctic Peninsula. Data included in this study were collected during cruises NBP0201, NBP0502, NBP0602A, NBP0703, NBP1001, NBP1203, and ARA1304. NBP1001 and NBP1203 as part of the LARISSA program. We specially thank Kyu-Cheul Yoo for data from ARA1304. We would also like to thank Alastair G. C. Graham and Stephen Livingstone for their insightful reviews and comments which greatly improved our manuscript.</t>
  </si>
  <si>
    <t>10.5194/tc-12-205-2018</t>
  </si>
  <si>
    <t>FT4IU</t>
  </si>
  <si>
    <t>WOS:000423119200001</t>
  </si>
  <si>
    <t>Zhong, XY; Zhang, TJ; Kang, SC; Wang, K; Zheng, L; Hu, YT; Wang, HJ</t>
  </si>
  <si>
    <t>Zhong, Xinyue; Zhang, Tingjun; Kang, Shichang; Wang, Kang; Zheng, Lei; Hu, Yuantao; Wang, Huijuan</t>
  </si>
  <si>
    <t>Spatiotemporal variability of snow depth across the Eurasian continent from 1966 to 2012</t>
  </si>
  <si>
    <t>GROUND THERMAL REGIME; WATER EQUIVALENT; NORTHERN EURASIA; COVER VARIABILITY; CLIMATE-CHANGE; IN-SITU; IMPACTS; TRENDS; TUNDRA; PRECIPITATION</t>
  </si>
  <si>
    <t>Snow depth is one of the key physical parameters for understanding land surface energy balance, soil thermal regime, water cycle, and assessing water resources from local community to regional industrial water supply. Previous studies by using in situ data are mostly site specific; data from satellite remote sensing may cover a large area or global scale, but uncertainties remain large. The primary objective of this study is to investigate spatial variability and temporal change in snow depth across the Eurasian continent. Data used include long-term (1966-2012) ground-based measurements from 1814 stations. Spatially, long-term (1971-2000) mean annual snow depths of &gt;20 cm were recorded in northeastern European Russia, the Yenisei River basin, Kamchatka Peninsula, and Sakhalin. Annual mean and maximum snow depth increased by 0.2 and 0.6 cm decade(-1) from 1966 through 2012. Seasonally, monthly mean snow depth decreased in autumn and increased in winter and spring over the study period. Regionally, snow depth significantly increased in areas north of 50 degrees N. Compared with air temperature, snowfall had greater influence on snow depth during November through March across the former Soviet Union. This study provides a baseline for snow depth climatology and changes across the Eurasian continent, which would significantly help to better understanding climate system and climate changes on regional, hemispheric, or even global scales.</t>
  </si>
  <si>
    <t>[Zhong, Xinyue] Chinese Acad Sci, Cold &amp; Arid Reg Environm &amp; Engn Res Inst, Key Lab Remote Sensing Gansu Prov, Lanzhou 730000, Gansu, Peoples R China; [Zhang, Tingjun; Hu, Yuantao] Lanzhou Univ, Coll Earth &amp; Environm Sci, Minist Educ, Key Lab Western Chinas Environm Syst, Lanzhou 730000, Gansu, Peoples R China; [Zhong, Xinyue; Kang, Shichang] Chinese Acad Sci, Cold &amp; Arid Reg Environm &amp; Engn Res Inst, State Key Lab Cryospher Sci, Lanzhou 730000, Gansu, Peoples R China; [Kang, Shichang] Chinese Acad Sci, Ctr Excellence Tibetan Plateau Earth Sci, Beijing 100101, Peoples R China; [Wang, Kang] Univ Colorado, Inst Arctic &amp; Alpine Res, Boulder, CO 80309 USA; [Zheng, Lei] Wuhan Univ, Chinese Antarctic Ctr Surveying &amp; Mapping, Wuhan 430079, Hubei, Peoples R China</t>
  </si>
  <si>
    <t>Chinese Academy of Sciences; Cold &amp; Arid Regions Environmental &amp; Engineering Research Institute, CAS; Lanzhou University; Chinese Academy of Sciences; Cold &amp; Arid Regions Environmental &amp; Engineering Research Institute, CAS; Chinese Academy of Sciences; University of Colorado System; University of Colorado Boulder; Wuhan University</t>
  </si>
  <si>
    <t>Zhong, XY (corresponding author), Chinese Acad Sci, Cold &amp; Arid Reg Environm &amp; Engn Res Inst, Key Lab Remote Sensing Gansu Prov, Lanzhou 730000, Gansu, Peoples R China.;Zhang, TJ (corresponding author), Lanzhou Univ, Coll Earth &amp; Environm Sci, Minist Educ, Key Lab Western Chinas Environm Syst, Lanzhou 730000, Gansu, Peoples R China.;Zhong, XY (corresponding author), Chinese Acad Sci, Cold &amp; Arid Reg Environm &amp; Engn Res Inst, State Key Lab Cryospher Sci, Lanzhou 730000, Gansu, Peoples R China.</t>
  </si>
  <si>
    <t>xyzhong@lzb.ac.cn; tjzhang@lzu.edu.cn</t>
  </si>
  <si>
    <t>wang, hui/HSG-6135-2023; Zhong, Xinyue/AAI-1170-2019; Wang, Kang/J-7351-2019; wang, hui/GRS-4730-2022; ZHANG, TINGJUN/AAX-3662-2020; Zheng, Lei/AAU-3788-2020; Kang, Shichang/I-6830-2018</t>
  </si>
  <si>
    <t>Zhong, Xinyue/0000-0002-4028-5480; Wang, Kang/0000-0003-3416-572X; ZHANG, Tingjun/0000-0001-6974-9501; Kang, Shichang/0000-0003-2115-9005</t>
  </si>
  <si>
    <t>National Key Scientific Research Program of China [2013CBA01802]; Open Foundation from State Key Laboratory of Cryospheric Sciences [SKLCS-OP-2016-12]; Project for Incubation of Specialists in Glaciology and Geocryology of the National Natural Science Foundation of China [J1210003/J0109]; Foundation for Excellent Youth Scholar of Cold and Arid Research Environmental and Engineering Research Institute, Chinese Academy of Sciences</t>
  </si>
  <si>
    <t>National Key Scientific Research Program of China; Open Foundation from State Key Laboratory of Cryospheric Sciences; Project for Incubation of Specialists in Glaciology and Geocryology of the National Natural Science Foundation of China; Foundation for Excellent Youth Scholar of Cold and Arid Research Environmental and Engineering Research Institute, Chinese Academy of Sciences</t>
  </si>
  <si>
    <t>We express our gratitude to the researchers who assembled and digitized the snow depth data at meteorological stations and snow surveys across the Eurasian continent over a period of &gt; 40 years. This work was funded by the National Key Scientific Research Program of China (2013CBA01802), the Open Foundation from the State Key Laboratory of Cryospheric Sciences (SKLCS-OP-2016-12), the Project for Incubation of Specialists in Glaciology and Geocryology of the National Natural Science Foundation of China (J1210003/J0109), and the Foundation for Excellent Youth Scholar of Cold and Arid Research Environmental and Engineering Research Institute, Chinese Academy of Sciences.</t>
  </si>
  <si>
    <t>10.5194/tc-12-227-2018</t>
  </si>
  <si>
    <t>FT4JA</t>
  </si>
  <si>
    <t>WOS:000423119800001</t>
  </si>
  <si>
    <t>Betzler, C; Eberli, GP; Lüdmann, T; Reolid, J; Kroon, D; Reijmer, JJG; Swart, PK; Wright, J; Young, JR; Alvarez-Zarikian, C; Alonso-García, M; Bialik, OM; Blättler, CL; Guo, JA; Haffen, S; Horozal, S; Inoue, M; Jovane, L; Lanci, L; Laya, JC; Mee, ALH; Nakakuni, M; Nath, BN; Niino, K; Petruny, LM; Pratiwi, SD; Slagle, AL; Sloss, CR; Su, X; Yao, Z</t>
  </si>
  <si>
    <t>Betzler, C.; Eberli, G. P.; Luedmann, T.; Reolid, J.; Kroon, D.; Reijmer, J. J. G.; Swart, P. K.; Wright, J.; Young, J. R.; Alvarez-Zarikian, C.; Alonso-Garcia, M.; Bialik, O. M.; Blattler, C. L.; Guo, J. A.; Haffen, S.; Horozal, S.; Inoue, M.; Jovane, L.; Lanci, L.; Laya, J. C.; Mee, A. L. Hui; Nakakuni, M.; Nath, B. N.; Niino, K.; Petruny, L. M.; Pratiwi, S. D.; Slagle, A. L.; Sloss, C. R.; Su, X.; Yao, Z.</t>
  </si>
  <si>
    <t>Refinement of Miocene sea level and monsoon events from the sedimentary archive of the Maldives (Indian Ocean)</t>
  </si>
  <si>
    <t>PROGRESS IN EARTH AND PLANETARY SCIENCE</t>
  </si>
  <si>
    <t>Carbonate platform; Icehouse world; Sea level; Ocean circulation; Neogene; Indian Ocean</t>
  </si>
  <si>
    <t>CARBONATE-PLATFORM; ASIAN MONSOON; ICE VOLUME; EVOLUTION; SYSTEM; ARCHITECTURE; CIRCULATION; NEOGENE; CLIMATE; RECORD</t>
  </si>
  <si>
    <t>International Ocean Discovery Program (IODP) Expedition 359 cored sediments from eight borehole locations in the carbonate platform of the Maldives in the Indian Ocean. The expedition set out to unravel the timing of Neogene climate changes, in particular the evolution of the South Asian monsoon and fluctuations of the sea level. The timing of these changes are assessed by dating resultant sedimentary alterations that mark stratigraphic turning points in the Neogene Maldives platform system. The first four turning points during the early and middle Miocene are related to sea-level changes. These are reliably recorded in the stratigraphy of the carbonate sequences in which sequence boundaries provide the ages of the sea-level lowstand. Phases of aggradational platform growth give precise age brackets of long-term sea-level high stands during the early Miocene and the early to middle Miocene Climate Optimum that is dated here between 17 to 15.1 Ma. The subsequent middle Miocene cooling coincident with the eastern Antarctic ice sheet expansion resulted in a long-term lowering of sea level that is reflected by a progradational platform growth. The change in platform architecture from aggradation to progradation marks this turning point at 15.1 Ma.&amp; para;&amp; para;An abrupt change in sedimentation pattern is recognized across the entire archipelago at a sequence boundary dated as 12.9-13 Ma. At this turning point, the platform sedimentation switched to a current-controlled mode when the monsoon-wind-driven circulation started in the Indian Ocean. The similar age of the onset of drift deposition from monsoon-wind-driven circulation across the entire archipelago indicates an abrupt onset of monsoon winds in the Indian Ocean. Ten unconformities dissect the drift sequences, attesting changes in current strength or direction that are likely caused by the combined product of changes in the monsoon-wind intensity and sea level fluctuations in the last 13 Ma. A major shift in the drift packages is dated with 3.8 Ma that coincides with the end of stepwise platform drowning and a reduction of the oxygen minimum zone in the Inner Sea.&amp; para;&amp; para;The strata of the Maldives platform provides a detailed record of the extrinsic controlling factors on carbonate platform growth through time. This potential of carbonate platforms for dating the Neogene climate and current changes has been exploited in other platforms drilled by the Ocean Drilling Program. For example, Great Bahama Bank, the Queensland Plateau, and the platforms on the Marion Plateau show similar histories with sediment architectures driven by sea level in their early history (early to middle Miocene) replaced by current-driven drowning or partial drowning during their later history (Late Miocene). In all three platform systems, the influence of currents on sedimentations is reported between 11 and 13 Ma.</t>
  </si>
  <si>
    <t>[Betzler, C.; Luedmann, T.; Reolid, J.] Univ Hamburg, CEN, Inst Geol, Bundesstr 55, D-20146 Hamburg, Germany; [Eberli, G. P.; Swart, P. K.; Mee, A. L. Hui] Univ Miami, Rosenstiel Sch Marine &amp; Atmospher Sci, Dept Marine Geosci, Miami, FL 33149 USA; [Kroon, D.] Univ Edinburgh, Dept Geol &amp; Geophys, Grant Inst, Kings Bldg,West Mains Rd, Edinburgh EH9 3JW, Midlothian, Scotland; [Reijmer, J. J. G.] King Fahd Univ Petr &amp; Minerals, Coll Petr Engn &amp; Geosci, Dhahran 31261, Saudi Arabia; [Wright, J.] Rutgers State Univ, Dept Geol Sci, 610 Taylor Rd, Piscataway, NJ 08854 USA; [Young, J. R.] UCL, Dept Earth Sci, Gower St, London WC1E 6BT, England; [Alvarez-Zarikian, C.] Texas A&amp;M Univ, Int Ocean Discovery Program, 1000 Discovery Dr, College Stn, TX 77845 USA; [Alonso-Garcia, M.] IPMA, Div Geol &amp; Georecursos Marinhos, Ave Brasilia 6, P-1449006 Lisbon, Portugal; [Alonso-Garcia, M.] Univ Algarve, Ctr Ciencias Mar CCMAR, Faro, Portugal; [Bialik, O. M.] Univ Haifa, Leon H Charney Sch Marine Sci, Dr Moses Strauss Dept Marine Geosci, IL-31905 Carmel, Israel; [Blattler, C. L.] Princeton Univ, Dept Geosci, Guyot Hall, Princeton, NJ 08544 USA; [Guo, J. A.] Calif State Univ Bakersfield, Dept Geol Sci, 9001 Stockdale Highway, Bakersfield, CA 93311 USA; [Haffen, S.] Univ Lorraine, Ecole Natl Super Geol, 2 Rue Doyen Marcel Roubault, F-54501 Vandoeuvre Les Nancy, France; [Horozal, S.] Korea Inst Geosci &amp; Mineral Resources KIGAM, Petr &amp; Marine Res Div, Gwahang No 124, Daejeon 305350, South Korea; [Inoue, M.] Okayama Univ, Grad Sch Nat Sci &amp; Technol, 3-1-1 Tsushima Naka, Okayama 7008530, Japan; [Jovane, L.] Univ Sao Paulo, Inst Oceanog, Praca Oceanog 191, BR-05508120 Sao Paulo, SP, Brazil; [Lanci, L.] Univ Urbino, Ist Sci Terra, Via S Chiara 27, I-61029 Urbino, Italy; [Laya, J. C.] Texas A&amp;M Univ, Dept Geol &amp; Geophys, Mail Stop 3115, College Stn, TX 77843 USA; [Nakakuni, M.] Soka Univ, Dept Environm Engn Symbiosis, 1-236 Tangi Cyo, Hachioji, Tokyo 1920003, Japan; [Nath, B. N.] Natl Inst Oceanog, CSIR, Geol Oceanog Div, Panaji 403004, Goa, India; [Niino, K.] Yamagata Univ, Grad Sch Sci &amp; Engn, 1-4-12 Kojirakawa Machi, Yamagata 9908560, Japan; [Petruny, L. M.] George Mason Univ, Environm Sci &amp; Policy Dept, David King Hall Rm 3005,MSN 5F2,4400 Univ Dr, Fairfax, VA 22030 USA; [Pratiwi, S. D.] Akita Univ, Dept Geosci Geotechnol &amp; Mat Engn Resources, 1-1 Teagata Gakuencho, Akita 0108502, Japan; [Slagle, A. L.] Columbia Univ, Lamont Doherty Earth Observ, Borehole Bldg 61 Route 9W, Palisades, NY 10964 USA; [Sloss, C. R.] Univ Technol Queensland, Earth &amp; Environm Sci, R Block 317,2 George St, Brisbane, Qld 4001, Australia; [Su, X.] Chinese Acad Sci, South China Sea Inst Oceanol, Key Lab Marginal Sea Geol, 164 West Xingang Rd, Guangzhou 510301, Guangdong, Peoples R China; [Yao, Z.] SOA, Dept Marine Geol, FIO, 6 Xian Xia Ling Rd, Qingdao 266061, Shandong, Peoples R China; [Yao, Z.] Qingdao Natl Lab Marine Sci &amp; Technol, Lab Marine Geol, Qingdao, Peoples R China</t>
  </si>
  <si>
    <t>University of Hamburg; University of Miami; University of Edinburgh; King Fahd University of Petroleum &amp; Minerals; Rutgers University System; Rutgers University New Brunswick; University of London; University College London; Texas A&amp;M University System; Texas A&amp;M University College Station; Instituto Portugues do Mar e da Atmosfera; Universidade do Algarve; University of Haifa; Princeton University; California State University System; California State University Bakersfield; Universite de Lorraine; Korea Institute of Geoscience &amp; Mineral Resources (KIGAM); Okayama University; Universidade de Sao Paulo; University of Urbino; Texas A&amp;M University System; Texas A&amp;M University College Station; Soka University; Council of Scientific &amp; Industrial Research (CSIR) - India; CSIR - National Institute of Oceanography (NIO); Yamagata University; George Mason University; Akita University; Columbia University; Queensland University of Technology (QUT); Chinese Academy of Sciences; South China Sea Institute of Oceanology, CAS; Laoshan Laboratory</t>
  </si>
  <si>
    <t>Betzler, C (corresponding author), Univ Hamburg, CEN, Inst Geol, Bundesstr 55, D-20146 Hamburg, Germany.</t>
  </si>
  <si>
    <t>christian.betzler@uni-hamburg.de</t>
  </si>
  <si>
    <t>Swart, Peter/K-7041-2016; Horozal, Senay/AAK-7982-2021; Reijmer, John/B-5000-2009; Alvarez Zarikian, Carlos Andres/IUM-5257-2023; Lanci, Luca/J-8823-2015; Reijmer, John J.G./M-9759-2019; Jovane, Luigi/E-7536-2012; Alonso-Garcia, Montserrat/AAB-5338-2021; Wright, James/AAF-7180-2019; Jovane, Luigi/AAH-5438-2020; Pratiwi, Santi Dwi/AAI-6226-2020</t>
  </si>
  <si>
    <t>Swart, Peter/0000-0002-6743-6162; Reijmer, John/0000-0001-5807-1256; Reijmer, John J.G./0000-0001-5807-1256; Alonso-Garcia, Montserrat/0000-0002-0241-2178; Jovane, Luigi/0000-0003-4348-4714; Pratiwi, Santi Dwi/0000-0002-0922-5914; Sloss, Craig/0000-0001-8694-6822; Slagle, Angela/0000-0001-6788-7978; Alvarez Zarikian, Carlos/0000-0002-3785-3336; Bialik, Or M./0000-0003-1915-7297; Young, Jeremy/0000-0001-9320-9804; Betzler, Christian/0000-0002-5757-4553; Blattler, Clara/0000-0003-4843-3625; Reolid, Jesus/0000-0003-2329-4163; Laya, Juan Carlos/0000-0002-3089-301X; Nakakuni, Masatoshi/0000-0002-1992-8787; Wright, James/0000-0001-5212-9146; Eberli, Gregor Paul/0000-0001-5653-6929</t>
  </si>
  <si>
    <t>German Federal Ministry of Education and Research [03S0405, 03G0236A]; New Zealand institute for Geological and Nuclear Sciences; US National Science Foundation (NSF); Ministry of Earth Sciences (India); European Consortium for Ocean Research Drilling (ECORD); Australian Research Council; Ministry of Education, Culture, Sports, Science and Technology, Japan (MEXT); Korea Institute of Geoscience and Mineral Resources; Ministry of Science and Technology (People's Republic of China); NERC [NE/N014049/1] Funding Source: UKRI; Division Of Human Resource Development; Direct For Education and Human Resources [1547784] Funding Source: National Science Foundation; Natural Environment Research Council [NE/N014049/1] Funding Source: researchfish</t>
  </si>
  <si>
    <t>German Federal Ministry of Education and Research(Federal Ministry of Education &amp; Research (BMBF)); New Zealand institute for Geological and Nuclear Sciences; US National Science Foundation (NSF)(National Science Foundation (NSF)); Ministry of Earth Sciences (India); European Consortium for Ocean Research Drilling (ECORD); Australian Research Council(Australian Research Council); Ministry of Education, Culture, Sports, Science and Technology, Japan (MEXT)(Ministry of Education, Culture, Sports, Science and Technology, Japan (MEXT)); Korea Institute of Geoscience and Mineral Resources; Ministry of Science and Technology (People's Republic of China)(Ministry of Science and Technology, China); NERC(UK Research &amp; Innovation (UKRI)Natural Environment Research Council (NERC)); Division Of Human Resource Development; Direct For Education and Human Resources(National Science Foundation (NSF)NSF - Directorate for STEM Education (EDU)); Natural Environment Research Council(UK Research &amp; Innovation (UKRI)Natural Environment Research Council (NERC))</t>
  </si>
  <si>
    <t>The expedition was funded by the US National Science Foundation (NSF); the European Consortium for Ocean Research Drilling (ECORD); the Ministry of Education, Culture, Sports, Science and Technology, Japan (MEXT); the Ministry of Science and Technology (People's Republic of China); the Korea Institute of Geoscience and Mineral Resources; the Australian Research Council and the New Zealand institute for Geological and Nuclear Sciences; and the Ministry of Earth Sciences (India). The German Federal Ministry of Education and Research is thanked for funding the seismic surveys (03S0405, 03G0236A).</t>
  </si>
  <si>
    <t>SPRINGEROPEN</t>
  </si>
  <si>
    <t>CAMPUS, 4 CRINAN ST, LONDON, N1 9XW, ENGLAND</t>
  </si>
  <si>
    <t>2197-4284</t>
  </si>
  <si>
    <t>PROG EARTH PLANET SC</t>
  </si>
  <si>
    <t>Prog. Earth Planet. Sci.</t>
  </si>
  <si>
    <t>10.1186/s40645-018-0165-x</t>
  </si>
  <si>
    <t>FT5XJ</t>
  </si>
  <si>
    <t>WOS:000423226400001</t>
  </si>
  <si>
    <t>Rudraswami, NG; Fernandes, D; Naik, AK; Prasad, MS; Carrillo-Sánchez, JD; Plane, JMC; Feng, W; Taylor, S</t>
  </si>
  <si>
    <t>Rudraswami, N. G.; Fernandes, D.; Naik, A. K.; Prasad, M. Shyam; Carrillo-Sanchez, J. D.; Plane, J. M. C.; Feng, W.; Taylor, S.</t>
  </si>
  <si>
    <t>Selective Disparity of Ordinary Chondritic Precursors in Micrometeorite Flux</t>
  </si>
  <si>
    <t>ASTROPHYSICAL JOURNAL</t>
  </si>
  <si>
    <t>atmospheric effects; Earth; meteorites, meteors, meteoroids; minor planets, asteroids: general; Sun: general</t>
  </si>
  <si>
    <t>COSMIC DUST PARTICLES; ANTARCTIC MICROMETEORITES; INTERPLANETARY DUST; EARTHS ATMOSPHERE; OXYGEN-ISOTOPE; ACCRETION RATE; SPHERULES; ENTRY; METEORITES; ICE</t>
  </si>
  <si>
    <t>All known extraterrestrial dust (micrometeoroids) entering the Earth's atmosphere is anticipated to have a significant contribution from ordinary chondritic precursors, as seen in meteorites, but this is an apparent contradiction that needs to be addressed. Ordinary chondrites represent a minor contribution to the overall meteor influx compared to carbonaceous chondrites, which are largely dominated by CI and/or CM chondrites. However, the near-Earth asteroid population presents a scenario with sufficient scope for generation of dust-sized debris from ordinary chondritic sources. The bulk chemical composition of 3255 micrometeorites (MMs) collected from Antarctica and deep-sea sediments has shown Mg/Si largely dominated by carbonaceous chondrites, and less than 10% having ordinary chondritic precursors. The chemical ablation model is combined with different initial chondritic compositions (CI, CV, L, LL, H), and the results clearly indicate that high-density (&gt;= 2.8 g cm(-3)) precursors, such as CV and ordinary chondrites in the size range 100-700 mu m and zenith angle 0 degrees-70 degrees, ablate at much faster rates and lose their identity even before reaching the Earth's surface and hence are under-represented in our collections. Moreover, their ability to survive as MMs remains grim for high-velocity micrometeoroids (&gt; 16 km s(-1)). The elemental ratio for CV and ordinary chondrites are also similar to each other irrespective of the difference in the initial chemical composition. In conclusion, MMs belonging to ordinary chondritic precursors' concentrations may not be insignificant in thermosphere, as they are found on Earth's surface.</t>
  </si>
  <si>
    <t>[Rudraswami, N. G.; Fernandes, D.; Naik, A. K.; Prasad, M. Shyam] CSIR, Natl Inst Oceanog, Panaji 403004, Goa, India; [Carrillo-Sanchez, J. D.; Plane, J. M. C.; Feng, W.] Univ Leeds, Sch Chem, Leeds LS2 9JT, W Yorkshire, England; [Feng, W.] Univ Leeds, Sch Earth &amp; Environm, NCAS, Leeds LS2 9JT, W Yorkshire, England; [Taylor, S.] Cold Reg Res &amp; Engn Lab, 72 Lyme Rd, Hanover, NH 03755 USA</t>
  </si>
  <si>
    <t>Council of Scientific &amp; Industrial Research (CSIR) - India; CSIR - National Institute of Oceanography (NIO); University of Leeds; University of Leeds; UK Research &amp; Innovation (UKRI); Natural Environment Research Council (NERC); NERC National Centre for Atmospheric Science; United States Department of Defense; United States Army; U.S. Army Corps of Engineers; U.S. Army Engineer Research &amp; Development Center (ERDC); Cold Regions Research &amp; Engineering Laboratory (CRREL)</t>
  </si>
  <si>
    <t>Rudraswami, NG (corresponding author), CSIR, Natl Inst Oceanog, Panaji 403004, Goa, India.</t>
  </si>
  <si>
    <t>rudra@nio.org</t>
  </si>
  <si>
    <t>Naik, Arun Kumar/AAC-1559-2022; FENG, WUHU/B-8327-2008; Plane, John/C-7444-2015</t>
  </si>
  <si>
    <t>FENG, WUHU/0000-0002-9907-9120; N G, Rudraswami/0000-0002-3375-9860; Naik, Arun Kumar/0000-0001-8280-2995; Plane, John/0000-0003-3648-6893</t>
  </si>
  <si>
    <t>GEOSINKS; MoES-PMN; PLANEX project; MoES-NCAOR, Goa; European Research Council [291332-CODITA]; NERC [ncas10003, ncas10008, NE/R015244/1, ncas10005] Funding Source: UKRI; Natural Environment Research Council [ncas10008, ncas10009, ncas10005, NE/R015244/1, ncas10003] Funding Source: researchfish</t>
  </si>
  <si>
    <t>GEOSINKS; MoES-PMN; PLANEX project; MoES-NCAOR, Goa; European Research Council(European Research Council (ERC)); NERC(UK Research &amp; Innovation (UKRI)Natural Environment Research Council (NERC)); Natural Environment Research Council(UK Research &amp; Innovation (UKRI)Natural Environment Research Council (NERC))</t>
  </si>
  <si>
    <t>This research is funded by GEOSINKS, MoES-PMN and the PLANEX project. The Antarctica expedition is sponsored by MoES-NCAOR, Goa. We thank Vijay Khedekar and Areef Sardar for their support in electron microscopy. The CABMOD model is supported by the European Research Council (project 291332-CODITA). This is NIO's contribution No. 6110.</t>
  </si>
  <si>
    <t>IOP PUBLISHING LTD</t>
  </si>
  <si>
    <t>BRISTOL</t>
  </si>
  <si>
    <t>TEMPLE CIRCUS, TEMPLE WAY, BRISTOL BS1 6BE, ENGLAND</t>
  </si>
  <si>
    <t>0004-637X</t>
  </si>
  <si>
    <t>1538-4357</t>
  </si>
  <si>
    <t>ASTROPHYS J</t>
  </si>
  <si>
    <t>Astrophys. J.</t>
  </si>
  <si>
    <t>JAN 20</t>
  </si>
  <si>
    <t>10.3847/1538-4357/aaa5f7</t>
  </si>
  <si>
    <t>Astronomy &amp; Astrophysics</t>
  </si>
  <si>
    <t>FT5QW</t>
  </si>
  <si>
    <t>Bronze, Green Published</t>
  </si>
  <si>
    <t>WOS:000423209300002</t>
  </si>
  <si>
    <t>Lee, JH; Kim, JW; Lee, PC</t>
  </si>
  <si>
    <t>Lee, Jun Ho; Kim, Jin Won; Lee, Pyung Cheon</t>
  </si>
  <si>
    <t>Complete genome sequence of Flavobacterium kingsejongi WV39, a type species of the genus Flavobacterium and a microbial C40 carotenoid zeaxanthin producer</t>
  </si>
  <si>
    <t>JOURNAL OF BIOTECHNOLOGY</t>
  </si>
  <si>
    <t>Flavobacterium kingsejongi; Zeaxanthin; Complete genome sequence</t>
  </si>
  <si>
    <t>ESCHERICHIA-COLI; BIOSYNTHETIC-PATHWAY; FUNCTIONAL-ANALYSIS; RNA GENES; IDENTIFICATION; MEVALONATE</t>
  </si>
  <si>
    <t>A novel species, Flavobacterium kingsejongi WV39, isolated from feces of Antarctic penguins and a type species of the genus Flavobacterium, is yellow because it synthesizes a C40 carotenoid zeaxanthin. The complete genome of F. kingsejongi WV39 is made up of a single circular chromosome (4,224,053 bp, 39.8% G + C content). Annotation analysis revealed 3,955 coding sequences, 72 RNAs (18 rRNA + 54 tRNA), and five genes involved in zeaxanthin biosynthesis. The key gene encoding beta-carotenoid hydroxylase (CrtZ), which is the last enzyme in the zeaxanthin biosynthetic pathway, was cloned and subjected to complementary analysis in a heterologous E. coli strain. The CrtZ of F. kingsejongi WV39 showed a higher activity than other reported CrtZs.</t>
  </si>
  <si>
    <t>[Lee, Pyung Cheon] Ajou Univ, Dept Mol Sci &amp; Technol, Suwon 16499, South Korea; Ajou Univ, Dept Appl Chem &amp; Biol Engn, Suwon 16499, South Korea</t>
  </si>
  <si>
    <t>Ajou University; Ajou University</t>
  </si>
  <si>
    <t>Lee, PC (corresponding author), Ajou Univ, Dept Mol Sci &amp; Technol, Suwon 16499, South Korea.</t>
  </si>
  <si>
    <t>pclee@ajou.ac.kr</t>
  </si>
  <si>
    <t>Lee, Pyung Cheon/AAR-1021-2021; Kim, Jin/AAS-5810-2021</t>
  </si>
  <si>
    <t>Kim, Jin/0000-0002-7667-9588; Lee, Pyung Cheon/0000-0003-2014-6587</t>
  </si>
  <si>
    <t>National Research Foundation of Korea (NRF) - South Korean government [2017R1A2B4011899]; Technology Innovation Program [10051375, 10052975]; Ministry of Trade, Industry &amp; Energy (MI, Korea)</t>
  </si>
  <si>
    <t>National Research Foundation of Korea (NRF) - South Korean government; Technology Innovation Program; Ministry of Trade, Industry &amp; Energy (MI, Korea)</t>
  </si>
  <si>
    <t>This work was supported by a National Research Foundation of Korea (NRF) grant funded by the South Korean government (2017R1A2B4011899) and by the Technology Innovation Program (No. 10051375, No 10052975), funded by the Ministry of Trade, Industry &amp; Energy (MI, Korea).</t>
  </si>
  <si>
    <t>ELSEVIER SCIENCE BV</t>
  </si>
  <si>
    <t>AMSTERDAM</t>
  </si>
  <si>
    <t>PO BOX 211, 1000 AE AMSTERDAM, NETHERLANDS</t>
  </si>
  <si>
    <t>0168-1656</t>
  </si>
  <si>
    <t>1873-4863</t>
  </si>
  <si>
    <t>J BIOTECHNOL</t>
  </si>
  <si>
    <t>J. Biotechnol.</t>
  </si>
  <si>
    <t>10.1016/j.jbiotec.2017.11.012</t>
  </si>
  <si>
    <t>Biotechnology &amp; Applied Microbiology</t>
  </si>
  <si>
    <t>FS8VR</t>
  </si>
  <si>
    <t>WOS:000422693300002</t>
  </si>
  <si>
    <t>Kim, JW; Choi, BH; Kim, JH; Kang, HJ; Ryu, H; Lee, PC</t>
  </si>
  <si>
    <t>Kim, Jin Won; Choi, Bo Hyun; Kim, Jin Ho; Kang, Hyun-Jun; Ryu, Hoon; Lee, Pyung Cheon</t>
  </si>
  <si>
    <t>Complete genome sequence of Planococcus faecalis AJ003T, the type species of the genus Planococcus and a microbial C30 carotenoid producer</t>
  </si>
  <si>
    <t>Planococcus faecalis; Carotenoids; Gene cluster; Complete genome sequence</t>
  </si>
  <si>
    <t>GROWTH PROMOTING BACTERIUM; ESCHERICHIA-COLI; DEGRADING BACTERIUM; RNA GENES; MICROORGANISMS; ACID</t>
  </si>
  <si>
    <t>A novel type strain, Planococcus faecalis AJ003(T), isolated from the feces of Antarctic penguins, synthesizes a rare C30 carotenoid, glycosyl-4,4'-diaponeurosporen-4'-ol-4-oic acid. The complete genome of P. faecalis AJ003(T) comprises a single circular chromosome (3,495,892 bp; 40.9% G + C content). Annotation analysis has revealed 3511 coding DNA sequences and 99 RNAs; seven genes associated with the MEP pathway and five genes involved in the carotenoid pathway have been identified. The functionality and complementation of 4,4'-diapophytoene synthase (CrtM) and two copies of heterologous 4,4'-diapophytoene desaturase (CrtN) involved in carotenoid biosynthesis were analyzed in Escherichia coli.</t>
  </si>
  <si>
    <t>[Kim, Jin Won; Choi, Bo Hyun; Kim, Jin Ho; Kang, Hyun-Jun; Lee, Pyung Cheon] Ajou Univ, Dept Mol Sci &amp; Technol, Suwon 16499, South Korea; [Kim, Jin Won; Choi, Bo Hyun; Kim, Jin Ho; Kang, Hyun-Jun; Lee, Pyung Cheon] Ajou Univ, Dept Appl Chem &amp; Biol Engn, Suwon 16499, South Korea; [Ryu, Hoon] Samyang Corp, 730 Daeduck Daero, Daejeon 34055, South Korea</t>
  </si>
  <si>
    <t>Lee, PC (corresponding author), Ajou Univ, Dept Mol Sci &amp; Technol, Suwon 16499, South Korea.;Lee, PC (corresponding author), Ajou Univ, Dept Appl Chem &amp; Biol Engn, Suwon 16499, South Korea.</t>
  </si>
  <si>
    <t>Kim, Jin/AAS-5810-2021; Lee, Pyung Cheon/AAR-1021-2021</t>
  </si>
  <si>
    <t>Kim, Jin/0000-0002-7667-9588; Lee, Pyung Cheon/0000-0003-2014-6587; Choi, Bohyun/0000-0001-5547-3911</t>
  </si>
  <si>
    <t>National Research Foundation of Korea (NRF) - government of South Korea [2012M1A2A2671691]; Technology Innovation Program - Ministry of Trade, Industry &amp; Energy (MI, Korea) [10051375]</t>
  </si>
  <si>
    <t>National Research Foundation of Korea (NRF) - government of South Korea; Technology Innovation Program - Ministry of Trade, Industry &amp; Energy (MI, Korea)</t>
  </si>
  <si>
    <t>This work was supported by a National Research Foundation of Korea (NRF) grant funded by the government of South Korea (2012M1A2A2671691), and by the Technology Innovation Program (No. 10051375) funded by the Ministry of Trade, Industry &amp; Energy (MI, Korea).</t>
  </si>
  <si>
    <t>10.1016/j.jbiotec.2017.12.005</t>
  </si>
  <si>
    <t>WOS:000422693300010</t>
  </si>
  <si>
    <t>Albert, A; André, M; Anghinolfi, M; Anton, G; Ardid, M; Aubert, JJ; Aublin, J; Avgitas, T; Baret, B; Barrios-Martí, J; Basa, S; Belhorma, B; Bertin, V; Biagi, S; Bormuth, R; Bourret, S; Bouwhuis, MC; Brânzas, H; Bruijn, R; Brunner, J; Busto, J; Capone, A; Caramete, L; Carr, J; Celli, S; El Moursli, RC; Chiarusi, T; Circella, M; Coelho, JAB; Coleiro, A; Coniglione, R; Costantini, H; Coyle, P; Creusot, A; Díaz, AF; Deschamps, A; De Bonis, G; Distefano, C; Di Palma, I; Domi, A; Donzaud, C; Dornic, D; Drouhin, D; Eberl, T; El Bojaddaini, I; El Khayati, N; Elsässer, D; Enzenhöfer, A; Ettahiri, A; Fassi, F; Felis, I; Fusco, LA; Gay, P; Giordano, V; Glotin, H; Grégoire, T; Ruiz, RG; Graf, K; Hallmann, S; van Haren, H; Heijboer, AJ; Hello, Y; Hernández-Rey, JJ; Hössl, J; Hofestädt, J; Illuminati, G; James, CW; de Jong, M; Jongen, M; Kadler, M; Kalekin, O; Katz, U; Kiessling, D; Kouchner, A; Kreter, M; Kreykenbohm, I; Kulikovskiy, V; Lachaud, C; Lahmann, R; Lefèvre, D; Leonora, E; Lotze, M; Loucatos, S; Marcelin, M; Margiotta, A; Marinelli, A; Martínez-Mora, JA; Mele, R; Melis, K; Michael, T; Migliozzi, P; Moussa, A; Navas, S; Nezri, E; Organokov, M; Pavalas, GE; Pellegrino, C; Perrina, C; Piattelli, P; Popa, V; Pradier, T; Quinn, L; Racca, C; Riccobene, G; Sánchez-Losa, A; Saldaña, M; Salvadori, I; Samtleben, DFE; Sanguineti, M; Sapienza, P; Schüssler, F; Sieger, C; Spurio, M; Stolarczyk, T; Taiuti, M; Tayalati, Y; Trovato, A; Turpin, D; Tönnis, C; Vallage, B; Van Elewyck, V; Versari, F; Vivolo, D; Vizzoca, A; Wilms, J; Zornoza, JD; Zúñiga, J</t>
  </si>
  <si>
    <t>Albert, A.; Andre, M.; Anghinolfi, M.; Anton, G.; Ardid, M.; Aubert, J. -J.; Aublin, J.; Avgitas, T.; Baret, B.; Barrios-Marti, J.; Basa, S.; Belhorma, B.; Bertin, V.; Biagi, S.; Bormuth, R.; Bourret, S.; Bouwhuis, M. C.; Branzas, H.; Bruijn, R.; Brunner, J.; Busto, J.; Capone, A.; Caramete, L.; Carr, J.; Celli, S.; El Moursli, R. Cherkaoui; Chiarusi, T.; Circella, M.; Coelho, J. A. B.; Coleiro, A.; Coniglione, R.; Costantini, H.; Coyle, P.; Creusot, A.; Diaz, A. F.; Deschamps, A.; De Bonis, G.; Distefano, C.; Di Palma, I.; Domi, A.; Donzaud, C.; Dornic, D.; Drouhin, D.; Eberl, T.; El Bojaddaini, I.; El Khayati, N.; Elsaesser, D.; Enzenhofer, A.; Ettahiri, A.; Fassi, F.; Felis, I.; Fusco, L. A.; Gay, P.; Giordano, V.; Glotin, H.; Gregoire, T.; Ruiz, R. Gracia; Graf, K.; Hallmann, S.; van Haren, H.; Heijboer, A. J.; Hello, Y.; Hernandez-Rey, J. J.; Hoessl, J.; Hofestaedt, J.; Illuminati, G.; James, C. W.; de Jong, M.; Jongen, M.; Kadler, M.; Kalekin, O.; Katz, U.; Kiessling, D.; Kouchner, A.; Kreter, M.; Kreykenbohm, I.; Kulikovskiy, V.; Lachaud, C.; Lahmann, R.; Lefevre, D.; Leonora, E.; Lotze, M.; Loucatos, S.; Marcelin, M.; Margiotta, A.; Marinelli, A.; Martinez-Mora, J. A.; Mele, R.; Melis, K.; Michael, T.; Migliozzi, P.; Moussa, A.; Navas, S.; Nezri, E.; Organokov, M.; Pavalas, G. E.; Pellegrino, C.; Perrina, C.; Piattelli, P.; Popa, V.; Pradier, T.; Quinn, L.; Racca, C.; Riccobene, G.; Sanchez-Losa, A.; Saldana, M.; Salvadori, I.; Samtleben, D. F. E.; Sanguineti, M.; Sapienza, P.; Schussler, F.; Sieger, C.; Spurio, M.; Stolarczyk, Th.; Taiuti, M.; Tayalati, Y.; Trovato, A.; Turpin, D.; Tonnis, C.; Vallage, B.; Van Elewyck, V.; Versari, F.; Vivolo, D.; Vizzoca, A.; Wilms, J.; Zornoza, J. D.; Zuniga, J.</t>
  </si>
  <si>
    <t>ANTARES Collaboration</t>
  </si>
  <si>
    <t>All-flavor Search for a Diffuse Flux of Cosmic Neutrinos with Nine Years of ANTARES Data</t>
  </si>
  <si>
    <t>ASTROPHYSICAL JOURNAL LETTERS</t>
  </si>
  <si>
    <t>astroparticle physics; neutrinos</t>
  </si>
  <si>
    <t>ATMOSPHERIC MUONS; TELESCOPE; RECONSTRUCTION; DETECTOR</t>
  </si>
  <si>
    <t>The ANTARES detector is at present the most sensitive neutrino telescope in the northern hemisphere. The highly significant cosmic neutrino excess observed by the Antarctic IceCube detector can be studied with ANTARES, exploiting its complementing field of view, exposure, and lower energy threshold. Searches for an all-flavor diffuse neutrino signal, covering nine years of ANTARES data taking, are presented in this Letter. Upward-going events are used to reduce the atmospheric muon background. This work includes for the first time in ANTARES both track-like (mainly nu mu) and shower-like (mainly nu(e)) events in this kind of analysis. Track-like events allow for an increase of the effective volume of the detector thanks to the long path traveled by muons in rock and/ or sea water. Shower-like events are well reconstructed only when the neutrino interaction vertex is close to, or inside, the instrumented volume. A mild excess of high-energy events over the expected background is observed in nine years of ANTARES data in both samples. The best fit for a single power-law cosmic neutrino spectrum, in terms of perflavor flux at 100 TeV, is Phi(1f)(0) (100 TeV) = (1.7 +/- 1.0) x 10(-18) GeV-1 cm(-2) s(-1) sr(-1) with spectral index Gamma = 2.4(-0.4)(+0.5) .The null cosmic flux assumption is rejected with a significance of 1.6 sigma .</t>
  </si>
  <si>
    <t>[Albert, A.; Drouhin, D.; Racca, C.] Inst Univ Technol Colmar, Univ Haute Alsace, GRPHE, 34 Rue Grillenbreit BP, F-505686800 Colmar, France; [Andre, M.] Tech Univ Catalonia, Lab Appl Bioacoust, E-08800 Barcelona, Spain; [Anghinolfi, M.; Domi, A.; Sanguineti, M.; Taiuti, M.] Ist Nazl Fis Nucl, Sez Genova, Via Dodecaneso 33, I-16146 Genoa, Italy; [Anton, G.; Eberl, T.; Graf, K.; Hallmann, S.; Hoessl, J.; Hofestaedt, J.; James, C. W.; Kalekin, O.; Katz, U.; Kiessling, D.; Lahmann, R.; Sieger, C.] Friedrich Alexander Univ Erlangen Nurnberg, Erlangen Ctr Astroparticle Phys, Erwin Rommel Str 1, D-91058 Erlangen, Germany; [Ardid, M.; Felis, I.; Martinez-Mora, J. A.; Saldana, M.] Univ Politecn Valencia, Inst Invest Gestio Integrada Zones Costaneres IGI, C Paranimf 1, E-46730 Gandia, Spain; [Aubert, J. -J.; Bertin, V.; Brunner, J.; Busto, J.; Carr, J.; Costantini, H.; Coyle, P.; Dornic, D.; Enzenhofer, A.; Kulikovskiy, V.; Quinn, L.; Salvadori, I.; Turpin, D.] Aix Marseille Univ, CNRS, IN2P3, CPPM, Marseille, France; [Aublin, J.; Avgitas, T.; Baret, B.; Bourret, S.; Coelho, J. A. B.; Coleiro, A.; Creusot, A.; Donzaud, C.; Gay, P.; Gregoire, T.; Ruiz, R. Gracia; Kouchner, A.; Lachaud, C.; Loucatos, S.; Vallage, B.; Van Elewyck, V.] Univ Paris Diderot, Obs Paris, Sorbonne Paris Cite, APC,CNRS,IN2P3,CEA,Irfu, Paris, France; [Barrios-Marti, J.; Coleiro, A.; Hernandez-Rey, J. J.; Illuminati, G.; Lotze, M.; Tonnis, C.; Zornoza, J. D.; Zuniga, J.] Univ Valencia, CSIC, Inst Fis Corpuscular, IFIC, C Catedrat Jose Beltran 2, E-46980 Valencia, Spain; [Basa, S.; Marcelin, M.; Nezri, E.] LAM, Pole Etoile Site Chateau Gombert, F-13388 Marseille 13, France; [Belhorma, B.] Natl Ctr Energy Sci &amp; Nucl Techn, BP 1382,RP 10001, Rabat, Morocco; [Biagi, S.; Coniglione, R.; Distefano, C.; Leonora, E.; Piattelli, P.; Riccobene, G.; Sapienza, P.; Trovato, A.] Ist Nazl Fis Nucl, LNS, Via S Sofia 62, I-95123 Catania, Italy; [Bormuth, R.; Bouwhuis, M. C.; Bruijn, R.; Heijboer, A. J.; de Jong, M.; Jongen, M.; Melis, K.; Michael, T.; Samtleben, D. F. E.] Nikhef, Sci Pk, Amsterdam, Netherlands; [Bormuth, R.; de Jong, M.; Samtleben, D. F. E.] Leiden Univ, Huygens Kamerlingh Onnes Lab, Leiden, Netherlands; [Branzas, H.; Caramete, L.; Pavalas, G. E.; Popa, V.] Inst Space Sci, RO-077125 Magurele, Romania; [Bruijn, R.; Melis, K.] Univ Amsterdam, Inst Hoge Energie Fys, Sci Pk 105, NL-1098 XG Amsterdam, Netherlands; [Capone, A.; Celli, S.; De Bonis, G.; Di Palma, I.; Perrina, C.; Vizzoca, A.] Ist Nazl Fis Nucl, Sez Roma, Ple Aldo Moro 2, I-00185 Rome, Italy; [Capone, A.; Celli, S.; Di Palma, I.; Perrina, C.; Vizzoca, A.] Univ Roma La Sapienza, Dipartimento Fis, Ple Aldo Moro 2, I-00185 Rome, Italy; [Celli, S.] Gran Sasso Sci Inst, Viale Francesco Crispi 7, I-00167 Laquila, Italy; [El Moursli, R. Cherkaoui; El Khayati, N.; Ettahiri, A.; Fassi, F.; Tayalati, Y.] Univ Mohammed V Rabat, Fac Sci, 4 Av Ibn Battouta,BP 1014,RP 10000, Rabat, Morocco; [Chiarusi, T.; Fusco, L. A.; Margiotta, A.; Pellegrino, C.; Spurio, M.; Versari, F.] Ist Nazl Fis Nucl, Sez Bologna, Viale Berti Pichat 6-2, I-40127 Bologna, Italy; [Circella, M.; Sanchez-Losa, A.] Ist Nazl Fis Nucl, Sez Bari, Via E Orabona 4, I-70126 Bari, Italy; [Diaz, A. F.] Univ Granada, CITIC, Dept Comp Architecture &amp; Technol, E-18071 Granada, Spain; [Deschamps, A.; Hello, Y.] UCA, CNRS, IRD, Geoazur,Observ Cote Azur, Sophia Antipolis, France; [Domi, A.; Sanguineti, M.; Taiuti, M.] Univ Genoa, Dipartimento Fis, Via Dodecaneso 33, I-16146 Genoa, Italy; [Donzaud, C.] Univ Paris 11, F-91405 Orsay, France; [El Bojaddaini, I.; Moussa, A.] Univ Mohammed 1, Lab Phys Matter &amp; Radiat, BP 717, Oujda 6000, Morocco; [Elsaesser, D.; Kadler, M.; Kreter, M.; Wilms, J.] Univ Wurzburg, Inst Theoret Phys &amp; Astrophys, Emil Fischer Str 31, D-97074 Wurzburg, Germany; [Fusco, L. A.; Margiotta, A.; Pellegrino, C.; Spurio, M.; Versari, F.] Univ Bologna, Dipartimento Fis &amp; Astron, Viale Berti Pichat 6-2, I-40127 Bologna, Italy; [Gay, P.] Univ Blaise Pascal, Clermont Univ, Lab Phys Corpusculaire, CNRS,IN2P3, BP 10448, F-63000 Clermont Ferrand, France; [Giordano, V.; Leonora, E.] Ist Nazl Fis Nucl, Sez Catania, Viale Andrea Doria 6, I-95125 Catania, Italy; [Glotin, H.] Aix Marseille Univ, CNRS, UMR 7296, ENSAM,LSIS, F-13397 Marseille, France; [Glotin, H.] Univ Toulon &amp; Var, CNRS, UMR 7296, LSIS, F-83957 La Garde, France; [Glotin, H.; Kouchner, A.; Van Elewyck, V.] Inst Univ France, F-75005 Paris, France; [Ruiz, R. Gracia; Organokov, M.; Pradier, T.] Univ Strasbourg, CNRS, UMR 7178, IPHC, F-67000 Strasbourg, France; [van Haren, H.] Royal Netherlands Inst Sea Res NIOZ, Landsdiep 4, NL-1797 SZ Horntje, Netherlands; [van Haren, H.] Univ Utrecht, Landsdiep 4, NL-1797 SZ Horntje, Netherlands; [Kreykenbohm, I.] Friedrich Alexander Univ Erlangen Nurnberg, Dr Remeis Sternwarte &amp; ECAP, Sternwartstr 7, D-96049 Bamberg, Germany; [Kulikovskiy, V.] Moscow MV Lomonosov State Univ, Skobeltsyn Inst Nucl Phys, Moscow 119991, Russia; [Lefevre, D.] Aix Marseille Univ, MIO, F-13288 Marseille 9, France; [Lefevre, D.] Univ Sud Toulon Var, CNRS, INSU, IRD,UM 110, F-83957 La Garde, France; [Loucatos, S.; Schussler, F.; Stolarczyk, Th.; Vallage, B.] CEA Saclay, Serv Phys Particules, Inst Rech Lois Fondamentales Univers, Direct Sci Matiere, F-91191 Gif Sur Yvette, France; [Marinelli, A.] Ist Nazl Fis Nucl, Sez Pisa, Largo B Pontecorvo 3, I-56127 Pisa, Italy; [Marinelli, A.] Univ Pisa, Dipartimento Fis, Largo B Pontecorvo 3, I-56127 Pisa, Italy; [Mele, R.; Migliozzi, P.; Vivolo, D.] Ist Nazl Fis Nucl, Sez Napoli, Via Cintia, I-80126 Naples, Italy; [Mele, R.; Vivolo, D.] Univ Federico II Napoli, Dipartimento Fis, Via Cintia, I-80126 Naples, Italy; [Navas, S.] Univ Granada, Dept Fis Teor &amp; Cosmos &amp; CAFPE, E-18071 Granada, Spain</t>
  </si>
  <si>
    <t>Universites de Strasbourg Etablissements Associes; Universite de Haute-Alsace (UHA); Universitat Politecnica de Catalunya; Istituto Nazionale di Fisica Nucleare (INFN); University of Erlangen Nuremberg; Universitat Politecnica de Valencia; Aix-Marseille Universite; Centre National de la Recherche Scientifique (CNRS); CNRS - National Institute of Nuclear and Particle Physics (IN2P3); Universite PSL; Observatoire de Paris; CEA; Centre National de la Recherche Scientifique (CNRS); Universite Paris Cite; CNRS - National Institute of Nuclear and Particle Physics (IN2P3); University of Valencia; Consejo Superior de Investigaciones Cientificas (CSIC); CSIC - Instituto de Fisica Corpuscular (IFIC); Aix-Marseille Universite; Istituto Nazionale di Fisica Nucleare (INFN); FOM National Institute for Subatomic Physics; Leiden University; Leiden University - Excl LUMC; Institute of Space Science; University of Amsterdam; Istituto Nazionale di Fisica Nucleare (INFN); Sapienza University Rome; Gran Sasso Science Institute (GSSI); Mohammed V University in Rabat; Istituto Nazionale di Fisica Nucleare (INFN); Istituto Nazionale di Fisica Nucleare (INFN); University of Granada; Institut de Recherche pour le Developpement (IRD); Universite Cote d'Azur; Observatoire de la Cote d'Azur; Centre National de la Recherche Scientifique (CNRS); University of Genoa; Universite Paris Saclay; Mohammed First University of Oujda; University of Wurzburg; University of Bologna; Centre National de la Recherche Scientifique (CNRS); CNRS - National Institute of Nuclear and Particle Physics (IN2P3); Universite Clermont Auvergne (UCA); Istituto Nazionale di Fisica Nucleare (INFN); Centre National de la Recherche Scientifique (CNRS); Aix-Marseille Universite; Arts et Metiers Institute of Technology; Universite de Toulon; Centre National de la Recherche Scientifique (CNRS); Aix-Marseille Universite; Institut Universitaire de France; Centre National de la Recherche Scientifique (CNRS); CNRS - National Institute of Nuclear and Particle Physics (IN2P3); Universites de Strasbourg Etablissements Associes; Universite de Strasbourg; Utrecht University; Royal Netherlands Institute for Sea Research (NIOZ); Utrecht University; University of Erlangen Nuremberg; Lomonosov Moscow State University; Aix-Marseille Universite; Institut de Recherche pour le Developpement (IRD); Aix-Marseille Universite; Centre National de la Recherche Scientifique (CNRS); CNRS - National Institute for Earth Sciences &amp; Astronomy (INSU); CEA; Universite Paris Saclay; Istituto Nazionale di Fisica Nucleare (INFN); University of Pisa; Istituto Nazionale di Fisica Nucleare (INFN); University of Granada</t>
  </si>
  <si>
    <t>Fusco, LA (corresponding author), Ist Nazl Fis Nucl, Sez Bologna, Viale Berti Pichat 6-2, I-40127 Bologna, Italy.;Fusco, LA (corresponding author), Univ Bologna, Dipartimento Fis &amp; Astron, Viale Berti Pichat 6-2, I-40127 Bologna, Italy.</t>
  </si>
  <si>
    <t>lfusco@bo.infn.it; navas@ugr.es; federico.versari@bo.infn.it</t>
  </si>
  <si>
    <t>Coelho, Joao A B/D-3546-2013; Piattelli, Paolo/AAJ-2835-2020; Caramete, Laurentiu Ioan/C-2328-2011; ANTONELLI, ANTONELLA/C-6238-2011; Giordano, Valentina/O-1571-2019; PRADIER, Thierry/P-6052-2017; Pavalas, Gabriela Emilia/B-8309-2013; Kulikovskiy, Vladimir/AGG-7476-2022; Giordano, Valentina/Y-5113-2018; Anton, Gisela/C-4840-2013; Navas, Sergio/N-4649-2014; de Dios Zornoza, Juan/L-1604-2014; Eberl, Thomas/J-4826-2016; Schüssler, Fabian/M-3789-2019; Taiuti, Mauro GF/K-5324-2014; Hallmann, Steffen/HLQ-7871-2023; Ardid, Miguel/H-9544-2015; Belhorma, Bouchra/GSO-3440-2022; Domi, Alba/AAP-2811-2021; Chabab, Mohamed/AAH-1882-2019; Zuniga, Juan/P-4385-2014; Díaz, Antonio F./B-1403-2012; Sánchez Losa, Agustín/B-6153-2019; Deschamps, Alexis/A-2112-2009; Perrina, Chiara/AAD-5622-2019; James, Clancy W/G-9178-2015; Trovato, Agata/F-4160-2016; Sanguineti, Matteo/ABI-2984-2020; Organokov, Mukharbek/AAD-9974-2019; Branzas, Horea Florin/HPC-8361-2023; Popa, Vlad/C-3470-2011; Martínez-Mora, Juan A./P-3552-2015; De Bonis, Giulia/GLR-7481-2022; Vivolo, Daniele/AAC-5805-2020; Spurio, Maurizio/AAM-2262-2020; Chiarusi, Tommaso/HDN-8739-2022; Lahmann, Robert/L-7461-2015; Hernández-Rey, Juan José/N-5955-2014; Felis, Ivan/AGI-2903-2022; Migliozzi, Pasquale/I-6427-2015; Biagi, Simone/G-4557-2016; Wilms, Joern/C-8116-2013; Domi, Alba/HKF-6672-2023; moussa, Abdelilah/JJF-2956-2023; Fassi, Farida/F-3571-2016; Eberl, Thomas/AGX-6072-2022; Celli, Silvia/ABE-3710-2022; Lachaud, Christophe/ABC-8596-2021; Katz, Uli F/E-1925-2013; Gregoire, Timothee/AAT-7572-2021; Margiotta, Annarita/AHB-9734-2022; Riccobene, Giorgio/A-4502-2010; Distefano, Carla/G-5213-2016; Capone, Antonio/F-1098-2010; DI PALMA, Irene/R-1916-2018</t>
  </si>
  <si>
    <t>Piattelli, Paolo/0000-0003-4748-6485; Giordano, Valentina/0000-0001-8865-5930; Pavalas, Gabriela Emilia/0000-0002-7586-6488; Giordano, Valentina/0000-0001-8865-5930; Anton, Gisela/0000-0003-2039-4724; Navas, Sergio/0000-0003-1688-5758; de Dios Zornoza, Juan/0000-0002-1834-0690; Eberl, Thomas/0000-0002-5301-9106; Schüssler, Fabian/0000-0003-1500-6571; Hallmann, Steffen/0000-0001-9847-7189; Ardid, Miguel/0000-0002-3199-594X; Chabab, Mohamed/0000-0002-2772-4290; Zuniga, Juan/0000-0002-1041-6451; Díaz, Antonio F./0000-0002-2615-6586; Sánchez Losa, Agustín/0000-0001-9596-7078; Perrina, Chiara/0000-0003-1649-8109; James, Clancy W/0000-0002-6437-6176; Trovato, Agata/0000-0002-9714-1904; Organokov, Mukharbek/0000-0002-3093-3456; Branzas, Horea Florin/0000-0002-0914-5172; Martínez-Mora, Juan A./0000-0001-7956-2847; De Bonis, Giulia/0000-0001-7079-5724; Vivolo, Daniele/0000-0002-4773-2116; Spurio, Maurizio/0000-0002-8698-3655; Hernández-Rey, Juan José/0000-0002-1527-7200; Felis, Ivan/0000-0003-0038-5126; Migliozzi, Pasquale/0000-0001-5497-3594; Biagi, Simone/0000-0001-8598-0017; Wilms, Joern/0000-0003-2065-5410; Domi, Alba/0000-0002-9610-7296; Fassi, Farida/0000-0002-6423-7213; Eberl, Thomas/0000-0002-5301-9106; Celli, Silvia/0000-0002-7592-0851; Lachaud, Christophe/0000-0003-2762-1619; Gregoire, Timothee/0000-0001-8711-1456; Riccobene, Giorgio/0000-0002-0600-2774; Distefano, Carla/0000-0001-8632-1136; Lahmann, Robert/0009-0005-5493-1702; Glotin, Herve/0000-0001-7338-8518; Coelho, Joao/0000-0001-5615-3899; Bouchra, Belhorma/0000-0002-6121-1069; Fusco, Luigi Antonio/0000-0001-8254-3372; Capone, Antonio/0000-0001-9657-6220; Kulikovskiy, Vladimir/0000-0003-4096-5934; Kouchner, Antoine/0000-0001-7068-2113; Marinelli, Antonio/0000-0002-1466-1219; Taiuti, Mauro Gino/0000-0001-9795-5169; Chiarusi, Tommaso/0000-0001-8454-8644; Pellegrino, Carmelo/0000-0003-1530-4595; Coniglione, Rosa/0000-0002-8289-5447; DI PALMA, Irene/0000-0003-1544-8943; Caramete, Laurentiu/0000-0002-3571-3145; Lachaud, Cyril/0000-0002-3732-854X; Sanguineti, Matteo/0000-0002-7206-2097; Moussa, abdelilah/0000-0003-2233-9120; Elsaesser, Dominik/0000-0001-6796-3205</t>
  </si>
  <si>
    <t>Centre National de la Recherche Scientifique (CNRS), France; Commissariat a l'energie atomique et aux energies alternatives (CEA), France; Commission Europeenne (FEDER fund), France; Commission Europeenne (Marie Curie Program), France; Institut Universitaire de France (IUF), France; UnivEarthS Labex program at Sorbonne Paris Cite, France [ANR-10-LABX-0023, ANR-11-IDEX-0005-02]; Labex OCEVU, France [ANR-11-LABX-0060]; A*MIDEX project, France [ANR-11-IDEX-0001-02]; Region Ile-de-France (DIM-ACAV), France; Region Alsace (contrat CPER), France; Region Provence-Alpes-Cote d'Azur, France; Bundesministerium fur Bildung und Forschung (BMBF), Germany; Istituto Nazionale di Fisica Nucleare (INFN), Italy; Nederlandse organisatie voor Wetenschappelijk Onderzoek (NWO), the Netherlands; Council of the President of the Russian Federation for young scientists and leading scientific schools supporting grants, Russia; National Authority for Scientific Research (ANCS), Romania; Ministerio de Economia y Competitividad (MINECO): Plan Estatal de Investigacion, Spain [FPA2015-65150-C3-1-P, FPA2015-65150-C3-2-P, FPA2015-65150-C3-3-P]; Severo Ochoa Centre of Excellence and MultiDark Consolider (MINECO), Spain; Prometeo program (Generalitat Valenciana), Spain; Ministry of Higher Education, Scientific Research and Professional Training, Morocco; IdEx program, France; Grisolia program (Generalitat Valenciana), Spain; Departement du Var and Ville de La Seyne-sur-Mer, France</t>
  </si>
  <si>
    <t>Centre National de la Recherche Scientifique (CNRS), France(Centre National de la Recherche Scientifique (CNRS)); Commissariat a l'energie atomique et aux energies alternatives (CEA), France(French Atomic Energy Commission); Commission Europeenne (FEDER fund), France; Commission Europeenne (Marie Curie Program), France(European Union (EU)); Institut Universitaire de France (IUF), France; UnivEarthS Labex program at Sorbonne Paris Cite, France; Labex OCEVU, France; A*MIDEX project, France; Region Ile-de-France (DIM-ACAV), France(Region Ile-de-France); Region Alsace (contrat CPER), France(Region Grand-Est); Region Provence-Alpes-Cote d'Azur, France(Region Provence-Alpes-Cote d'Azur); Bundesministerium fur Bildung und Forschung (BMBF), Germany(Federal Ministry of Education &amp; Research (BMBF)); Istituto Nazionale di Fisica Nucleare (INFN), Italy(Istituto Nazionale di Fisica Nucleare (INFN)); Nederlandse organisatie voor Wetenschappelijk Onderzoek (NWO), the Netherlands(Netherlands Organization for Scientific Research (NWO)Netherlands Government); Council of the President of the Russian Federation for young scientists and leading scientific schools supporting grants, Russia; National Authority for Scientific Research (ANCS), Romania; Ministerio de Economia y Competitividad (MINECO): Plan Estatal de Investigacion, Spain; Severo Ochoa Centre of Excellence and MultiDark Consolider (MINECO), Spain; Prometeo program (Generalitat Valenciana), Spain; Ministry of Higher Education, Scientific Research and Professional Training, Morocco; IdEx program, France; Grisolia program (Generalitat Valenciana), Spain; Departement du Var and Ville de La Seyne-sur-Mer, France(Region Provence-Alpes-Cote d'Azur)</t>
  </si>
  <si>
    <t>The authors acknowledge the financial support of the funding agencies: Centre National de la Recherche Scientifique (CNRS), Commissariat a l'energie atomique et aux energies alternatives (CEA), Commission Europeenne (FEDER fund and Marie Curie Program), Institut Universitaire de France (IUF), IdEx program and UnivEarthS Labex program at Sorbonne Paris Cite (ANR-10-LABX-0023 and ANR-11-IDEX-0005-02), Labex OCEVU (ANR-11-LABX-0060) and the A*MIDEX project (ANR-11-IDEX-0001-02), Region Ile-de-France (DIM-ACAV), Region Alsace (contrat CPER), Region Provence-Alpes-Cote d'Azur, Departement du Var and Ville de La Seyne-sur-Mer, France; Bundesministerium fur Bildung und Forschung (BMBF), Germany; Istituto Nazionale di Fisica Nucleare (INFN), Italy; Nederlandse organisatie voor Wetenschappelijk Onderzoek (NWO), the Netherlands; Council of the President of the Russian Federation for young scientists and leading scientific schools supporting grants, Russia; National Authority for Scientific Research (ANCS), Romania; Ministerio de Economia y Competitividad (MINECO): Plan Estatal de Investigacion (refs. FPA2015-65150-C3-1-P, -2-P and -3-P, (MINECO/FEDER)), Severo Ochoa Centre of Excellence and MultiDark Consolider (MINECO), and Prometeo and Grisolia programs (Generalitat Valenciana), Spain; Ministry of Higher Education, Scientific Research and Professional Training, Morocco. We also acknowledge the technical support of Ifremer, AIM and Foselev Marine for the sea operation and the CC-IN2P3 for the computing facilities.</t>
  </si>
  <si>
    <t>2041-8205</t>
  </si>
  <si>
    <t>2041-8213</t>
  </si>
  <si>
    <t>ASTROPHYS J LETT</t>
  </si>
  <si>
    <t>Astrophys. J. Lett.</t>
  </si>
  <si>
    <t>L7</t>
  </si>
  <si>
    <t>10.3847/2041-8213/aaa4f6</t>
  </si>
  <si>
    <t>FT5GT</t>
  </si>
  <si>
    <t>Green Submitted, Green Published</t>
  </si>
  <si>
    <t>WOS:000423182700004</t>
  </si>
  <si>
    <t>Stjern, CW; Muri, H; Ahlm, L; Boucher, O; Cole, JNS; Ji, DY; Jones, A; Haywood, J; Kravitz, B; Lenton, A; Moore, JC; Niemeier, U; Phipps, SJ; Schmidt, H; Watanabe, S; Kristjánsson, JE</t>
  </si>
  <si>
    <t>Stjern, Camilla W.; Muri, Helene; Ahlm, Lars; Boucher, Olivier; Cole, Jason N. S.; Ji, Duoying; Jones, Andy; Haywood, Jim; Kravitz, Ben; Lenton, Andrew; Moore, John C.; Niemeier, Ulrike; Phipps, Steven J.; Schmidt, Hauke; Watanabe, Shingo; Kristjansson, Jon Egill</t>
  </si>
  <si>
    <t>Response to marine cloud brightening in a multi-model ensemble</t>
  </si>
  <si>
    <t>CLIMATE MODEL; PART I; PRECIPITATION; IMPACT; ALBEDO; PARAMETERIZATION; MICROPHYSICS; SENSITIVITY; INJECTION; SCHEME</t>
  </si>
  <si>
    <t>Here we show results from Earth system model simulations from the marine cloud brightening experiment G4cdnc of the Geoengineering Model Intercomparison Project (GeoMIP). The nine contributing models prescribe a 50% increase in the cloud droplet number concentration (CDNC) of low clouds over the global oceans in an experiment dubbed G4cdnc, with the purpose of counteracting the radiative forcing due to anthropogenic greenhouse gases under the RCP4.5 scenario. The model ensemble median effective radiative forcing (ERF) amounts to -1.9W m(-2), with a substantial inter-model spread of -0.6 to -2.5W m(-2). The large spread is partly related to the considerable differences in clouds and their representation between the models, with an underestimation of low clouds in several of the models. All models predict a statistically significant temperature decrease with a median of (for years 2020-2069) 0.96 [-0.17 to -1.21] K relative to the RCP4.5 scenario, with particularly strong cooling over low-latitude continents. Globally aver-aged there is a weak but significant precipitation decrease of -2.35 [-0.57 to -2.96]% due to a colder climate, but at low latitudes there is a 1.19% increase over land. This increase is part of a circulation change where a strong negative top-of-atmosphere (TOA) shortwave forcing over subtropical oceans, caused by increased albedo associated with the increasing CDNC, is compensated for by rising motion and positive TOA longwave signals over adjacent land regions.</t>
  </si>
  <si>
    <t>[Stjern, Camilla W.] CICERO, Oslo, Norway; [Stjern, Camilla W.; Muri, Helene; Ahlm, Lars; Kristjansson, Jon Egill] Univ Oslo, Dept Geosci, Oslo, Norway; [Ahlm, Lars] Stockholm Univ, Dept Meteorol, Stockholm, Sweden; [Ahlm, Lars] Stockholm Univ, Bolin Ctr Climate Res, Stockholm, Sweden; [Boucher, Olivier] Univ Paris 06, Lab Meteorol Dynam, Paris, France; [Cole, Jason N. S.] Environm &amp; Climate Change Canada, Canadian Ctr Climate Modelling &amp; Anal, Victoria, BC, Canada; [Ji, Duoying; Moore, John C.] Beijing Normal Univ, Coll Global Change &amp; Earth Syst Sci, Beijing, Peoples R China; [Jones, Andy; Haywood, Jim] Met Off Hadley Ctr, Exeter, Devon, England; [Kravitz, Ben] Pacific Northwest Natl Lab, Atmospher Sci &amp; Global Change Div, Richland, WA USA; [Lenton, Andrew] CSIRO Oceans &amp; Atmosphere, Hobart, Tas, Australia; [Moore, John C.] Joint Ctr Global Change Studies, Beijing 100875, Peoples R China; [Moore, John C.] Univ Lapland, Arctic Ctr, POB 122, Rovaniemi 96101, Finland; [Niemeier, Ulrike; Schmidt, Hauke] Max Planck Inst Meteorol, Hamburg, Germany; [Phipps, Steven J.] Univ Tasmania, Inst Marine &amp; Antarctic Studies, Hobart, Tas, Australia; [Watanabe, Shingo] Japan Agcy Marine Earth Sci &amp; Technol, Yokohama, Kanagawa, Japan</t>
  </si>
  <si>
    <t>University of Oslo; Stockholm University; Sorbonne Universite; Environment &amp; Climate Change Canada; Canadian Centre for Climate Modelling &amp; Analysis (CCCma); Beijing Normal University; Met Office - UK; Hadley Centre; United States Department of Energy (DOE); Pacific Northwest National Laboratory; Commonwealth Scientific &amp; Industrial Research Organisation (CSIRO); University of Lapland; Max Planck Society; University of Tasmania; Japan Agency for Marine-Earth Science &amp; Technology (JAMSTEC)</t>
  </si>
  <si>
    <t>Stjern, CW (corresponding author), CICERO, Oslo, Norway.;Stjern, CW (corresponding author), Univ Oslo, Dept Geosci, Oslo, Norway.</t>
  </si>
  <si>
    <t>camilla.stjern@cicero.oslo.no</t>
  </si>
  <si>
    <t>Kravitz, Ben/P-7925-2014; Watanabe, Shingo/L-9689-2014; Boucher, Olivier/J-5810-2012; Watanabe, Shingo/X-2336-2019; Haywood, Jim/GQA-6691-2022; Muri, Helene/D-4845-2015; Stjern, Camilla Weum/ABA-6904-2020; Moore, John C/B-2868-2013; Ji, Duoying/AAF-9425-2021; Schmidt, Hauke/J-4469-2013; Boucher, Olivier/K-7483-2012; Phipps, Steven/B-3135-2008; Lenton, Andrew/D-2077-2012</t>
  </si>
  <si>
    <t>Kravitz, Ben/0000-0001-6318-1150; Watanabe, Shingo/0000-0002-2228-0088; Watanabe, Shingo/0000-0002-2228-0088; Muri, Helene/0000-0003-4738-493X; Moore, John C/0000-0001-8271-5787; Haywood, Jim/0000-0002-2143-6634; Schmidt, Hauke/0000-0001-7977-5041; Boucher, Olivier/0000-0003-2328-5769; Stjern, Camilla Weum/0000-0003-3608-9468; Phipps, Steven/0000-0001-5657-8782; Lenton, Andrew/0000-0001-9437-8896; Cole, Jason/0000-0003-0450-2748</t>
  </si>
  <si>
    <t>EXPECT project - Norwegian Research Council [229760/E10]; RCN [261862/E10]; Swedish Research Council FORMAS [2015-748]; US Department of Energy [DE-AC05-76RL01830]; Australian Research Council's Special Research Initiative for the Antarctic Gateway Partnership [SR140300001]; National Basic Research Program of China [2015CB953600]</t>
  </si>
  <si>
    <t>EXPECT project - Norwegian Research Council(Research Council of Norway); RCN; Swedish Research Council FORMAS(Swedish Research Council Formas); US Department of Energy(United States Department of Energy (DOE)); Australian Research Council's Special Research Initiative for the Antarctic Gateway Partnership(Australian Research Council); National Basic Research Program of China(National Basic Research Program of China)</t>
  </si>
  <si>
    <t>The work of Jon Egill Kristjansson, Camilla W. Stjern, Helene Muri and Lars Ahlm was supported by the EXPECT project, funded by the Norwegian Research Council, grant no. 229760/E10. Camilla W. Stjern wishes to thank CICERO for letting her continue and complete the present project. Helene Muri was also funded by RCN grant 261862/E10. Lars Ahlm was also supported by the Swedish Research Council FORMAS (grant 2015-748). The Pacific Northwest National Laboratory is operated for the US Department of Energy by Battelle Memorial Institute under contract DE-AC05-76RL01830. Steven J. Phipps was supported by the Australian Research Council's Special Research Initiative for the Antarctic Gateway Partnership (project ID SR140300001). The work of Duoying Ji and John C. Moore was supported by the National Basic Research Program of China (grant number 2015CB953600).</t>
  </si>
  <si>
    <t>JAN 19</t>
  </si>
  <si>
    <t>10.5194/acp-18-621-2018</t>
  </si>
  <si>
    <t>FT3BI</t>
  </si>
  <si>
    <t>Green Submitted, gold, Green Accepted</t>
  </si>
  <si>
    <t>WOS:000423020400001</t>
  </si>
  <si>
    <t>Hallmann, N; Camoin, G; Eisenhauer, A; Botella, A; Milne, GA; Vella, C; Samankassou, E; Pothin, V; Dussouillez, P; Fleury, J; Fietzke, J</t>
  </si>
  <si>
    <t>Hallmann, N.; Camoin, G.; Eisenhauer, A.; Botella, A.; Milne, G. A.; Vella, C.; Samankassou, E.; Pothin, V.; Dussouillez, P.; Fleury, J.; Fietzke, J.</t>
  </si>
  <si>
    <t>Ice volume and climate changes from a 6000 year sea-level record in French Polynesia</t>
  </si>
  <si>
    <t>NINO-SOUTHERN OSCILLATION; LAST INTERGLACIAL PERIOD; COOK ISLANDS; PLEISTOCENE DEGLACIATION; EQUATORIAL PACIFIC; CORAL MICROATOLLS; SOCIETY ISLANDS; C-14 DATES; U-SERIES; OCEAN</t>
  </si>
  <si>
    <t>Mid- to late-Holocene sea-level records from low-latitude regions serve as an important baseline of natural variability in sea level and global ice volume prior to the Anthropocene. Here, we reconstruct a high-resolution sea-level curve encompassing the last 6000 years based on a comprehensive study of coral microatolls, which are sensitive low-tide recorders. Our curve is based on microatolls from several islands in a single region and comprises a total of 82 sea-level index points. Assuming thermosteric contributions are negligible on millennial time scales, our results constrain global ice melting to be 1.5-2.5 m (sea-level equivalent) since similar to 5500 years before present. The reconstructed curve includes isolated rapid events of several decimetres within a few centuries, one of which is most likely related to loss from the Antarctic ice sheet mass around 5000 years before present. In contrast, the occurrence of large and flat microatolls indicates periods of significant sea-level stability lasting up to similar to 300 years.</t>
  </si>
  <si>
    <t>[Hallmann, N.; Camoin, G.; Vella, C.; Pothin, V.; Dussouillez, P.; Fleury, J.] Aix Marseille Univ, CNRS, CEREGE Europole Mediterraneen Arbois, IRD,Coll France, BP80, F-13545 Aix En Provence 4, France; [Eisenhauer, A.; Fietzke, J.] GEOMAR Helmholtz Zentrum Ozeanforsch, Wischhofstr 1-3, D-24148 Kiel, Germany; [Botella, A.; Milne, G. A.] Univ Ottawa, Dept Earth &amp; Environm Sci, Ottawa, ON K1N 6N5, Canada; [Samankassou, E.] Univ Geneva, Dept Earth Sci, Rue Maraichers 13, CH-1205 Geneva, Switzerland</t>
  </si>
  <si>
    <t>Aix-Marseille Universite; Institut de Recherche pour le Developpement (IRD); Centre National de la Recherche Scientifique (CNRS); Universite PSL; College de France; Helmholtz Association; GEOMAR Helmholtz Center for Ocean Research Kiel; University of Ottawa; University of Geneva</t>
  </si>
  <si>
    <t>Hallmann, N (corresponding author), Aix Marseille Univ, CNRS, CEREGE Europole Mediterraneen Arbois, IRD,Coll France, BP80, F-13545 Aix En Provence 4, France.</t>
  </si>
  <si>
    <t>hallmann@cerege.fr</t>
  </si>
  <si>
    <t>IPO, PAGES/JXY-7546-2024; Eisenhauer, Anton/K-6454-2012; Botella, A./M-2420-2013</t>
  </si>
  <si>
    <t>Hallmann, Nadine/0000-0002-5642-9944; CAMOIN, Gilbert/0000-0002-7466-4155; Samankassou, Elias/0000-0003-0385-7686</t>
  </si>
  <si>
    <t>Natural Sciences and Engineering Research Council of Canada; Swiss National Science Foundation [140618]; PAGES/INQUA; Directorate For Geosciences; Division Of Earth Sciences [1440015] Funding Source: National Science Foundation</t>
  </si>
  <si>
    <t>Natural Sciences and Engineering Research Council of Canada(Natural Sciences and Engineering Research Council of Canada (NSERC)CGIAR); Swiss National Science Foundation(Swiss National Science Foundation (SNSF)); PAGES/INQUA; Directorate For Geosciences; Division Of Earth Sciences(National Science Foundation (NSF)NSF - Directorate for Geosciences (GEO))</t>
  </si>
  <si>
    <t>We thank the Polynesian authorities and services for their constant support and assistance, and all the Polynesian companies and friends for their help during field work studies. G.A.M. acknowledges support from the Natural Sciences and Engineering Research Council of Canada. E.S. acknowledges support from the Swiss National Science Foundation (Project 140618). This paper is a contribution to the PAGES/INQUA funded PALSEA2 working group.</t>
  </si>
  <si>
    <t>NATURE PORTFOLIO</t>
  </si>
  <si>
    <t>JAN 18</t>
  </si>
  <si>
    <t>10.1038/s41467-017-02695-7</t>
  </si>
  <si>
    <t>FS9NU</t>
  </si>
  <si>
    <t>Green Published, gold, Green Accepted</t>
  </si>
  <si>
    <t>WOS:000422745800020</t>
  </si>
  <si>
    <t>Cárdenas, CA; González-Aravena, M; Santibañez, PA</t>
  </si>
  <si>
    <t>Cardenas, Cesar A.; Gonzalez-Aravena, Marcelo; Santibanez, Pamela A.</t>
  </si>
  <si>
    <t>The importance of local settings: within-year variability in seawater temperature at South Bay, Western Antarctic Peninsula</t>
  </si>
  <si>
    <t>PEERJ</t>
  </si>
  <si>
    <t>Antarctica; Climate change; WAP; Benthic organisms; Increased seawater temperature; Environmental variability; Short-term variability; Stenothermic</t>
  </si>
  <si>
    <t>TEMPORAL VARIATION; THERMAL TOLERANCE; HEAT TOLERANCE; MARINE; OCEAN; RESPONSES; ADAPTATION; LIMITS; SENSITIVITY; INCREASE</t>
  </si>
  <si>
    <t>The Western Antarctic Peninsula (WAP) has undergone significant changes in air and seawater temperatures during the last 50 years. Although highly stenotherm Antarctic organisms are expected to be severely affected by the increase of seawater temperature, high-resolution datasets of seawater temperature within coastal areas of the WAP ( where diverse marine communities have been reported) are not commonly available. Here we report on within-year (2016-2017) variation in seawater temperature at three sites on Doumer Island, Palmer Archipelago, WAP. Within a year, Antarctic organisms in South Bay were exposed to water temperatures in excess of 2 degrees C for more than 25 days and 2.5 degrees C for more than 10 days. We recorded a temperature range between 1.7 degrees to 3.0 degrees C. Warming of seawater temperature was 3.75 times faster after October 2016 than it was before October. Results from this study indicate that organisms at South Bay are already exposed to temperatures that are being used in experimental studies to evaluate physiological responses to thermal stress in WAP organisms. Continuous measurements of short to long-term variability in seawater temperature provides important information for parametrizing meaningful experimental treatments that aim to assess the local effects of environmental variation on Antarctic organisms under future climate scenarios.</t>
  </si>
  <si>
    <t>[Cardenas, Cesar A.; Gonzalez-Aravena, Marcelo; Santibanez, Pamela A.] Inst Antartico Chileno, Dept Cient, Punta Arenas, Chile</t>
  </si>
  <si>
    <t>Cárdenas, CA (corresponding author), Inst Antartico Chileno, Dept Cient, Punta Arenas, Chile.</t>
  </si>
  <si>
    <t>ccardenas@inach.cl</t>
  </si>
  <si>
    <t>González, Marcelo/ABF-1450-2020; Cardenas, Cesar/ABF-1664-2020; Santibanez, Pamela/HII-2820-2022</t>
  </si>
  <si>
    <t>Santibanez, Pamela/0000-0001-7022-3232; Cardenas, Cesar/0000-0001-6662-6899; Gonzalez, Marcelo/0000-0001-9986-9504</t>
  </si>
  <si>
    <t>CONICYT/FONDECYT/INACH/INICIACION [11150129]</t>
  </si>
  <si>
    <t>CONICYT/FONDECYT/INACH/INICIACION</t>
  </si>
  <si>
    <t>This research was funded by CONICYT/FONDECYT/INACH/INICIACION/# 11150129. The funders had no role in study design, data collection and analysis, decision to publish, or preparation of the manuscript.</t>
  </si>
  <si>
    <t>PEERJ INC</t>
  </si>
  <si>
    <t>341-345 OLD ST, THIRD FLR, LONDON, EC1V 9LL, ENGLAND</t>
  </si>
  <si>
    <t>2167-8359</t>
  </si>
  <si>
    <t>PeerJ</t>
  </si>
  <si>
    <t>e4289</t>
  </si>
  <si>
    <t>10.7717/peerj.4289</t>
  </si>
  <si>
    <t>FT4UC</t>
  </si>
  <si>
    <t>gold, Green Submitted, Green Published</t>
  </si>
  <si>
    <t>WOS:000423149600001</t>
  </si>
  <si>
    <t>Laepple, T; Münch, T; Casado, M; Hoerhold, M; Landais, A; Kipfstuhl, S</t>
  </si>
  <si>
    <t>Laepple, Thomas; Muench, Thomas; Casado, Mathieu; Hoerhold, Maria; Landais, Amaelle; Kipfstuhl, Sepp</t>
  </si>
  <si>
    <t>On the similarity and apparent cycles of isotopic variations in East Antarctic snow pits</t>
  </si>
  <si>
    <t>DRONNING-MAUD-LAND; ICE-CORE; CLIMATE VARIABILITY; SURFACE SNOW; STABLE-ISOTOPES; WATER ISOTOPES; OXYGEN-ISOTOPE; SOUTH-POLE; ATMOSPHERIC CIRCULATION; MATHEMATICAL-ANALYSIS</t>
  </si>
  <si>
    <t>Stable isotope ratios delta O-18 and delta D in polar ice provide a wealth of information about past climate evolution. Snow-pit studies allow us to relate observed weather and climate conditions to the measured isotope variations in the snow. They therefore offer the possibility to test our understanding of how isotope signals are formed and stored in firn and ice. As delta O-18 and delta D in the snowfall are strongly correlated to air temperature, isotopes in the near-surface snow are thought to record the seasonal cycle at a given site. Accordingly, the number of seasonal cycles observed over a given depth should depend on the accumulation rate of snow. However, snow-pit studies from different accumulation conditions in East Antarctica reported similar isotopic variability and comparable apparent cycles in the delta O-18 and delta D profiles with typical wavelengths of similar to 20 cm. These observations are unexpected as the accumulation rates strongly differ between the sites, ranging from 20 to 80mmw.e.yr(-1) (similar to 6-21 cm of snow per year). Various mechanisms have been proposed to explain the isotopic variations individually at each site; however, none of these are consistent with the similarity of the different profiles independent of the local accumulation conditions. Here, we systematically analyse the properties and origins of delta O-18 and delta D variations in high-resolution firn profiles from eight East Antarctic sites. First, we confirm the suggested cycle length (mean distance between peaks) of similar to 20 cm by counting the isotopic maxima. Spectral analysis further shows a strong similarity between the sites but indicates no dominant periodic features. Furthermore, the appar-ent cycle length increases with depth for most East Antarctic sites, which is inconsistent with burial and compression of a regular seasonal cycle. We show that these results can be explained by isotopic diffusion acting on a noise-dominated isotope signal. The firn diffusion length is rather stable across the Antarctic Plateau and thus leads to similar power spectral densities of the isotopic variations. This in turn implies a similar distance between isotopic maxima in the firn profiles. Our results explain a large set of observations discussed in the literature, providing a simple explanation for the interpretation of apparent cycles in shallow isotope records, without invoking complex mechanisms. Finally, the results underline previous suggestions that isotope signals in single ice cores from low-accumulation regions have a small signal-to-noise ratio and thus likely do not allow the reconstruction of interannual to decadal climate variations.</t>
  </si>
  <si>
    <t>[Laepple, Thomas; Muench, Thomas] Helmholtz Ctr Polar &amp; Marine Res, Alfred Wegener Inst, Telegrafenberg A43, D-14473 Potsdam, Germany; [Muench, Thomas] Univ Potsdam, Inst Phys &amp; Astron, Karl Liebknecht Str 24-25, D-14476 Potsdam, Germany; [Casado, Mathieu; Landais, Amaelle] UVSQ, CNRS, CEA, Lab Sci Climat &amp; Environnement IPSL,UMR 8212, Gif Sur Yvette, France; [Hoerhold, Maria; Kipfstuhl, Sepp] Helmholtz Ctr Polar &amp; Marine Res, Alfred Wegener Inst, Alten Hafen 26, D-27568 Bremerhaven, Germany</t>
  </si>
  <si>
    <t>Helmholtz Association; Alfred Wegener Institute, Helmholtz Centre for Polar &amp; Marine Research; University of Potsdam; Universite Paris Cite; Universite Paris Saclay; CEA; Centre National de la Recherche Scientifique (CNRS); CNRS - National Institute for Earth Sciences &amp; Astronomy (INSU); Helmholtz Association; Alfred Wegener Institute, Helmholtz Centre for Polar &amp; Marine Research</t>
  </si>
  <si>
    <t>Laepple, T (corresponding author), Helmholtz Ctr Polar &amp; Marine Res, Alfred Wegener Inst, Telegrafenberg A43, D-14473 Potsdam, Germany.</t>
  </si>
  <si>
    <t>thomas.laepple@awi.de</t>
  </si>
  <si>
    <t>Münch, Thomas/AAC-9281-2019; Laepple, Thomas/M-8783-2015</t>
  </si>
  <si>
    <t>Münch, Thomas/0000-0002-5492-7544; LANDAIS, Amaelle/0000-0002-5620-5465; Laepple, Thomas/0000-0001-8108-7520; Casado, Mathieu/0000-0002-8185-415X</t>
  </si>
  <si>
    <t>Initiative and Networking Fund of the Helmholtz Association grant [VG-NH900]; European Research Council (ERC) under the European Union's Seventh Framework Programme (FP7)/RC grant [306045]; ERC under the European Union's Horizon research and innovation programme [716092]; European Research Council (ERC) [716092] Funding Source: European Research Council (ERC)</t>
  </si>
  <si>
    <t>Initiative and Networking Fund of the Helmholtz Association grant; European Research Council (ERC) under the European Union's Seventh Framework Programme (FP7)/RC grant; ERC under the European Union's Horizon research and innovation programme; European Research Council (ERC)(European Research Council (ERC)Spanish Government)</t>
  </si>
  <si>
    <t>We thank Y. Hoshina and A. Ekaykin for sharing their data and J. Freitag and A. M. Dolman for discussions and detailed editing. We are grateful to the reviewers B. Markle and the two anonymous reviewers, for their detailed comments on the manuscript. T. Laepple and T. Munch were supported by the Initiative and Networking Fund of the Helmholtz Association grant VG-NH900. M. Casado and A. Landais have received funding from the European Research Council (ERC) under the European Union's Seventh Framework Programme (FP7/2007-2013)/RC grant agreement number 306045 and T. Laepple has received funding from the ERC under the European Union's Horizon 2020 research and innovation programme (grant agreement no. 716092).</t>
  </si>
  <si>
    <t>JAN 17</t>
  </si>
  <si>
    <t>10.5194/tc-12-169-2018</t>
  </si>
  <si>
    <t>FT1HE</t>
  </si>
  <si>
    <t>WOS:000422885300001</t>
  </si>
  <si>
    <t>Peck, VL; Oakes, RL; Harper, EM; Manno, C; Tarling, GA</t>
  </si>
  <si>
    <t>Peck, Victoria L.; Oakes, Rosie L.; Harper, Elizabeth M.; Manno, Clara; Tarling, Geraint A.</t>
  </si>
  <si>
    <t>Pteropods counter mechanical damage and dissolution through extensive shell repair</t>
  </si>
  <si>
    <t>INTACT ORGANIC LAYER; ET-AL VULNERABILITY; OCEAN ACIDIFICATION; LIMACINA-HELICINA; CALCIFYING ORGANISMS; MYTILUS-EDULIS; SOUTHERN-OCEAN; IMPACT; WATERS; SEA</t>
  </si>
  <si>
    <t>The dissolution of the delicate shells of sea butterflies, or pteropods, has epitomised discussions regarding ecosystem vulnerability to ocean acidification over the last decade. However, a recent demonstration that the organic coating of the shell, the periostracum, is effective in inhibiting dissolution suggests that pteropod shells may not be as susceptible to ocean acidification as previously thought. Here we use micro-CT technology to show how, despite losing the entire thickness of the original shell in localised areas, specimens of polar species Limacina helicina maintain shell integrity by thickening the inner shell wall. One specimen collected within Fram Strait with a history of mechanical and dissolution damage generated four times the thickness of the original shell in repair material. The ability of pteropods to repair and maintain their shells, despite progressive loss, demonstrates a further resilience of these organisms to ocean acidification but at a likely metabolic cost.</t>
  </si>
  <si>
    <t>[Peck, Victoria L.; Manno, Clara; Tarling, Geraint A.] British Antarctic Survey, Nat Environm Res Council, Madingley Rd, Cambridge CB3 0ET, England; [Oakes, Rosie L.] Penn State Univ, Dept Geosci, University Pk, PA 16802 USA; [Oakes, Rosie L.] Drexel Univ, Acad Nat Sci, 1900 Benjamin Franklin Pkwy, Philadelphia, PA 19103 USA; [Harper, Elizabeth M.] Univ Cambridge, Dept Earth Sci, Downing St, Cambridge CB2 3EQ, England</t>
  </si>
  <si>
    <t>UK Research &amp; Innovation (UKRI); Natural Environment Research Council (NERC); NERC British Antarctic Survey; Pennsylvania Commonwealth System of Higher Education (PCSHE); Pennsylvania State University; Pennsylvania State University - University Park; Drexel University; University of Cambridge</t>
  </si>
  <si>
    <t>Peck, VL (corresponding author), British Antarctic Survey, Nat Environm Res Council, Madingley Rd, Cambridge CB3 0ET, England.</t>
  </si>
  <si>
    <t>vlp@bas.ac.uk</t>
  </si>
  <si>
    <t>Harper, Elizabeth M/B-3890-2008</t>
  </si>
  <si>
    <t>Oakes, Rosie/0000-0001-8380-2049</t>
  </si>
  <si>
    <t>NERC [NE/H 17348/1*]; DEFRA [NE/H 17348/1*]; DECC [NE/H 17348/1*]; Natural Environment Research Council [bas0100035, NE/H017267/1, bas0100025, bas0100030] Funding Source: researchfish; NERC [bas0100025, NE/H017267/1, bas0100030, bas0100035] Funding Source: UKRI</t>
  </si>
  <si>
    <t>NERC(UK Research &amp; Innovation (UKRI)Natural Environment Research Council (NERC)); DEFRA(Department for Environment, Food &amp; Rural Affairs (DEFRA)); DECC; Natural Environment Research Council(UK Research &amp; Innovation (UKRI)Natural Environment Research Council (NERC)); NERC(UK Research &amp; Innovation (UKRI)Natural Environment Research Council (NERC))</t>
  </si>
  <si>
    <t>We thank the captain and crew of the RRS James Clark Ross for enabling this research and PSO Ray Leakey. We are grateful for funding support from NERC, DEFRA and DECC to the pelagic consortium of the UK Ocean Acidification programme (Grant no. NE/H 17348/1*). Thank you to the Natural History Museum London and GE in Lewistown, PA for access to CT-imaging facilities.</t>
  </si>
  <si>
    <t>10.1038/s41467-017-02692-w</t>
  </si>
  <si>
    <t>FS8HD</t>
  </si>
  <si>
    <t>WOS:000422650500015</t>
  </si>
  <si>
    <t>Ramos, B; González-Acuña, D; Loyola, DE; Johnson, WE; Parker, PG; Massaro, M; Dantas, GPM; Miranda, MD; Vianna, JA</t>
  </si>
  <si>
    <t>Ramos, Barbara; Gonzalez-Acuna, Daniel; Loyola, David E.; Johnson, Warren E.; Parker, Patricia G.; Massaro, Melanie; Dantas, Gisele P. M.; Miranda, Marcelo D.; Vianna, Juliana A.</t>
  </si>
  <si>
    <t>Landscape genomics: natural selection drives the evolution of mitogenome in penguins</t>
  </si>
  <si>
    <t>BMC GENOMICS</t>
  </si>
  <si>
    <t>Comparative mitogenomics; Selection; Penguins; Adaptation</t>
  </si>
  <si>
    <t>HIGH-ALTITUDE ADAPTATION; MITOCHONDRIAL GENOMES; EL-NINO; POSITIVE SELECTION; HUMBOLDT PENGUIN; INFECTIOUS-DISEASES; LARGE PHYLOGENIES; CLIMATE-CHANGE; DNA; SEQUENCE</t>
  </si>
  <si>
    <t>Background: Mitochondria play a key role in the balance of energy and heat production, and therefore the mitochondrial genome is under natural selection by environmental temperature and food availability, since starvation can generate more efficient coupling of energy production. However, selection over mitochondrial DNA (mtDNA) genes has usually been evaluated at the population level. We sequenced by NGS 12 mitogenomes and with four published genomes, assessed genetic variation in ten penguin species distributed from the equator to Antarctica. Signatures of selection of 13 mitochondrial protein-coding genes were evaluated by comparing among species within and among genera (Spheniscus, Pygoscelis, Eudyptula, Eudyptes and Aptenodytes). The genetic data were correlated with environmental data obtained through remote sensing (sea surface temperature [SST], chlorophyll levels [Chl] and a combination of SST and Chl [COM]) through the distribution of these species. Results: We identified the complete mtDNA genomes of several penguin species, including ND6 and 8 tRNAs on the light strand and 12 protein coding genes, 14 tRNAs and two rRNAs positioned on the heavy strand. The highest diversity was found in NADH dehydrogenase genes and the lowest in COX genes. The lowest evolutionary divergence among species was between Humboldt (Spheniscus humboldti) and Galapagos (S. mendiculus) penguins (0.004), while the highest was observed between little penguin (Eudyptula minor) and Adelie penguin (Pygoscelis adeliae) (0.097). We identified a signature of purifying selection (Ka/Ks &lt; 1) across the mitochondrial genome, which is consistent with the hypothesis that purifying selection is constraining mitogenome evolution to maintain Oxidative phosphorylation (OXPHOS) proteins and functionality. Pairwise species maximum-likelihood analyses of selection at codon sites suggest positive selection has occurred on ATP8 (Fixed-Effects Likelihood, FEL) and ND4 (Single Likelihood Ancestral Counting, SLAC) in all penguins. In contrast, COX1 had a signature of strong negative selection. ND4 Ka/Ks ratios were highly correlated with SST (Mantel, p-value: 0.0001; GLM, p-value: 0.00001) and thus may be related to climate adaptation throughout penguin speciation. Conclusions: These results identify mtDNA candidate genes under selection which could be involved in broad-scale adaptations of penguins to their environment. Such knowledge may be particularly useful for developing predictive models of how these species may respond to severe climatic changes in the future.</t>
  </si>
  <si>
    <t>[Ramos, Barbara; Miranda, Marcelo D.; Vianna, Juliana A.] Pontificia Univ Catolica Chile, Fac Agron &amp; Ingn Forestal, Dept Ecosistemas &amp; Medio Ambiente, Av Vicuna Mackenna, Santiago 4860, Chile; [Ramos, Barbara] Univ Andres Bello, Fac Ecol &amp; Recursos Nat, Republ 252, Santiago, Chile; [Gonzalez-Acuna, Daniel] Univ Concepcion, Fac Ciencias Vet, Dept Ciencias Pecuarias, Av Vicente Mendez 595, Chillan 3780000, CP, Chile; [Loyola, David E.] Ctr Nacl Genom &amp; Bioinformat, Portugal 49, Santiago, Chile; [Loyola, David E.] I DEA Biotech, Av Cent 3413, Santiago, Chile; [Johnson, Warren E.] Natl Zool Pk, Smithsonian Conservat Biol Inst, 1500 Remount Rd, Front Royal, VA 22630 USA; [Parker, Patricia G.] Univ Missouri St Louis, One Univ Blvd, St Louis, MO 63121 USA; [Parker, Patricia G.] St Louis Zoo, One Univ Blvd, St Louis, MO 63121 USA; [Massaro, Melanie] Charles Sturt Univ, Sch Environm Sci, POB 789, Albury, NSW, Australia; [Massaro, Melanie] Charles Sturt Univ, Inst Land Water &amp; Soc, POB 789, Albury, NSW, Australia; [Dantas, Gisele P. M.] Pontificia Univ Catolica Minas Gerais, Av Dom Jose Gaspar 500, Belo Horizonte, MG, Brazil; [Vianna, Juliana A.] Ctr Cambio Global UC, Santiago, Chile</t>
  </si>
  <si>
    <t>Pontificia Universidad Catolica de Chile; Universidad Andres Bello; Universidad de Concepcion; Smithsonian Institution; Smithsonian National Zoological Park &amp; Conservation Biology Institute; University of Missouri System; University of Missouri Saint Louis; Charles Sturt University; Charles Sturt University; Pontificia Universidade Catolica de Minas Gerais</t>
  </si>
  <si>
    <t>Vianna, JA (corresponding author), Pontificia Univ Catolica Chile, Fac Agron &amp; Ingn Forestal, Dept Ecosistemas &amp; Medio Ambiente, Av Vicuna Mackenna, Santiago 4860, Chile.;Vianna, JA (corresponding author), Ctr Cambio Global UC, Santiago, Chile.</t>
  </si>
  <si>
    <t>jvianna@uc.cl</t>
  </si>
  <si>
    <t>Dantas, Gisele PM/T-6782-2019; Chaves Ramos, Barbara Ruanne/KHE-4980-2024; Johnson, Warren/D-4149-2016; Miranda, Marcelo/N-6462-2014; Vianna, Juliana/E-9847-2015; Massaro, Melanie/P-4791-2017</t>
  </si>
  <si>
    <t>Dantas, Gisele PM/0000-0001-5282-7577; Johnson, Warren/0000-0002-5954-186X; Miranda, Marcelo/0000-0002-8386-4888; Vianna, Juliana/0000-0003-2330-7825; Massaro, Melanie/0000-0001-9039-1268</t>
  </si>
  <si>
    <t>Sea World and Busch Garden Conservation Fund; Fondecyt [11110060, 1150517]; INACH [G06-11, T12-13, 12-14]; UNAB [DI-410-13/I]; CNPq [482501/2013-8, 490403/2008-5]; FAPESP [2009/08624]; National Science Foundation [ANT 0944411]; New Zealand's Ministry of Science and Innovation grant [C01X1001]; Saint Louis Zoo and the Des Lee Collaborative Vision</t>
  </si>
  <si>
    <t>Sea World and Busch Garden Conservation Fund; Fondecyt(Comision Nacional de Investigacion Cientifica y Tecnologica (CONICYT)CONICYT FONDECYT); INACH; UNAB; CNPq(Conselho Nacional de Desenvolvimento Cientifico e Tecnologico (CNPQ)); FAPESP(Fundacao de Amparo a Pesquisa do Estado de Sao Paulo (FAPESP)); National Science Foundation(National Science Foundation (NSF)); New Zealand's Ministry of Science and Innovation grant; Saint Louis Zoo and the Des Lee Collaborative Vision</t>
  </si>
  <si>
    <t>The research was funded by the Sea World and Busch Garden Conservation Fund, Fondecyt No 11110060, 1150517 INACH No G06-11, T12-13 and 12-14, UNAB DI-410-13/I, and CNPq 482501/2013-8 and 490403/2008-5, FAPESP 2009/08624. Sampling of Adelie penguins at Cape Crozier was supported through funding from the National Science Foundation to David G. Ainley (ANT 0944411) and logistics supplied by the U.S. Antarctic Program. MM was funded by a New Zealand's Ministry of Science and Innovation grant (C01X1001). PP was funded by the Saint Louis Zoo and the Des Lee Collaborative Vision.</t>
  </si>
  <si>
    <t>1471-2164</t>
  </si>
  <si>
    <t>BMC Genomics</t>
  </si>
  <si>
    <t>JAN 16</t>
  </si>
  <si>
    <t>10.1186/s12864-017-4424-9</t>
  </si>
  <si>
    <t>Biotechnology &amp; Applied Microbiology; Genetics &amp; Heredity</t>
  </si>
  <si>
    <t>FT1GP</t>
  </si>
  <si>
    <t>WOS:000422883800003</t>
  </si>
  <si>
    <t>Yi, W; Reid, IM; Xue, XH; Murphy, DJ; Hall, CM; Tsutsumi, M; Ning, BQ; Li, GZ; Younger, JP; Chen, TD; Dou, XK</t>
  </si>
  <si>
    <t>Yi, Wen; Reid, Iain M.; Xue, Xianghui; Murphy, Damian J.; Hall, Chris M.; Tsutsumi, Masaki; Ning, Baiqi; Li, Guozhu; Younger, Joel P.; Chen, Tingdi; Dou, Xiankang</t>
  </si>
  <si>
    <t>High- and Middle-Latitude Neutral Mesospheric Density Response to Geomagnetic Storms</t>
  </si>
  <si>
    <t>MESOPAUSE REGION; TEMPERATURE; DIFFUSION</t>
  </si>
  <si>
    <t>We report the first observations of a highand middle-latitude neutral mesospheric density response to geomagnetic storms. Interhemisphere mesospheric densities are estimated using data from meteor radars at Davis Station (68.6 degrees S, 77.9 degrees E), Svalbard (78.3 degrees N, 16 degrees E) and Tromso (69.6 degrees N, 19.2 degrees E), which are located under the auroral zone; the Mohe (53.5 degrees N, 122.3 degrees E), and Beijing (40.3 degrees N, 116.2 degrees E) meteor radars, located in northern midlatitudes, and the Microwave Limb Sounder (MLS) on the Aura satellite. Both case studies and a superposed epoch analysis indicate that geomagnetic storms can significantly influence mesospheric density, causing a greater than similar to 10% decrease in the auroral zones and a similar to 5% decrease at higher midlatitudes. With such large changes, it is reasonable to suspect that geomagnetic storms influence the dynamics of the high and middle latitudes mesosphere.</t>
  </si>
  <si>
    <t>[Yi, Wen; Xue, Xianghui; Chen, Tingdi; Dou, Xiankang] Univ Sci &amp; Technol China, CAS Key Lab Geospace Environm, Dept Geophys &amp; Planetary Sci, Hefei, Anhui, Peoples R China; [Yi, Wen; Xue, Xianghui; Chen, Tingdi] Univ Sci &amp; Technol China, Mengcheng Natl Geophys Observ, Sch Earth &amp; Space Sci, Hefei, Anhui, Peoples R China; [Yi, Wen; Reid, Iain M.; Younger, Joel P.] Univ Adelaide, Sch Phys Sci, Adelaide, SA, Australia; [Reid, Iain M.; Younger, Joel P.] ATRAD Pty Ltd, Thebarton, SA, Australia; [Xue, Xianghui] Univ Sci &amp; Technol China, Synerget Innovat Ctr Quantum Informat &amp; Quantum P, Hefei, Anhui, Peoples R China; [Murphy, Damian J.] Australian Antarctic Div, Kingston, Tas, Australia; [Hall, Chris M.] UiT Arctic Univ Norway, Tromso Geophys Observ, Tromso, Norway; [Tsutsumi, Masaki] Natl Inst Polar Res, Tachikawa, Tokyo, Japan; [Ning, Baiqi; Li, Guozhu] Chinese Acad Sci, Key Lab Earth &amp; Planetary Phys, Inst Geol &amp; Geophys, Beijing, Peoples R China</t>
  </si>
  <si>
    <t>Chinese Academy of Sciences; University of Science &amp; Technology of China, CAS; Chinese Academy of Sciences; University of Science &amp; Technology of China, CAS; University of Adelaide; ATRAD Pty Ltd.; Chinese Academy of Sciences; University of Science &amp; Technology of China, CAS; CAS Center for Excellence in Quantum Information &amp; Quantum Physics; Australian Antarctic Division; UiT The Arctic University of Tromso; Research Organization of Information &amp; Systems (ROIS); National Institute of Polar Research (NIPR) - Japan; Chinese Academy of Sciences; Institute of Geology &amp; Geophysics, CAS</t>
  </si>
  <si>
    <t>Xue, XH (corresponding author), Univ Sci &amp; Technol China, CAS Key Lab Geospace Environm, Dept Geophys &amp; Planetary Sci, Hefei, Anhui, Peoples R China.;Xue, XH (corresponding author), Univ Sci &amp; Technol China, Mengcheng Natl Geophys Observ, Sch Earth &amp; Space Sci, Hefei, Anhui, Peoples R China.;Reid, IM (corresponding author), Univ Adelaide, Sch Phys Sci, Adelaide, SA, Australia.;Reid, IM (corresponding author), ATRAD Pty Ltd, Thebarton, SA, Australia.;Xue, XH (corresponding author), Univ Sci &amp; Technol China, Synerget Innovat Ctr Quantum Informat &amp; Quantum P, Hefei, Anhui, Peoples R China.</t>
  </si>
  <si>
    <t>iain.reid@adelaide.edu.au; xuexh@ustc.edu.cn</t>
  </si>
  <si>
    <t>Yi, Wen/M-4896-2019; Dou, xiankang/M-9106-2013; Xue, Xianghui/S-5789-2019; Reid, Iain/B-5681-2012; Ning, Baiqi/A-2573-2012; Li, Guozhu/D-4322-2009; Younger, Joel/I-4601-2012</t>
  </si>
  <si>
    <t>Yi, Wen/0000-0003-3717-6811; Xue, Xianghui/0000-0002-4541-9900; Reid, Iain/0000-0003-2340-9047; Li, Guozhu/0000-0002-7669-3590; Murphy, Damian/0000-0003-1738-5560; Hall, Chris/0000-0001-7308-5859; Younger, Joel/0000-0003-2918-1709</t>
  </si>
  <si>
    <t>National Natural Science Foundation of China [41774158, 41474129, 41674150]; Chinese Meridian Project; Youth Innovation Promotion Association of the Chinese Academy of Sciences [2011324]; China Scholarship Council; University of Adelaide; ATRAD Pty Ltd; AAS project [2529, 2668, 4025]</t>
  </si>
  <si>
    <t>National Natural Science Foundation of China(National Natural Science Foundation of China (NSFC)); Chinese Meridian Project; Youth Innovation Promotion Association of the Chinese Academy of Sciences; China Scholarship Council(China Scholarship Council); University of Adelaide; ATRAD Pty Ltd; AAS project</t>
  </si>
  <si>
    <t>This work is supported by the National Natural Science Foundation of China (41774158, 41474129, and 41674150), the Chinese Meridian Project, the Youth Innovation Promotion Association of the Chinese Academy of Sciences (2011324), and the China Scholarship Council. We also acknowledge support provided by the University of Adelaide and ATRAD Pty Ltd, and the provision of Davis meteor radar data by the Australian Antarctic Division, the provision of Nippon/Norway Svalbard and Tromso meteor radar data by the National Institute of Polar Research and UiT-The Arctic University of Norway, the provision of Mohe and Beijing meteor radar data by the Chinese Meridian Project and STERN (the Solar: Terrestrial Environment Research Network). Operation of the Davis meteor radar was supported under AAS project 2529, 2668, and 4025. Davis meteor radar data are available from the Australian Antarctic Data Centre at data.aad.gov.au. We thank the NASA EOS Aura MLS team and the NOAA POES/SEM-2 team for providing free access to their data. Aura/MLS data are available from http:// disc.sci.gsfc.nasa.gov/Aura/data-holdings/MLS. The POSE/SEM-2/MEPED data are available from https://www.ngdc.noaa.gov/stp/satellite/poes/index.html. The Kp, Dst, Ap, and F10.7 data were obtained from the Goddard Space Flight Centre/Space Physics Data Facility (GSFC/SPDF) OMNIWeb interface (https://omniweb.gsfc.nasa.gov/ow.html).</t>
  </si>
  <si>
    <t>10.1002/2017GL076282</t>
  </si>
  <si>
    <t>FT8VR</t>
  </si>
  <si>
    <t>WOS:000423431800049</t>
  </si>
  <si>
    <t>Clem, KR; Renwick, JA; McGregor, J</t>
  </si>
  <si>
    <t>Clem, Kyle R.; Renwick, James A.; McGregor, James</t>
  </si>
  <si>
    <t>Autumn Cooling of Western East Antarctica Linked to the Tropical Pacific</t>
  </si>
  <si>
    <t>ENSO; SAM; East Antarctica; climate; Rossby waves; teleconnection</t>
  </si>
  <si>
    <t>SOUTHERN ANNULAR MODE; ICE SHELVES; EXTRATROPICAL CIRCULATION; AMERICAN MODES; CLIMATE-CHANGE; HEMISPHERE; SURFACE; PENINSULA; OSCILLATION; VARIABILITY</t>
  </si>
  <si>
    <t>Over the past 60 years, the climate of East Antarctica cooled while portions of West Antarctica were among the most rapidly warming regions on the planet. The East Antarctic cooling is attributed to a positive trend in the Southern Annular Mode (SAM) and a strengthening of the westerlies, while West Antarctic warming is tied to zonally asymmetric circulation changes forced by the tropics. This study finds recent (post-1979) surface cooling of East Antarctica during austral autumn to also be tied to tropical forcing, namely, an increase in La Nina events. The recent increase in La Nina conditions forces a Rossby wave into the Southern Hemisphere that increases anticyclonic circulation over the South Atlantic. The South Atlantic anticyclone is associated with cold air advection, weakened northerlies, and increased sea ice concentrations across the western East Antarctic coast, which has increased the rate of cooling at Novolazarevskaya and Syowa stations after 1979. This enhanced cooling over western East Antarctica is tied more broadly to a zonally asymmetric temperature trend pattern across East Antarctica during autumn that is consistent with a tropically forced Rossby wave rather than a SAM pattern; the positive SAM pattern is associated with ubiquitous cooling across East Antarctica, which is not seen in temperature observations after 1979. We conclude that El Nino-Southern Oscillation-related circulation anomalies, particularly zonal asymmetries that locally enhance meridional wind, are an important component of East Antarctic climate variability during autumn, and future changes in tropical Pacific climate will likely have implications for East Antarctica.</t>
  </si>
  <si>
    <t>[Clem, Kyle R.] Rutgers State Univ, Inst Earth Ocean &amp; Atmospher Sci, New Brunswick, NJ 08901 USA; [Renwick, James A.; McGregor, James] Victoria Univ Wellington, Sch Geog Environm &amp; Earth Sci, Wellington, New Zealand</t>
  </si>
  <si>
    <t>Rutgers University System; Rutgers University New Brunswick; Victoria University Wellington</t>
  </si>
  <si>
    <t>Clem, KR (corresponding author), Rutgers State Univ, Inst Earth Ocean &amp; Atmospher Sci, New Brunswick, NJ 08901 USA.</t>
  </si>
  <si>
    <t>kyle.clem@rutgers.edu</t>
  </si>
  <si>
    <t>Clem, Kyle/AAG-6626-2021</t>
  </si>
  <si>
    <t>Clem, Kyle/0000-0002-1419-2758; McGregor, James/0000-0001-8088-5950</t>
  </si>
  <si>
    <t>Victoria University of Wellington; Institute of Earth, Ocean, and Atmospheric Sciences at Rutgers, The State University of New Jersey</t>
  </si>
  <si>
    <t>Three anonymous reviewers are thanked for their helpful comments on the manuscript. Thanks to the European Centre for Medium-Range Weather Forecasts (ECMWF) for ERA-Interim reanalysis data a ccessed online at http://apps.ecmwf.int/datasets/data/interim-full-daily/levtype=sfc/, to the UK Met Office Hadley Centre for sea ice data accessed online at www.metoffice.gov.uk/hadobs/hadisst/, and to the NOAA/OAR/ESRL PSD, Boulder, Colorado, USA for sea surface temperature data accessed online at https://www.esrl.noaa.gov/psd/data/gridded/data.noaa.ersst.v4.html. Antarctic station data were accessed at https://legacy.bas.ac.uk/met/READER/. K.R.C acknowledges support from a Victoria Doctoral Scholarship from Victoria University of Wellington and a Post-Doctoral Associate award from the Institute of Earth, Ocean, and Atmospheric Sciences at Rutgers, The State University of New Jersey.</t>
  </si>
  <si>
    <t>10.1002/2017JD027435</t>
  </si>
  <si>
    <t>FT8WI</t>
  </si>
  <si>
    <t>WOS:000423433500006</t>
  </si>
  <si>
    <t>Campbell, AJ; Hulbe, CL; Lee, CK</t>
  </si>
  <si>
    <t>Campbell, Adam J.; Hulbe, Christina L.; Lee, Choon-Ki</t>
  </si>
  <si>
    <t>Ice Stream Slowdown Will Drive Long-Term Thinning of the Ross Ice Shelf, With or Without Ocean Warming</t>
  </si>
  <si>
    <t>Ross Ice Shelf; modeling; response surface</t>
  </si>
  <si>
    <t>WEST ANTARCTICA; ALTIMETRY</t>
  </si>
  <si>
    <t>As time series observations of Antarctic change proliferate, it is imperative that mathematical frameworks through which they are understood keep pace. Here we present a new method of interpreting remotely sensed change using spatial statistics and apply it to the specific case of thickness change on the Ross Ice Shelf. First, a numerical model of ice shelf flow is used together with empirical orthogonal function analysis to generate characteristic patterns of response to specific forcings. Because they are continuous and scalable in space and time, the patterns allow short duration observations to be placed in a longer time series context. Second, focusing only on changes that are statistically significant, the synthetic response surfaces are used to extract magnitude and timing of past events from the observational data. Slowdown of Kamb and Whillans Ice Streams is clearly detectable in remotely sensed thickness change. Moreover, those past events will continue to drive thinning into the future.</t>
  </si>
  <si>
    <t>[Campbell, Adam J.; Hulbe, Christina L.] Univ Otago, Sch Surveying, Dunedin, New Zealand; [Lee, Choon-Ki] Korea Polar Res Inst, Div Polar Earth Syst Sci, Incheon, South Korea</t>
  </si>
  <si>
    <t>University of Otago; Korea Polar Research Institute (KOPRI)</t>
  </si>
  <si>
    <t>Campbell, AJ (corresponding author), Univ Otago, Sch Surveying, Dunedin, New Zealand.</t>
  </si>
  <si>
    <t>adam.campbell@otago.ac.nz</t>
  </si>
  <si>
    <t>Campbell, Adam/0000-0003-2366-2894; Hulbe, Christina/0000-0003-4765-7037</t>
  </si>
  <si>
    <t>University of Otago; [NZARI2014-11]</t>
  </si>
  <si>
    <t>University of Otago;</t>
  </si>
  <si>
    <t>The authors would like to thank the University of Washington Glaciology Group, Felix Ng, and Ting Wang for their helpful discussions. We also thank Fabien Montiel and Daniel Shapero for their comments on an early draft of this work. This work has been funded by the NZARI2014-11 grant, Vulnerability of the Ross Ice Shelf in a Warming World and by a postdoctoral fellowship at the University of Otago. The data used are listed in the references, tables, and supporting information. Response surface data will be made freely available at the National Snow and Ice Data Center prior to publication.</t>
  </si>
  <si>
    <t>10.1002/2017GL075794</t>
  </si>
  <si>
    <t>WOS:000423431800023</t>
  </si>
  <si>
    <t>Alexander, SP; Protat, A</t>
  </si>
  <si>
    <t>Alexander, S. P.; Protat, A.</t>
  </si>
  <si>
    <t>Cloud Properties Observed From the Surface and by Satellite at the Northern Edge of the Southern Ocean</t>
  </si>
  <si>
    <t>MIXED-PHASE CLOUDS; A-TRAIN; ERA-INTERIM; CLIMATE; RADIATION; FEEDBACK; WATER; SENSITIVITY; MIDDLE; DUST</t>
  </si>
  <si>
    <t>A Raman depolarization lidar was deployed at Cape Grim, Australia (40.7 degrees S, 144.7 degrees E), at the northern edge of the Southern Ocean from July 2013 to February 2014 from which we determine cloud boundaries, cloud phase, ice virga, and cloud effective top heights. We compare surface-based lidar with results from the raDAR/liDAR (DARDAR) data set within 1,000 km of Cape Grim. DARDAR combines information from the CloudSat and Cloud-Aerosol Lidar with Orthogonal Polarization (CALIOP) instruments. We extract single-layer clouds that are sufficiently thin for signal to be present on the farside of the cloud and which have a liquid cloud top phase. These conditions maximize the likelihood that both surface-based lidar and DARDAR are observing the full vertical extent of the same clouds. Differences in low-level cloud occurrence frequencies for these single-layer clouds reveal that DARDAR underestimates cloud at 0.2-1.0 km altitude by a factor of 3 compared with the surface-based lidar. When multiple cloud decks are present, the underestimate in this altitude region is around 2.5 times. Heterogeneous glaciation observed by the Cape Grim lidar in midlevel stratiform supercooled water clouds is similar to that reported by previous surface-based observations adjacent to the Southern Ocean, with half of these clouds precipitating ice at cloud top temperatures of -20 degrees C. This transition occurs around -15 degrees C in the DARDAR data set, and this difference is likely due to the reduced sensitivity of surface-based lidar in detecting precipitating ice compared with what a surface-based radar could observe.</t>
  </si>
  <si>
    <t>[Alexander, S. P.] Australian Antarctic Div, Hobart, Tas, Australia; [Alexander, S. P.] Univ Tasmania, Antarctic Climate &amp; Ecosyst Cooperat Res Ctr, Hobart, Tas, Australia; [Protat, A.] Bur Meteorol, Melbourne, Vic, Australia</t>
  </si>
  <si>
    <t>Australian Antarctic Division; University of Tasmania; Antarctic Climate &amp; Ecosystems Cooperative Research Centre (ACE CRC); Bureau of Meteorology - Australia</t>
  </si>
  <si>
    <t>Alexander, SP (corresponding author), Australian Antarctic Div, Hobart, Tas, Australia.;Alexander, SP (corresponding author), Univ Tasmania, Antarctic Climate &amp; Ecosyst Cooperat Res Ctr, Hobart, Tas, Australia.</t>
  </si>
  <si>
    <t>simon.alexander@aad.gov.au</t>
  </si>
  <si>
    <t>Alexander, Simon/0000-0001-6823-8857; Protat, Alain/0000-0002-8933-874X</t>
  </si>
  <si>
    <t>Australian Antarctic program [4292]</t>
  </si>
  <si>
    <t>Australian Antarctic program</t>
  </si>
  <si>
    <t>ERA-Interim data were downloaded from the ECMWF server, and the DARDAR satellite data products were downloaded from the iCARE (Cloud-Aerosol-Water-Radiation Interactions) server following registration. The Cape Grim lidar data are available from ftp://ftp.bom.gov.au/anon/home/cawcr/perm/CapeGrimLidar.zip. We thank Julien Delanoe for his valuable advice, insights, and comments on the DARDAR data products. We also thank the three anonymous reviewers whose valuable comments on earlier versions of this manuscript improved this study. This research was conducted for project 4292 of the Australian Antarctic program.</t>
  </si>
  <si>
    <t>10.1002/2017JD026552</t>
  </si>
  <si>
    <t>WOS:000423433500025</t>
  </si>
  <si>
    <t>Canales-Aguirre, CB; Ferrada-Fuentes, S; Galleguillos, R; Oyarzun, FX; Hernández, CE</t>
  </si>
  <si>
    <t>Canales-Aguirre, Cristian B.; Ferrada-Fuentes, Sandra; Galleguillos, Ricardo; Oyarzun, Fernanda X.; Hernandez, Cristian E.</t>
  </si>
  <si>
    <t>Population genetic structure of Patagonian toothfish (Dissostichus eleginoides) in the Southeast Pacific and Southwest Atlantic Ocean</t>
  </si>
  <si>
    <t>Microevolution; Deep-sea environment; Genetic differentiation; Antarctic circumpolar current; Genetic connectivity; Gene flow; Geographical isolation; Abyssal depths</t>
  </si>
  <si>
    <t>MICROSATELLITE NULL ALLELES; DEEP-SEA; LINKAGE DISEQUILIBRIUM; RE-IMPLEMENTATION; N-E; MARINE; SOFTWARE; MITOCHONDRIAL; BIOGEOGRAPHY; CONSERVATION</t>
  </si>
  <si>
    <t>Previous studies of population genetic structure in Dissostichus eleginoides have shown that oceanographic and geographic discontinuities drive in this species population differentiation. Studies have focused on the genetics of D. eleginoides in the Southern Ocean; however, there is little knowledge of their genetic variation along the South American continental shelf. In this study, we used a panel of six microsatellites to test whether D. eleginoides shows population genetic structuring in this region. We hypothesized that this species would show zero or very limited genetic structuring due to the habitat continuity along the South American shelf from Peru in the Pacific Ocean to the Falkland Islands in the Atlantic Ocean. We used Bayesian and traditional analyses to evaluate population genetic structure, and we estimated the number of putative migrants and effective population size. Consistent with our predictions, our results showed no significant genetic structuring among populations of the South American continental shelf but supported two significant and well-defined genetic clusters of D. eleginoides between regions (South American continental shelf and South Georgia clusters). Genetic connectivity between these two clusters was 11.3% of putative migrants from the South American cluster to the South Georgia Island and 0.7% in the opposite direction. Effective population size was higher in locations from the South American continental shelf as compared with the South Georgia Island. Overall, our results support that the continuity of the deep-sea habitat along the continental shelf and the biological features of the study species are plausible drivers of intraspecific population genetic structuring across the distribution of D. eleginoides on the South American continental shelf.</t>
  </si>
  <si>
    <t>[Canales-Aguirre, Cristian B.; Oyarzun, Fernanda X.] Univ Los Lagos, Ctr I Mar, Camino Chinquihue Km 6, Puerto Montt, Chile; [Canales-Aguirre, Cristian B.; Ferrada-Fuentes, Sandra; Galleguillos, Ricardo] Univ Concepcion, Dept Oceanog, Lab Gent &amp; Acuicultura, Concepcion, Chile; [Canales-Aguirre, Cristian B.; Hernandez, Cristian E.] Univ Concepcion, Dept Zool, Lab Ecol Evolutiva &amp; Filoinformat, Concepcion, Chile; [Canales-Aguirre, Cristian B.] Nucleo Milenio INVASAL, Concepcion, Chile; [Ferrada-Fuentes, Sandra] Univ Concepcion, Programa Doctorado Sistemat &amp; Biodiversidad, Concepcion, Chile; [Oyarzun, Fernanda X.] Univ Catolica Santisima Concepcion, Fac Ciencias, CIBAS, Concepcion, Chile</t>
  </si>
  <si>
    <t>Universidad de Los Lagos; Universidad de Concepcion; Universidad de Concepcion; Universidad de Concepcion; Universidad Catolica de la Santisima Concepcion</t>
  </si>
  <si>
    <t>Ferrada-Fuentes, S (corresponding author), Univ Concepcion, Dept Oceanog, Lab Gent &amp; Acuicultura, Concepcion, Chile.;Ferrada-Fuentes, S (corresponding author), Univ Concepcion, Programa Doctorado Sistemat &amp; Biodiversidad, Concepcion, Chile.</t>
  </si>
  <si>
    <t>sferrada@udec.cl</t>
  </si>
  <si>
    <t>Canales-Aguirre, Cristian B./K-4034-2019; Hernández, Cristián E./AAS-1286-2020; Hernández, Cristián E./GLS-1111-2022</t>
  </si>
  <si>
    <t>Canales-Aguirre, Cristian B./0000-0002-8468-6139; Hernández, Cristián E./0000-0002-9811-2881; Hernández, Cristián E./0000-0002-9811-2881; Oyarzun Dunlop, Fernanda Ximena/0000-0002-9413-1209</t>
  </si>
  <si>
    <t>Fondo de Investigacion Pesquera (FIP) [2006-41]; Fondo Nacional de Desarrollo Cientifico y Tecnologico de Chile (FONDECYT) [1140692, 1170815, 3150456, 1170486]; graduate school of the Universidad de Concepcion, Chile; CONICYT doctoral fellowship</t>
  </si>
  <si>
    <t>Fondo de Investigacion Pesquera (FIP); Fondo Nacional de Desarrollo Cientifico y Tecnologico de Chile (FONDECYT)(Comision Nacional de Investigacion Cientifica y Tecnologica (CONICYT)CONICYT FONDECYT); graduate school of the Universidad de Concepcion, Chile; CONICYT doctoral fellowship(Comision Nacional de Investigacion Cientifica y Tecnologica (CONICYT))</t>
  </si>
  <si>
    <t>This work was funded by Fondo de Investigacion Pesquera (FIP 2006-41); and supported by the Fondo Nacional de Desarrollo Cientifico y Tecnologico de Chile (FONDECYT grant number: 1140692, 1170815, 3150456 and 1170486). Sandra Ferrada-Fuentes was supported by doctoral fellowships for the 'Programa de Doctorado en Sistematica y Biodiversidad', from the graduate school of the Universidad de Concepcion, Chile and by a CONICYT doctoral fellowship. The funders had no role in study design, data collection and analysis, decision to publish, or preparation of the manuscript.</t>
  </si>
  <si>
    <t>e4173</t>
  </si>
  <si>
    <t>10.7717/peerj.4173</t>
  </si>
  <si>
    <t>FT4SZ</t>
  </si>
  <si>
    <t>WOS:000423146500001</t>
  </si>
  <si>
    <t>Strahan, SE; Douglass, AR</t>
  </si>
  <si>
    <t>Strahan, Susan E.; Douglass, Anne R.</t>
  </si>
  <si>
    <t>Decline in Antarctic Ozone Depletion and Lower Stratospheric Chlorine Determined From Aura Microwave Limb Sounder Observations</t>
  </si>
  <si>
    <t>INORGANIC CHLORINE; HOLE; HCL</t>
  </si>
  <si>
    <t>Attribution of Antarctic ozone recovery to the Montreal protocol requires evidence that (1) Antarctic chlorine levels are declining and (2) there is a reduction in ozone depletion in response to a chlorine decline. We use Aura Microwave Limb Sounder measurements of O-3, HCl, and N2O to demonstrate that inorganic chlorine (Cl-y) from 2013 to 2016 was 223 +/- 93 parts per trillion lower in the Antarctic lower stratosphere than from 2004 to 2007 and that column ozone depletion declined in response. The mean Cl-y decline rate, similar to 0.8%/yr, agrees with the expected rate based on chlorofluorocarbon lifetimes. N2O measurements are crucial for identifying changes in stratospheric Cl-y loading independent of dynamical variability. From 2005 to 2016, the ozone depletion and Cl-y time series show matching periods of decline, stability, and increase. The observed sensitivity of O-3 depletion to changing Cl-y agrees with the sensitivity simulated by the Global Modeling Initiative chemistry transport model integrated with Modern Era Retrospective Analysis for Research and Applications 2 meteorology. Plain Language Summary The Antarctic ozone hole is healing slowly because levels of the man-made chemicals causing the hole have long lifetimes. We use Microwave Limb Sounder (MLS) satellite data to measure O-3 over Antarctica at the beginning of winter and then compare it to O-3 near the end of winter to calculate depletion. During this period, nearly all O-3 change is due to depletion. MLS also measures HCl, and when ozone levels are very low, nearly all the reactive chlorine species (Cl-y) are converted to HCl. Cl-y varies a lot from year to year from atmospheric motions. Fortunately, MLS measures nitrous oxide (N2O), a long-lived gas that also varies with the motions. Using the ratio of Cl-y to N2O, we find that there is less chlorine now than 9 years ago and that Cl-y has decreased on average about 25 parts per trillion/yr (0.8%/yr). The O-3 depletion we calculate from MLS data responds to changes in the Cly levels, and the ratio of the change in ozone loss to the change in Cl-y matches model calculations. All of this is evidence that the Montreal Protocol is working-the Cl-y is decreasing in the Antarctic stratosphere and the ozone destruction is decreasing along with it.</t>
  </si>
  <si>
    <t>[Strahan, Susan E.] Univ Space Res Assoc, Columbia, MD 21046 USA; [Strahan, Susan E.; Douglass, Anne R.] NASA, Goddard Space Flight Ctr, Atmospher Chem &amp; Dynam Lab, Greenbelt, MD 20771 USA</t>
  </si>
  <si>
    <t>Universities Space Research Association (USRA); National Aeronautics &amp; Space Administration (NASA); NASA Goddard Space Flight Center</t>
  </si>
  <si>
    <t>Strahan, SE (corresponding author), Univ Space Res Assoc, Columbia, MD 21046 USA.;Strahan, SE (corresponding author), NASA, Goddard Space Flight Ctr, Atmospher Chem &amp; Dynam Lab, Greenbelt, MD 20771 USA.</t>
  </si>
  <si>
    <t>susan.strahan@nasa.gov</t>
  </si>
  <si>
    <t>Douglass, Anne R/D-4655-2012; Strahan, Susan/H-1965-2012</t>
  </si>
  <si>
    <t>Strahan, Susan/0000-0002-7511-4577</t>
  </si>
  <si>
    <t>NASA Modeling, Analysis, and Prediction Program; NASA Atmospheric Composition Modeling and Analysis Program; NASA Aura Program</t>
  </si>
  <si>
    <t>NASA Modeling, Analysis, and Prediction Program(National Aeronautics &amp; Space Administration (NASA)); NASA Atmospheric Composition Modeling and Analysis Program(National Aeronautics &amp; Space Administration (NASA)); NASA Aura Program</t>
  </si>
  <si>
    <t>This work was supported by the NASA Modeling, Analysis, and Prediction Program; the NASA Atmospheric Composition Modeling and Analysis Program; and the NASA Aura Program. MLS data are available at http://mls.jpl.nasa.gov. The MERRA2 reanalysis can be obtained from the Goddard Earth Science Data and Information Services Center, http://disc.sci.gsfc.nasa.gov/daac-bin/DataHoldings.pl.See https://gmi.gsfc.nasa.gov for access to GMI simulations. We thank the MLS team for their analysis of measurement drift rates and for their comments on this analysis. We thank Megan Damon for integrating the GMI CTM simulation. We thank the anonymous reviewers for insightful comments that improved the analysis.</t>
  </si>
  <si>
    <t>10.1002/2017GL074830</t>
  </si>
  <si>
    <t>WOS:000423431800043</t>
  </si>
  <si>
    <t>Andersson, ME; Verronen, PT; Marsh, DR; Seppälä, A; Päivärinta, SM; Rodger, CJ; Clilverd, MA; Kalakoski, N; van de Kamp, M</t>
  </si>
  <si>
    <t>Andersson, M. E.; Verronen, P. T.; Marsh, D. R.; Seppala, A.; Paivarinta, S. -M.; Rodger, C. J.; Clilverd, M. A.; Kalakoski, N.; van de Kamp, M.</t>
  </si>
  <si>
    <t>Polar Ozone Response to Energetic Particle Precipitation Over Decadal Time Scales: The Role of Medium-Energy Electrons</t>
  </si>
  <si>
    <t>STRATOSPHERE; MODEL; ENHANCEMENTS; TEMPERATURE; VARIABILITY; IRRADIANCE; CHEMISTRY; TRANSPORT; NITROGEN; EVENTS</t>
  </si>
  <si>
    <t>One of the key challenges in polar middle atmosphere research is to quantify the total forcing by energetic particle precipitation (EPP) and assess the related response over solar cycle time scales. This is especially true for electrons having energies between about 30keV and 1MeV, so-called medium-energy electrons (MEE), where there has been a persistent lack of adequate description of MEE ionization in chemistry-climate simulations. Here we use the Whole Atmosphere Community Climate Model (WACCM) and include EPP forcing by solar proton events, auroral electron precipitation, and a recently developed model of MEE precipitation. We contrast our results from three ensemble simulations (147 years) in total with those from the fifth phase of the Coupled Model Intercomparison Project (CMIP5) in order to investigate the importance of a more complete description of EPP to the middle atmospheric ozone, odd hydrogen, and odd nitrogen over decadal time scales. Our results indicate average EPP-induced polar ozone variability of 12-24% in the mesosphere, and 5-7% in the middle and upper stratosphere. This variability is in agreement with previously published observations. Analysis of the simulation results indicate the importance of inclusion of MEE in the total EPP forcing: In addition to the major impact on the mesosphere, MEE enhances the stratospheric ozone response by a factor of 2. In the Northern Hemisphere, where wintertime dynamical variability is larger than in the Southern Hemisphere, longer simulations are needed in order to reach more robust conclusions.</t>
  </si>
  <si>
    <t>[Andersson, M. E.; Verronen, P. T.; Seppala, A.; Paivarinta, S. -M.; Kalakoski, N.; van de Kamp, M.] Finnish Meteorol Inst, Earth Observat, Helsinki, Finland; [Marsh, D. R.] Natl Ctr Atmospher Res, Div Atmospher Chem, Boulder, CO 80307 USA; [Seppala, A.; Rodger, C. J.] Univ Otago, Dept Phys, Dunedin, New Zealand; [Clilverd, M. A.] British Antarctic Survey NERC, Cambridge, England</t>
  </si>
  <si>
    <t>Finnish Meteorological Institute; National Center Atmospheric Research (NCAR) - USA; University of Otago; UK Research &amp; Innovation (UKRI); Natural Environment Research Council (NERC); NERC British Antarctic Survey</t>
  </si>
  <si>
    <t>Verronen, PT (corresponding author), Finnish Meteorol Inst, Earth Observat, Helsinki, Finland.</t>
  </si>
  <si>
    <t>pekka.verronen@fmi.fi</t>
  </si>
  <si>
    <t>Päivärinta, Sanna-Mari/D-1084-2014; Rodger, Craig/A-1501-2011; van de Kamp, Max/GSI-4607-2022; Verronen, P. T./AIE-0203-2022; Kalakoski, Niilo/D-8441-2014; Szelag, Monika Ewa/AAH-3529-2019; Marsh, Daniel/A-8406-2008; Verronen, Pekka T/G-6658-2014; Seppälä, Annika/C-8031-2014</t>
  </si>
  <si>
    <t>Verronen, P. T./0000-0002-3479-9071; Kalakoski, Niilo/0000-0003-3733-4277; Szelag, Monika Ewa/0000-0002-8501-3366; Marsh, Daniel/0000-0001-6699-494X; Seppälä, Annika/0000-0002-5028-8220; Rodger, Craig J./0000-0002-6770-2707</t>
  </si>
  <si>
    <t>Academy of Finland [276926, 258165, 265005]; NASA [NNX12AD04G]; Natural Environment Research Council; National Science Foundation; NASA [NNX12AD04G, 52867] Funding Source: Federal RePORTER; NERC [bas0100031, NE/R016038/1] Funding Source: UKRI; Academy of Finland (AKA) [258165, 265005, 276926] Funding Source: Academy of Finland (AKA)</t>
  </si>
  <si>
    <t>Academy of Finland(Research Council of Finland); NASA(National Aeronautics &amp; Space Administration (NASA)); Natural Environment Research Council(UK Research &amp; Innovation (UKRI)Natural Environment Research Council (NERC)); National Science Foundation(National Science Foundation (NSF)); NASA(National Aeronautics &amp; Space Administration (NASA)); NERC(UK Research &amp; Innovation (UKRI)Natural Environment Research Council (NERC)); Academy of Finland (AKA)(Research Council of Finland)</t>
  </si>
  <si>
    <t>The work of M. E. A., P. T. V., A. S., S. -M. P., N. K., and M. v. d. K. was supported by the Academy of Finland through the projects 276926 (SECTIC: Sun-Earth Connection Through Ion Chemistry), 258165, and 265005 (CLASP: Climate and Solar Particle Forcing). D. R. M. was supported in part by NASA grant NNX12AD04G. M. A. C. was supported by the Natural Environment Research Council. The National Center for Atmospheric Research is operated by the University Corporation for Atmospheric Research under sponsorship of the National Science Foundation. All model data used are available from the corresponding author by request. CESM source code is distributed through a public subversion repository (http://www.cesm.ucar.edu/models/cesm1.0/).</t>
  </si>
  <si>
    <t>10.1002/2017JD027605</t>
  </si>
  <si>
    <t>Bronze, Green Accepted</t>
  </si>
  <si>
    <t>WOS:000423433500035</t>
  </si>
  <si>
    <t>Kim, J; Lee, AH; Chang, WJ</t>
  </si>
  <si>
    <t>Kim, Jihun; Lee, Aslan Hwanhwi; Chang, Wonjae</t>
  </si>
  <si>
    <t>Enhanced bioremediation of nutrient-amended, petroleum hydrocarbon-contaminated soils over a cold-climate winter: The rate and extent of hydrocarbon biodegradation and microbial response in a pilot-scale biopile subjected to natural seasonal freeze-thaw temperatures</t>
  </si>
  <si>
    <t>SCIENCE OF THE TOTAL ENVIRONMENT</t>
  </si>
  <si>
    <t>Bioremediation; Petroleum hydrocarbons; Cold climate; Contaminated soils; Unfrozen water content; Seasonal freeze-thaw</t>
  </si>
  <si>
    <t>SUB-ARCTIC SITE; ANTARCTIC SOILS; SUBZERO TEMPERATURES; WATER-CONTENT; DIESEL FUEL; REMEDIATION; FROZEN; BIOSTIMULATION; PERMAFROST; MINERALIZATION</t>
  </si>
  <si>
    <t>A pilot-scale biopile field experiment for nutrient-amended petroleum-contaminated fine-grained soils was performed over the winter at a cold-climate site. The rate and extent of hydrocarbon biodegradation and microbial responses were determined and corresponded to the on-site soil phase changes (from unfrozen to partially frozen, deeply frozen, and thawed) associated with natural seasonal freeze-thaw conditions. Treated and untreated biopiles were constructed (similar to 3500 kg each) on an open outdoor surface at a remediation facility in Saskatoon, Canada. The treated biopile received N-P-K-based nutrient and humate amendments before seasonal freezing. Real-time field monitoring indicated significant unfrozen water content in the treated and untreated biopiles throughout the freezing period, from the middle of November to early March. Unfrozen water was slightly more available in the treated biopile due to the aqueous nutrient supply. Soil CO2 production and O-2 consumption in the treated biopile were generally greater than in the untreated biopile. Total removal percentages for F2 (&gt; C10-C16), F3 (&gt; C16-C34), and total petroleum hydrocarbons (TPH) in the treated biopile were 57, 58, and 58%, respectively, of which 26, 39, and 33% were removed during seasonal freezing and early thawing between November to early March. F3 degradation largely occurred during freezing while F2 hydrocarbons were primarily removed during thawing. Biomarker-based hydrocarbon analyses confirmed enhanced biodegradation in the treated biopile during freezing. The soil treatment increased the first-order rate constants for F2, F3, and TPH degradation by a factor of 2 to 7 compared to the untreated biopile. Shifts in bacterial community appeared in both biopiles as the biopile soils seasonally froze and thawed. Increased alkB1 gene copy numbers in the treated biopile, especially in the partially thawed phase during early thawing, suggest extended hydrocarbon biodegradation to the seasonal freeze-thaw season, due to the nutrients supplied prior to seasonal freezing. (C) 2017 Elsevier B.V. All rights reserved.</t>
  </si>
  <si>
    <t>[Kim, Jihun; Lee, Aslan Hwanhwi; Chang, Wonjae] Univ Saskatchewan, Dept Civil Geol &amp; Environm Engn, Saskatoon, SK, Canada</t>
  </si>
  <si>
    <t>University of Saskatchewan</t>
  </si>
  <si>
    <t>Chang, WJ (corresponding author), 57 Campus Dr,Engn Bldg, Saskatoon, SK S7N 5A9, Canada.</t>
  </si>
  <si>
    <t>wonjae.chang@usask.ca</t>
  </si>
  <si>
    <t>Lee, Aslan Hwanhwi/GZN-1815-2022</t>
  </si>
  <si>
    <t>Chang, Wonjae/0000-0003-2573-672X</t>
  </si>
  <si>
    <t>Husky Oil Operations Ltd. [CRDPJ 462877-13]; PINTER &amp; Associates Ltd. [EGP 488995-15]; Natural Sciences and Engineering Research Council of Canada (NSERC) [RGPIN 05902-2014]; Canada Foundation for Innovation (CFI) [33982]</t>
  </si>
  <si>
    <t>Husky Oil Operations Ltd.; PINTER &amp; Associates Ltd.; Natural Sciences and Engineering Research Council of Canada (NSERC)(Natural Sciences and Engineering Research Council of Canada (NSERC)); Canada Foundation for Innovation (CFI)(Canada Foundation for Innovation)</t>
  </si>
  <si>
    <t>This research was funded by Husky Oil Operations Ltd. (CRDPJ 462877-13), PINTER &amp; Associates Ltd. (EGP 488995-15), the Natural Sciences and Engineering Research Council of Canada (NSERC; RGPIN 05902-2014), and the Canada Foundation for Innovation (CFI; JELF#33982). We gratefully acknowledge the technical assistance and support provided by Shawn Glessing (Husky Oil Operations Ltd.), Ryan Riess (PINTER &amp; Associates Ltd.), and Dustin Hicke (PrairieWaste Management Ltd.).</t>
  </si>
  <si>
    <t>0048-9697</t>
  </si>
  <si>
    <t>1879-1026</t>
  </si>
  <si>
    <t>SCI TOTAL ENVIRON</t>
  </si>
  <si>
    <t>Sci. Total Environ.</t>
  </si>
  <si>
    <t>JAN 15</t>
  </si>
  <si>
    <t>10.1016/j.scitotenv.2017.08.227</t>
  </si>
  <si>
    <t>Environmental Sciences</t>
  </si>
  <si>
    <t>Environmental Sciences &amp; Ecology</t>
  </si>
  <si>
    <t>FK2LM</t>
  </si>
  <si>
    <t>WOS:000413313700089</t>
  </si>
  <si>
    <t>Telus, M; Huss, GR; Nagashima, K; Ogliore, RC; Tachibana, S</t>
  </si>
  <si>
    <t>Telus, Myriam; Huss, Gary R.; Nagashima, Kazuhide; Ogliore, Ryan C.; Tachibana, Shogo</t>
  </si>
  <si>
    <t>In situ 60Fe-60Ni systematics of chondrules from unequilibrated ordinary chondrites</t>
  </si>
  <si>
    <t>GEOCHIMICA ET COSMOCHIMICA ACTA</t>
  </si>
  <si>
    <t>Fe-60; Radionuclides; Chondrules; Ion microprobe; Ordinary chondrites</t>
  </si>
  <si>
    <t>EARLY SOLAR-SYSTEM; SHORT-LIVED RADIONUCLIDES; NEARBY SUPERNOVA; FE-60; AL-26; ABUNDANCE; DIFFERENTIATION; ISOTOPES; IRON-60; RECORDS</t>
  </si>
  <si>
    <t>The initial Fe-60/Fe-56 of chondrules from unequilibrated ordinary chondrites (UOCs) can potentially constrain the stellar source of short-lived radionuclides and develop the Fe-60-Ni-60 (t(1/2) = 2.6 Ma) system for early solar system chronology. However, progress with the Fe-60-Ni-60 system has been hindered by discrepancies between initial ratios inferred from bulk and in situ Fe-Ni analyses. Telus et al. (2016) show that discrepancies between these different techniques stem from late-stage open-system Fe-Ni mobilization. Here, we report in situ analyses of the Fe-Ni isotopic composition of ferromagnesian silicates in chondrules from UOCs using the ion microprobe. Of the 24 chondrules analyzed for this study, a few chondrules have resolved excesses in Ni-60 of up to 70 parts per thousand; however, the correlations with Fe/Ni are weak. Although complications from Fe-Ni redistribution make it difficult to interpret the data, we show that the initial Fe-60/Fe-56 for UOC chondrules is between 5 x 10(-8) and 3.0 x 10(-7). This is consistent with a late supernova source for Fe-60, but self-enrichment of the molecular cloud is another possible mechanism for incorporating Fe-60 in the solar system. Discrepancies between bulk and in situ analyses remain, but likely stem from late-stage open-system Fe-Ni mobilization. (C) 2017 Elsevier Ltd. All rights reserved.</t>
  </si>
  <si>
    <t>[Telus, Myriam] Univ Hawaii Manoa, Sch Ocean Earth Sci &amp; Technol, Geol &amp; Geophys, Honolulu, HI 96822 USA; [Telus, Myriam; Huss, Gary R.; Nagashima, Kazuhide; Ogliore, Ryan C.] Univ Hawaii Manoa, Sch Ocean Earth Sci &amp; Technol, Hawaii Inst Geophys &amp; Planetol, Honolulu, HI 96822 USA; [Tachibana, Shogo] Hokkaido Univ, Dept Nat Hist Sci, N10 W8, Sapporo, Hokkaido 0600810, Japan; [Ogliore, Ryan C.] Washington Univ, Dept Phys, St Louis, MO 63130 USA</t>
  </si>
  <si>
    <t>University of Hawaii System; University of Hawaii Manoa; University of Hawaii System; University of Hawaii Manoa; Hokkaido University; Washington University (WUSTL)</t>
  </si>
  <si>
    <t>Telus, M (corresponding author), Univ Calif Santa Cruz, Earth &amp; Planetary Sci, Santa Cruz, CA 95064 USA.</t>
  </si>
  <si>
    <t>mtelus@ucsc.edu</t>
  </si>
  <si>
    <t>; Tachibana, Shogo/R-7884-2018</t>
  </si>
  <si>
    <t>Telus, Myriam/0000-0003-1593-2030; Huss, Gary/0000-0003-4281-7839; Nagashima, Kazuhide/0000-0002-9322-3187; Tachibana, Shogo/0000-0002-4603-9440</t>
  </si>
  <si>
    <t>NASA NESSF grant [NNX11AN62H, NNX11AG78G]; NSF; NASA; NASA [140513, NNX11AG78G, NNX11AN62H, 145995] Funding Source: Federal RePORTER; Grants-in-Aid for Scientific Research [16H06349, 25108002, 16H04080] Funding Source: KAKEN</t>
  </si>
  <si>
    <t>NASA NESSF grant; NSF(National Science Foundation (NSF)); NASA(National Aeronautics &amp; Space Administration (NASA)); NASA(National Aeronautics &amp; Space Administration (NASA)); Grants-in-Aid for Scientific Research(Ministry of Education, Culture, Sports, Science and Technology, Japan (MEXT)Japan Society for the Promotion of ScienceGrants-in-Aid for Scientific Research (KAKENHI))</t>
  </si>
  <si>
    <t>Thanks to Associate Editor, A. Davis and reviewers, N. Kita, and 1 anonymous reviewer, for extensive and helpful feedback on this paper. This work was supported by NASA NESSF grant NNX11AN62H, which supported the Ph.D. studies of M. Telus, and NNX11AG78G to G. R. Huss. Thanks to J. H. Chen and D. A. Papanastassiou for carrying out bulk TIMS analyses of UOC chondrules and for helpful comments on an early version of this manuscript. Thin sections of UOCs are from the Smithsonian Institution and the Meteorite Working Group.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Thanks to J. E. Hammer for synthetic pyroxene standards. This is Hawai'i Institute of Geophysics and Planetology publication No. 2241 and School of Ocean and Earth Science and Technology publication No. 9878.</t>
  </si>
  <si>
    <t>PERGAMON-ELSEVIER SCIENCE LTD</t>
  </si>
  <si>
    <t>OXFORD</t>
  </si>
  <si>
    <t>THE BOULEVARD, LANGFORD LANE, KIDLINGTON, OXFORD OX5 1GB, ENGLAND</t>
  </si>
  <si>
    <t>0016-7037</t>
  </si>
  <si>
    <t>1872-9533</t>
  </si>
  <si>
    <t>GEOCHIM COSMOCHIM AC</t>
  </si>
  <si>
    <t>Geochim. Cosmochim. Acta</t>
  </si>
  <si>
    <t>SI</t>
  </si>
  <si>
    <t>10.1016/j.gca.2017.06.013</t>
  </si>
  <si>
    <t>Geochemistry &amp; Geophysics</t>
  </si>
  <si>
    <t>FV7XB</t>
  </si>
  <si>
    <t>hybrid</t>
  </si>
  <si>
    <t>WOS:000424797800020</t>
  </si>
  <si>
    <t>Alexander, CMO; Greenwood, RC; Bowden, R; Gibson, JM; Howard, KT; Franchi, IA</t>
  </si>
  <si>
    <t>Alexander, C. M. O'D.; Greenwood, R. C.; Bowden, R.; Gibson, J. M.; Howard, K. T.; Franchi, I. A.</t>
  </si>
  <si>
    <t>A mutli-technique search for the most primitive CO chondrites</t>
  </si>
  <si>
    <t>Chondrites; Oxygen isotopes; Carbon isotopes; Hydrogen isotopes</t>
  </si>
  <si>
    <t>X-RAY-DIFFRACTION; OXYGEN-ISOTOPE FRACTIONATION; EARLY SOLAR-SYSTEM; MODAL MINERALOGY; CARBONACEOUS CHONDRITES; ORGANIC-MATTER; MOSSBAUER-SPECTROSCOPY; ANTARCTIC METEORITES; CHONDRULE FORMATION; AQUEOUS ALTERATION</t>
  </si>
  <si>
    <t>As part of a study to identify the most primitive COs and to look for weakly altered CMs amongst the COs, we have conducted a multi-technique study of 16 Antarctic meteorites that had been classified as primitive COs. For this study, we have determined: (1) the bulk H, C and N abundances and isotopes, (2) bulk O isotopic compositions, (3) bulk modal mineralogies, and (4) for some selected samples the abundances and compositions of their insoluble organic matter (IOM). Two of the 16 meteorites do appear to be CMs -BUC 10943 seems to be a fairly typical CM, while MIL 090073 has probably been heated. Of the COs, DOM 08006 appears to be the most primitive CO identified to date and is quite distinct from the other members of its pairing group. The other COs fall into two groups that are less primitive than DOM 08006 and ALH 77307, the previously most primitive CO. The first group is composed of members of the DOM 08004 pairing group, except DOM 08006. The second group is composed of meteorites belonging to the MIL 03377 and MIL 07099 pairing groups. These two pairing groups should probably be combined. There is a dichotomy in the bulk O isotopes between the primitive (all Antarctic finds) and the more metamorphosed COs (mostly falls). This dichotomy can only partly be explained by the terrestrial weathering experienced by the primitive Antarctic samples. It seems that the more equilibrated samples interacted to a greater extent with 16 O-poor material, probably water, than the more primitive meteorites. (C) 2017 Elsevier Ltd. All rights reserved.</t>
  </si>
  <si>
    <t>[Alexander, C. M. O'D.] Carnegie Inst Sci, Dept Terr Magnetism, 5241 Broad Branch Rd NW, Washington, DC 20015 USA; [Greenwood, R. C.; Gibson, J. M.; Franchi, I. A.] Open Univ, Dept Phys Sci, Planetary &amp; Space Sci, Walton Hall, Milton Keynes MK7 6AA, Bucks, England; [Bowden, R.] Carnegie Inst Sci, Geophys Lab, 5251 Broad Branch Rd NW, Washington, DC 20015 USA; [Howard, K. T.] CUNY, Kingsborough Community Coll, Phys Sci Dept, 2001 Oriental Blvd, New York, NY 11235 USA</t>
  </si>
  <si>
    <t>Carnegie Institution for Science; Open University - UK; Carnegie Institution for Science; City University of New York (CUNY) System</t>
  </si>
  <si>
    <t>Alexander, CMO (corresponding author), Carnegie Inst Sci, Dept Terr Magnetism, 5241 Broad Branch Rd NW, Washington, DC 20015 USA.</t>
  </si>
  <si>
    <t>calexander@carnegiescience.edu</t>
  </si>
  <si>
    <t>Alexander, Conel M. O'D./N-7533-2013</t>
  </si>
  <si>
    <t>Alexander, Conel M. O'D./0000-0002-8558-1427; Greenwood, Richard/0000-0002-5544-8027</t>
  </si>
  <si>
    <t>NSF; NASA; NASA Cosmochemistry grant [NNX14AJ54G, NNX11AG27G]; UK Science and Technology Facilities Council (STFC) [ST/L000776/1]; STFC [ST/L000776/1, ST/P000657/1] Funding Source: UKRI; Science and Technology Facilities Council [ST/L000776/1, ST/P000657/1] Funding Source: researchfish</t>
  </si>
  <si>
    <t>NSF(National Science Foundation (NSF)); NASA(National Aeronautics &amp; Space Administration (NASA)); NASA Cosmochemistry grant; UK Science and Technology Facilities Council (STFC)(UK Research &amp; Innovation (UKRI)Science &amp; Technology Facilities Council (STFC)); STFC(UK Research &amp; Innovation (UKRI)Science &amp; Technology Facilities Council (STFC)); Science and Technology Facilities Council(UK Research &amp; Innovation (UKRI)Science &amp; Technology Facilities Council (STFC))</t>
  </si>
  <si>
    <t>For supplying the many samples that were necessary for this work, the authors would like to thank: the members of the Meteorite Working Group,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Reviewers Knut Metzler and Alan Rubin helped significantly improve this manuscript.; CA was partially supported by NASA Cosmochemistry grant NNX14AJ54G. KH was partially supported by NASA Cosmochemistry grant NNX11AG27G. Oxygen isotope studies at the Open University are funded by a Consolidated Grant from the UK Science and Technology Facilities Council (STFC) (Grant Number: ST/L000776/1).</t>
  </si>
  <si>
    <t>10.1016/j.gca.2017.04.021</t>
  </si>
  <si>
    <t>hybrid, Green Accepted</t>
  </si>
  <si>
    <t>WOS:000424797800023</t>
  </si>
  <si>
    <t>Lima, WJS; Cohen, MCL; Rossetti, DF; França, MC</t>
  </si>
  <si>
    <t>Lima, W. J. S., Jr.; Cohen, M. C. L.; Rossetti, D. F.; Franca, M. C.</t>
  </si>
  <si>
    <t>Late Pleistocene glacial forest elements of Brazilian Amazonia</t>
  </si>
  <si>
    <t>PALAEOGEOGRAPHY PALAEOCLIMATOLOGY PALAEOECOLOGY</t>
  </si>
  <si>
    <t>Alnus; Climate change; Last Glacial Maximum; Palynology</t>
  </si>
  <si>
    <t>ANTARCTIC ICE-SHEET; RAIN-FOREST; SOUTHEASTERN BRAZIL; HOLOCENE MANGROVE; CLIMATE HISTORY; PLANT DIVERSITY; MARAJO ISLAND; LAKE TITICACA; CENTRAL ANDES; POLLEN</t>
  </si>
  <si>
    <t>Pollen data recovered from the sedimentary record of western Amazonia is still inadequate to fully address climate changes over the Last Glaciation in this region. The present work focuses vegetation dynamics from an area of southwestern Amazonia during the past 42,000 cal yr B.P. based on the integration of previous and new pollen data. Sediment cores were sampled from two sites covered by tropical rainforest in fluvial terraces of the Madeira River, a major southern Amazonian tributary. The results indicated a significant proportion of cold adapted Andean tree species, represented by Alnus (0-20%), Hedyosmwn (1-15%), Podocarpus (0-5%), Illex (1-11%) and Weinmannia (0-1%) at least between &gt; 43,163-42,018 cal yr B.P. and 10,394-10,240 cal yr B.P. During the Holocene, only pollen representative of herbs and modern Amazonian vegetation persisted. The new pollen record confirmed previous documented results that vegetation communities presently restricted to Andean areas at altitudes higher than 2000-3000 m, occupied this region of the Amazonian lowlands close to the onset and probably also during the Last Glacial Maximum.</t>
  </si>
  <si>
    <t>[Lima, W. J. S., Jr.; Cohen, M. C. L.; Franca, M. C.] Fed Univ Para, Lab Coastal Dynam, Grad Program Geol &amp; Geochem, Ave Perimentral 2651, BR-66077530 Belem, PA, Brazil; [Cohen, M. C. L.] Fed Univ Para, Fac Oceanog, Rua Augusto Correa 1, BR-66075110 Belem, PA, Brazil; [Rossetti, D. F.] Natl Space Res Inst INPE, Rua Astronautas 1758-CP 515, BR-12245970 Jose Dos Campos, SP, Brazil</t>
  </si>
  <si>
    <t>Universidade Federal do Para; Universidade Federal do Para; Instituto Nacional de Pesquisas Espaciais (INPE)</t>
  </si>
  <si>
    <t>Cohen, MCL (corresponding author), Fed Univ Para, Lab Coastal Dynam, Grad Program Geol &amp; Geochem, Ave Perimentral 2651, BR-66077530 Belem, PA, Brazil.</t>
  </si>
  <si>
    <t>mcohen@ufpa.br</t>
  </si>
  <si>
    <t>Cohen, Marcelo Cancela Lisboa/AAQ-8080-2020; Franca, Marlon/C-7896-2013</t>
  </si>
  <si>
    <t>Cohen, Marcelo Cancela Lisboa/0000-0001-9892-4719; Franca, Marlon/0000-0002-3784-7702</t>
  </si>
  <si>
    <t>Research Funding Institute of the State of Sao Paulo-FAPESP [13/50475-5]; Fundacao de Amparo a Pesquisa do Estado de Sao Paulo (FAPESP) [13/50475-5] Funding Source: FAPESP</t>
  </si>
  <si>
    <t>Research Funding Institute of the State of Sao Paulo-FAPESP; Fundacao de Amparo a Pesquisa do Estado de Sao Paulo (FAPESP)(Fundacao de Amparo a Pesquisa do Estado de Sao Paulo (FAPESP))</t>
  </si>
  <si>
    <t>This work is part of the research project #13/50475-5 granted by the Research Funding Institute of the State of Sao Paulo-FAPESP. The authors acknowledge the logistic support provided by the Brazilian Geological Survey-CPRM.</t>
  </si>
  <si>
    <t>ELSEVIER</t>
  </si>
  <si>
    <t>RADARWEG 29, 1043 NX AMSTERDAM, NETHERLANDS</t>
  </si>
  <si>
    <t>0031-0182</t>
  </si>
  <si>
    <t>1872-616X</t>
  </si>
  <si>
    <t>PALAEOGEOGR PALAEOCL</t>
  </si>
  <si>
    <t>Paleogeogr. Paleoclimatol. Paleoecol.</t>
  </si>
  <si>
    <t>10.1016/j.palaeo.2017.11.050</t>
  </si>
  <si>
    <t>Geography, Physical; Geosciences, Multidisciplinary; Paleontology</t>
  </si>
  <si>
    <t>Physical Geography; Geology; Paleontology</t>
  </si>
  <si>
    <t>FU1VP</t>
  </si>
  <si>
    <t>WOS:000423637900044</t>
  </si>
  <si>
    <t>Gao, YS; Yang, LJ; Wang, JJ; Xie, ZQ; Wang, YH; Sun, LG</t>
  </si>
  <si>
    <t>Gao, Yuesong; Yang, Lianjiao; Wang, Jianjun; Xie, Zhouqing; Wang, Yuhong; Sun, Liguang</t>
  </si>
  <si>
    <t>Penguin colonization following the last glacial-interglacial transition in the Vestfold Hills, East Antarctica</t>
  </si>
  <si>
    <t>Penguin occupation; Population reconstruction; Ornithogenic sediment; Deglaciation; Ice retreat; Penguin-derived proxies</t>
  </si>
  <si>
    <t>RADIOCARBON AGE CALIBRATION; SEA-LEVEL RISE; SOUTHERN-OCEAN; LARSEMANN HILLS; DIATOM ASSEMBLAGES; WINDMILL ISLANDS; CLIMATE HISTORY; ADELIE PENGUINS; VICTORIA LAND; SALINE LAKES</t>
  </si>
  <si>
    <t>The population history of the Adelie penguin (Pygoscelis adeliae) and its response to climatic and environmental changes have been widely studied in maritime Antarctica and several glacial refugia of Adelie penguins were dated back to the Last Glacial Maximum. However, the process of colony expansion during the subsequent glacial-interglacial transition was less well-documented. In this paper, we investigate an ornithogenic core from Vestfold Hills, East Antarctica, to improve knowledge of postglacial penguin colonization. Local deglaciation occurred around 15.6 kyr BP, based on a coarse-grained detrital layer, a date that is earlier than most of those reported in other studies from the same region. Geochemical analysis of the core suggests penguins started colonizing the northern Vestfold Hills around 14.6 kyr BP, the oldest geological record in East Antarctica on penguin occupation, and their population exhibited a broadly increasing trend thereafter. The population expanded at approximately 6740 yr BP, in the mid-Holocene, which corresponds to a local climatic optimum. Although this inference is based on population changes of local sub-colonies, it corresponds well to reconstructions of regional climate change, and changes in the penguin population based on genetic studies. From a consideration of the results of previous studies of the occupation history of sea birds following deglaciation in the Arctic, as well as other parts of Antarctica, we propose that sea birds colonized the emerging ice-free areas shortly after local glacier retreat. Over geological time-scales, the availability of breeding habitat is a key factor controlling the population size and activity range of Antarctic Adelie penguins.</t>
  </si>
  <si>
    <t>[Gao, Yuesong; Yang, Lianjiao; Xie, Zhouqing; Wang, Yuhong; Sun, Liguang] Univ Sci &amp; Technol China, Sch Earth &amp; Space Sci, Inst Polar Environm, Hefei 230026, Anhui, Peoples R China; [Gao, Yuesong; Yang, Lianjiao; Xie, Zhouqing; Wang, Yuhong; Sun, Liguang] Univ Sci &amp; Technol China, Sch Earth &amp; Space Sci, Anhui Key Lab Polar Environm &amp; Global Change, Hefei 230026, Anhui, Peoples R China; [Wang, Jianjun] State Ocean Adm, Inst Oceanog 3, Key Lab Global Change &amp; Marine Atmospher Chem, Xiamen, Peoples R China</t>
  </si>
  <si>
    <t>Chinese Academy of Sciences; University of Science &amp; Technology of China, CAS; Chinese Academy of Sciences; University of Science &amp; Technology of China, CAS; Third Institute of Oceanography, Ministry of Natural Resources</t>
  </si>
  <si>
    <t>Xie, ZQ; Sun, LG (corresponding author), Univ Sci &amp; Technol China, Sch Earth &amp; Space Sci, Inst Polar Environm, Hefei 230026, Anhui, Peoples R China.;Xie, ZQ; Sun, LG (corresponding author), Univ Sci &amp; Technol China, Sch Earth &amp; Space Sci, Anhui Key Lab Polar Environm &amp; Global Change, Hefei 230026, Anhui, Peoples R China.;Wang, JJ (corresponding author), State Ocean Adm, Inst Oceanog 3, Key Lab Global Change &amp; Marine Atmospher Chem, Xiamen, Peoples R China.</t>
  </si>
  <si>
    <t>wangjianjun@tio.cn; zqxie@ustc.edu.cn; slg@ustc.edu.cn</t>
  </si>
  <si>
    <t>xie, zhouqing/P-9661-2019; Gao, Yuesong/GRE-7726-2022</t>
  </si>
  <si>
    <t>Chinese Polar Environment Comprehensive Investigation &amp; Assessment Programs Grant [CHINARE2016-02-01-03]; International Cooperation in Polar Research Grant [IC201604]; NSF [417723]; Australian Antarctic program via Australian Antarctic Science Projects [4087, 4088]</t>
  </si>
  <si>
    <t>Chinese Polar Environment Comprehensive Investigation &amp; Assessment Programs Grant; International Cooperation in Polar Research Grant; NSF(National Science Foundation (NSF)); Australian Antarctic program via Australian Antarctic Science Projects</t>
  </si>
  <si>
    <t>This study was funded by the Chinese Polar Environment Comprehensive Investigation &amp; Assessment Programs (Grant CHINARE2016-02-01-03), the International Cooperation in Polar Research (Grant IC201604) and the NSF (Grant 417723). It was also supported by the Australian Antarctic program via Australian Antarctic Science Projects #4087 and #4088. All field procedures were approved by the Australian Antarctic Animal Ethics Committee (AAAEC). Sample information and data were provided by the Resource Sharing Platform of Polar Samples (http://birds.chinare.org.cn) and was maintained by Polar Research Institute of China (PRIG) and Chinese National Arctic &amp; Antarctic Data Center (CN-NADC).</t>
  </si>
  <si>
    <t>10.1016/j.palaeo.2017.11.053</t>
  </si>
  <si>
    <t>WOS:000423637900045</t>
  </si>
  <si>
    <t>Jackson, MS; Hall, BL; Denton, GH</t>
  </si>
  <si>
    <t>Jackson, Margaret S.; Hall, Brenda L.; Denton, George H.</t>
  </si>
  <si>
    <t>Asynchronous behavior of the Antarctic Ice Sheet and local glaciers during and since Termination 1, Salmon Valley, Antarctica</t>
  </si>
  <si>
    <t>EARTH AND PLANETARY SCIENCE LETTERS</t>
  </si>
  <si>
    <t>Antarctic Ice Sheet; ice sheet stability; Termination 1; glacial geomorphology</t>
  </si>
  <si>
    <t>ROSS SEA; HOLOCENE DEGLACIATION; PROGLACIAL LAKE; MCMURDO SOUND; TAYLOR VALLEY; HISTORY; CHRONOLOGY; CLIMATE; DRIFT; WISCONSIN</t>
  </si>
  <si>
    <t>The stability of the Antarctic Ice Sheet under future warming remains an open question with broad implications for sea-level prediction and adaptation. In particular, knowledge of whether the ice sheet has the capacity for rapid drawdown or collapse, or whether it can remain stable during periods of warming, is essential for predicting its future behavior. Here we use 55 radiocarbon dates, coupled with geomorphologic mapping, to reconstruct the timing of changes in ice extent and elevation during the last ice-age termination in Salmon Valley, adjacent to McMurdo Sound in the western Ross Sea Embayment. Results indicate that a grounded ice sheet in the Ross Sea Embayment achieved its maximum elevation and extent along the headlands of Salmon Valley at similar to 18,000 yr BP, during a period of increasing temperatures and accumulation over the Antarctic continent. This ice remained at or near its maximum on the headlands near the valley mouth until after similar to 14,000 yr BP. Removal of grounded Ross Sea ice from Salmon Valley was complete shortly after similar to 7900 yr BP, indicating that the grounding line had retreated through southern McMurdo Sound by that time. We suggest the primary driver of Ross Sea ice removal from McMurdo Sound was marine-based, either through basal melting or calving due to sea-level rise. When combined with regional data, the Salmon Valley record suggests that this sector of the Antarctic Ice Sheet did not contribute in a significant way to deglacial meltwater pulses, such as meltwater pulse la. In contrast to the Ross Sea ice, our work also shows that local, independent alpine glaciers in Salmon Valley have advanced through the Holocene. Land-terminating glaciers such as these elsewhere in the region show a similar pattern, and may reflect the continued influence of increased accumulation following the termination of the last ice age. (C) 2017 Elsevier B.V. All rights reserved.</t>
  </si>
  <si>
    <t>Univ Maine, Sch Earth &amp; Climate Sci, Orono, ME 04469 USA; Univ Maine, Climate Change Inst, Orono, ME 04469 USA</t>
  </si>
  <si>
    <t>University of Maine System; University of Maine Orono; University of Maine System; University of Maine Orono</t>
  </si>
  <si>
    <t>Jackson, MS (corresponding author), Dartmouth Coll, Dept Earth Sci, Hanover, NH 03755 USA.</t>
  </si>
  <si>
    <t>margaret.s.jackson.gr@dartmouth.edu</t>
  </si>
  <si>
    <t>Jackson, Margaret/0000-0001-7613-752X</t>
  </si>
  <si>
    <t>National Science Foundation [PLR-0944150]</t>
  </si>
  <si>
    <t>National Science Foundation(National Science Foundation (NSF))</t>
  </si>
  <si>
    <t>We thank the National Science Foundation for their financial support of this project (grant number PLR-0944150), as well as staff at McMurdo Station for their assistance and support. We also thank Glenn McKinney, Calvin Mako, Peter Strand, Patrick Ryan, Elizabeth Dengler, Stephanie Heath, Toby Koffman, and Robin Arnold for their work in the field. We also thank three anonymous reviewers for their thoughtful comments which improved the paper.</t>
  </si>
  <si>
    <t>0012-821X</t>
  </si>
  <si>
    <t>1385-013X</t>
  </si>
  <si>
    <t>EARTH PLANET SC LETT</t>
  </si>
  <si>
    <t>Earth Planet. Sci. Lett.</t>
  </si>
  <si>
    <t>10.1016/j.epsl.2017.11.038</t>
  </si>
  <si>
    <t>FU5KU</t>
  </si>
  <si>
    <t>WOS:000423892400038</t>
  </si>
  <si>
    <t>Klimke, J; Franke, D; Mahanjane, ES; Leitchenkov, G</t>
  </si>
  <si>
    <t>Klimke, Jennifer; Franke, Dieter; Mahanjane, Estevao Stefane; Leitchenkov, German</t>
  </si>
  <si>
    <t>Tie points for Gondwana reconstructions from a structural interpretation of the Mozambique Basin, East Africa and the Riiser-Larsen Sea, Antarctica</t>
  </si>
  <si>
    <t>SOLID EARTH</t>
  </si>
  <si>
    <t>DAVIE FRACTURE-ZONE; WESTERN SOMALI BASIN; OFFSHORE MOZAMBIQUE; MAGNETIC-ANOMALIES; CRUSTAL STRUCTURE; INDIAN-OCEAN; MAUD-LAND; MADAGASCAR; BREAKUP; IDENTIFICATION</t>
  </si>
  <si>
    <t>Movements within early East Gondwana dispersal are poorly constrained, and there is debate about conjugate geologic structures and the timing and directions of the rifting and earliest seafloor spreading phases. We present a combined structural interpretation of multichannel reflection seismic profiles from offshore of northern Mozambique (East Africa) and the conjugate Riiser-Larsen Sea (Antarctica). We find similar structural styles at the margins of both basins. At certain positions at the foot of the continental slope close to the continent-ocean transition, the basement is intensely deformed and fractured, a structural style very untypical for rifted continental margins. Sediments overlying the fractured basement are deformed and reveal toplap and onlap geometries, indicating a post-breakup deformation phase. We propose this unique deformation zone as a tie point for Gondwana reconstructions. Accordingly, we interpret the western flank of Gunnerus Ridge, Antarctica as a transform margin similar to the Davie Ridge offshore of Madagascar, implying that they are conjugate features. As the continental slope deformation is post-rift, we propose a two-phase opening scenario. A first phase of rifting and early seafloor spreading, likely in NW-SE direction, was subsequently replaced by a N-S-directed transform deformation phase overprinting the continent-ocean transition. From previously identified magnetic chrons and the sediment stratigraphy, this change in the spreading directions from NW-SE to N-S is suggested to have occurred by the late Middle Jurassic. We suggest that the second phase of deformation corresponds to the strike-slip movement of Madagascar and Antarctica and discuss implications for Gondwana breakup.</t>
  </si>
  <si>
    <t>[Klimke, Jennifer; Franke, Dieter] Fed Inst Geosci &amp; Nat Resources BGR, Stilleweg 2, D-30655 Hannover, Germany; [Mahanjane, Estevao Stefane] INP, Av Fernao Magalhaes 34,2nd Floor,POB 4724, Maputo, Mozambique; [Leitchenkov, German] All Russia Res Inst Geol &amp; Mineral Resources Worl, 1 Angliysky Ave, St Petersburg 190121, Russia; [Leitchenkov, German] St Petersburg State Univ, 13B Univ Skaya Emb, St Petersburg 199034, Russia</t>
  </si>
  <si>
    <t>A.P. Karpinsky Russian Geological Research Institute (VSEGEI); Saint Petersburg State University</t>
  </si>
  <si>
    <t>Klimke, J (corresponding author), Fed Inst Geosci &amp; Nat Resources BGR, Stilleweg 2, D-30655 Hannover, Germany.</t>
  </si>
  <si>
    <t>jennifer.klimke@gmx.net</t>
  </si>
  <si>
    <t>MAHANJANE, ESTEVAO/AAS-7326-2021; Franke, Dieter/A-5383-2011</t>
  </si>
  <si>
    <t>Franke, Dieter/0000-0002-1488-026X</t>
  </si>
  <si>
    <t>German Ministry for Research and Education (BMBF) [SO231]; [03G0231A]</t>
  </si>
  <si>
    <t>German Ministry for Research and Education (BMBF)(Federal Ministry of Education &amp; Research (BMBF));</t>
  </si>
  <si>
    <t>The German Ministry for Research and Education (BMBF) funded the cruise SO231 and supported the study through grant 03G0231A. BGR staff is thanked for helping in data acquisition and processing. We thank the National Petroleum Institute of Mozambique for allowing the publication of two seismic profiles of the Mbwg00 dataset. The reflection seismic dataset (RAE43) located in the Riiser-Larsen Sea has been made available through the Antarctic Seismic Data Library System (SDLS). Reviews by Carmen Gaina and an anonymous reviewer greatly improved the paper. We are particularly thankful for supportive comments and suggestions by the topical editor, Federico Rossetti.</t>
  </si>
  <si>
    <t>1869-9510</t>
  </si>
  <si>
    <t>1869-9529</t>
  </si>
  <si>
    <t>Solid Earth</t>
  </si>
  <si>
    <t>10.5194/se-9-25-2018</t>
  </si>
  <si>
    <t>FT0HS</t>
  </si>
  <si>
    <t>WOS:000422805000001</t>
  </si>
  <si>
    <t>Palumbo, AM; Head, JW; Wordsworth, RD</t>
  </si>
  <si>
    <t>Palumbo, Ashley M.; Head, James W.; Wordsworth, Robin D.</t>
  </si>
  <si>
    <t>Late Noachian Icy Highlands climate model: Exploring the possibility of transient melting and fluvial/lacustrine activity through peak annual and seasonal temperatures</t>
  </si>
  <si>
    <t>ICARUS</t>
  </si>
  <si>
    <t>GENERAL-CIRCULATION MODEL; EARLY MARTIAN CLIMATE; LONG-TERM EVOLUTION; EARLY MARS; DRY VALLEYS; GREENHOUSE GASES; NORTHERN PLAINS; LIQUID WATER; ATMOSPHERE; CO2</t>
  </si>
  <si>
    <t>The nature of the Late Noachian climate of Mars remains one of the outstanding questions in the study of the evolution of martian geology and climate. Despite abundant evidence for flowing water (valley networks and open/closed basin lakes), climate models have had difficulties reproducing mean annual surface temperatures (MAT) &gt; 273 K in order to generate the warm and wet climate conditions presumed to be necessary to explain the observed fluvial and lacustrine features. Here, we consider a cold and icy climate scenario, characterized by MAT similar to 225 K and snow and ice distributed in the southern highlands, and ask: Does the formation of the fluvial and lacustrine features require continuous warm and wet conditions, or could seasonal temperature variation in a cold and icy climate produce sufficient summertime ice melting and surface runoff to account for the observed features? To address this question, we employ the 3D Laboratoire de Meteorologie Dynamique global climate model (LMD GCM) for early Mars and (1) analyze peak annual temperature (PAT) maps to determine where on Mars temperatures exceed freezing in the summer season, (2) produce temperature time series at three valley network systems and compare the duration of the time during which temperatures exceed freezing with seasonal temperature variations in the Antarctic McMurdo Dry Valleys (MDV) where similar fluvial and lacustrine features are observed, and (3) perform a positive-degree-day analysis to determine the annual volume of meltwater produced through this mechanism, estimate the necessary duration that this process must repeat to produce sufficient meltwater for valley network formation, and estimate whether runoff rates predicted by this mechanism are comparable to those required to form the observed geomorphology of the valley networks. When considering an ambient CO2 atmosphere, characterized by MAT similar to 225 K, we find that: (1) PAT can exceed the melting point of water (&gt;273 K) in topographic lows, such as the northern lowlands and basin floors, and small regions near the equator during peak summer season conditions, despite the much lower MAT; (2) Correlation of PAT &gt; 273 K with the predicted distribution of surface snow and ice shows that melting could occur near the edges of the ice sheet in near-equatorial regions where valley networks are abundant; (3) For the case of a circular orbit, the duration of temperatures &gt;273 K at specific valley network locations suggests that yearly meltwater generation is insufficient to carve the observed fluvial and lacustrine features when compared with the percentage of the year required to sustain similar features in the MDV; (4) For the case of a more eccentric orbit (eccentricity of 0.17), the duration of temperatures &gt;273 K at specific valley network locations suggests that annual meltwater generation may be capable of producing sufficient meltwater for valley network formation when repeated for many years; (5) When considering a slightly warmer climate scenario and a circular orbit, characterized by MAT similar to 243 K, we find that this small amount of additional greenhouse warming (similar to 18K MAT increase) produces time durations of temperatures &gt;273 K that are similar to those observed in the MDV. Thus, we suggest that peak daytime and seasonal temperatures exceeding similar to 273 K could form the valley networks and lakes with either a relatively high eccentricity condition or a small amount of additional atmospheric warming, rather than the need for a sustained MAT at or above 273 K. The results from our positive-degree-day analysis suggest that: (1) For the conditions of 25 obliquity, 600 mbar atmosphere, and eccentricity of 0.17, this seasonal melting process would be required to continue for similar to(33-1083) x 10(3) years to produce a sufficient volume of meltwater to form the valley networks and lakes; (2) similarly, for the conditions of 25 degrees obliquity, 1000 mbar atmosphere, circular orbit, and similar to 18 Kadditional greenhouse warming, the process would be required to continue for similar to(21-550) x 10(3) years. Therefore, peak seasonal melting of snow and ice could induce the generation of meltwater and fluvial and lacustrine activity in a cold and icy Late Noachian climate in a manner similar to that observed in the MDV. A potential shortcoming of this mechanism is that independent estimates of the required runoff rates for valley network formation are much higher than those predicted by this mechanism when considering a circular orbit, even when accounting for additional atmospheric warming. However, we consider that a relatively higher eccentricity condition (0.17) may produce the necessary runoff rates: for the perihelion scenario in which perihelion occurs during southern hemispheric summer, intense melting will occur in the near-equatorial regions and in the southern hemisphere, producing runoff rates comparable to those required for valley network formation (similar to mm/day). In the opposite perihelion scenario, the southern hemisphere will experience very little summertime melting. Thus, this seasonal melting mechanism is a strong candidate for formation of the valley networks when considering a relatively high eccentricity (0.17) because this mechanism is capable of (1) producing meltwater in the equatorial region where valley networks are abundant, (2) continuously producing seasonal meltwater for the estimated time duration of valley network formation, (3) yielding the amount of meltwater necessary to incise the valley networks within this time period, and (4) by considering a perihelion scenario in which half of the duration of valley network formation is spent with peak summertime conditions during perihelion in each hemisphere, higher runoff rates are produced than in a circular orbit and the rates may be comparable to those required for valley network formation. (C) 2017 Elsevier Inc. All rights reserved.</t>
  </si>
  <si>
    <t>[Palumbo, Ashley M.; Head, James W.] Brown Univ, Dept Earth Environm &amp; Planetary Sci, Providence, RI 02912 USA; [Wordsworth, Robin D.] Harvard Univ, Sch Engn &amp; Appl Sci, Cambridge, MA 02138 USA</t>
  </si>
  <si>
    <t>Brown University; Harvard University</t>
  </si>
  <si>
    <t>Palumbo, AM (corresponding author), Brown Univ, Dept Earth Environm &amp; Planetary Sci, Providence, RI 02912 USA.</t>
  </si>
  <si>
    <t>ashley_palumbo@brown.edu</t>
  </si>
  <si>
    <t>ACADEMIC PRESS INC ELSEVIER SCIENCE</t>
  </si>
  <si>
    <t>SAN DIEGO</t>
  </si>
  <si>
    <t>525 B ST, STE 1900, SAN DIEGO, CA 92101-4495 USA</t>
  </si>
  <si>
    <t>0019-1035</t>
  </si>
  <si>
    <t>1090-2643</t>
  </si>
  <si>
    <t>Icarus</t>
  </si>
  <si>
    <t>10.1016/j.icarus.2017.09.007</t>
  </si>
  <si>
    <t>FL8NU</t>
  </si>
  <si>
    <t>WOS:000414507300021</t>
  </si>
  <si>
    <t>Marandel, L; Gaudin, P; Guéraud, F; Glise, S; Herman, A; Plagnes-Juan, E; Véron, V; Panserat, S; Labonne, J</t>
  </si>
  <si>
    <t>Marandel, Lucie; Gaudin, Philippe; Gueraud, Francois; Glise, Stephane; Herman, Alexandre; Plagnes-Juan, Elisabeth; Veron, Vincent; Panserat, Stephane; Labonne, Jacques</t>
  </si>
  <si>
    <t>A reassessment of the carnivorous status of salmonids: Hepatic glucokinase is expressed in wild fish in Kerguelen Islands</t>
  </si>
  <si>
    <t>Gluconeogenesis; Glucose metabolism; Environment; Carbohydrates; Polar</t>
  </si>
  <si>
    <t>TROUT ONCORHYNCHUS-MYKISS; WHOLE-GENOME DUPLICATION; RAINBOW-TROUT; BROWN TROUT; DIETARY CARBOHYDRATE; GLUCOSE-METABOLISM; NUTRITIONAL REGULATION; TISSUE DISTRIBUTION; GILTHEAD SEABREAM; GENE-EXPRESSION</t>
  </si>
  <si>
    <t>Salmonids belong to a high trophic level and are thus considered as strictly carnivorous species, metabolically adapted for high catabolism of proteins and low utilisation of dietary carbohydrates. However they conserved a mammalian-type nutritional regulation of glucokinase encoding gene and its enzymatic activity by dietary carbohydrates which remains puzzling regarding their dietary regime. The present study investigates the hypothesis that this conservation could be linked to a real consumption by trout of this nutrient in their natural habitat. To do so, brown trout were sampled in the sub-Antarctic Kerguelen Islands, a site presenting oligotrophic hydrosystems and no local freshwater fish fauna prior the introduction of salmonids fifty years ago. Qualitative and quantitative analysis of carbohydrate content within Kerguelen trout stomachs demonstrate that these animals are fed on food resources containing digestible carbohydrates. Additionally, glycaemia and more particularly gck mRNA level and gck enzymatic activity prove that Kerguelen trout digest and metabolise dietary carbohydrates. Physiological and molecular analyses performed in the present study thus strongly evidence for consumption of dietary carbohydrates by wild trout in natural environments. Investigating differences between Kerguelen individuals, we found that smaller individuals presented higher glycaemia, as well as higher carbohydrates contents in stomach. However no relationship between scaled mass index and any physiological indicator was found. Thus it appears that Kerguelen trout do not turn to carbohydrate diet because of a different condition index, or that the consumption of carbohydrates does not lead to a generally degraded physiological status. As a conclusion, our findings may explain the evolutionary conservation of a mammalian-type nutritional regulation of gck by dietary carbohydrates in these carnivorous fish. (C) 2017 Elsevier B.V. All rights reserved.</t>
  </si>
  <si>
    <t>[Marandel, Lucie; Herman, Alexandre; Plagnes-Juan, Elisabeth; Veron, Vincent; Panserat, Stephane] Univ Pau &amp; Pays Adour, INRA, UMR 1419, Nutr Metab &amp; Aquaculture, F-64310 St Pee Sur Nivelle, France; [Gaudin, Philippe; Gueraud, Francois; Glise, Stephane; Labonne, Jacques] Univ Pau &amp; Pays Adour, INRA, UMR 1224, ECOBIOP, F-64310 St Pee Sur Nivelle, France</t>
  </si>
  <si>
    <t>INRAE; Universite de Pau et des Pays de l'Adour; Universite de Pau et des Pays de l'Adour; INRAE</t>
  </si>
  <si>
    <t>Marandel, L (corresponding author), Univ Pau &amp; Pays Adour, INRA, UMR 1419, Nutr Metab &amp; Aquaculture, F-64310 St Pee Sur Nivelle, France.</t>
  </si>
  <si>
    <t>lucie.marandel@inra.fr; philippe.gaudin@inra.fr; francois.gueraud@inra.fr; stephane.glise@inra.fr; alexandre.herman@inra.fr; elisabeth.plagnes-juan@inra.fr; vincent.veron@inra.fr; stephane.panserat@inra.fr; jacques.labonne@inra.fr</t>
  </si>
  <si>
    <t>Labonne, Jacques/0000-0001-5953-3029; Panserat, Stephane/0000-0002-4479-9868</t>
  </si>
  <si>
    <t>Federation de recherche MIRA (Milieu et ressources aquatiques) on behalf of University of Pau and Pays de l'Adour; French Polar Institute Paul Emile Victor (IPEV)</t>
  </si>
  <si>
    <t>This work benefited from the financial support of the Federation de recherche MIRA (Milieu et ressources aquatiques) on behalf of University of Pau and Pays de l'Adour. This study is part of SALMEVOL 1041 program, funded by the French Polar Institute Paul Emile Victor (IPEV).</t>
  </si>
  <si>
    <t>10.1016/j.scitotenv.2017.08.247</t>
  </si>
  <si>
    <t>WOS:000413313700028</t>
  </si>
  <si>
    <t>Selz, V; Lowry, KE; Lewis, KM; Joy-Warren, HL; van de Poll, W; Nirmel, S; Tong, A; Arrigo, KR</t>
  </si>
  <si>
    <t>Selz, Virginia; Lowry, Kate E.; Lewis, Kate M.; Joy-Warren, Hannah L.; van de Poll, Willem; Nirmel, Sandip; Tong, Amy; Arrigo, Kevin R.</t>
  </si>
  <si>
    <t>Distribution of Phaeocystis antarctica-dominated sea ice algal communities and their potential to seed phytoplankton across the western Antarctic Peninsula in spring</t>
  </si>
  <si>
    <t>Photophysiology; Diatoms; Ice-ocean coupling; Community composition</t>
  </si>
  <si>
    <t>KRILL EUPHAUSIA-SUPERBA; SOUTHERN-OCEAN; PACK-ICE; ROSS SEA; CLIMATE-CHANGE; WEDDELL SEA; FRAGILARIOPSIS-CYLINDRUS; CHLOROPHYLL FLUORESCENCE; SINKING RATES; ZONE WEST</t>
  </si>
  <si>
    <t>The western Antarctic Peninsula has experienced extreme changes in the timing of sea ice melt and freeze up, shortening the duration of the seasonal sea ice cycle. While previous research demonstrated connections between multiple pelagic trophic levels and the physics of the sea ice, few studies have assessed the sea ice ecosystem or its linkage to the ocean ecosystem in this region. Through a field survey and shipboard experiments, our study focused on characterizing the spring ice algal bloom and elucidating its role in seeding phytoplankton communities postice melt in high and low light conditions. Field data revealed that algal communities in slush layers, often formed from the flooding of seawater (infiltration layers), dominated biomass distributions in the sea ice throughout the region, and showed distinct photophysiological characteristics from interior or bottom ice communities. Sea ice algal biomass reached 120 mg chl a m(-2) and was often dominated by Phaeocystis antarctica. Shipboard growth experiments showed that prior light history (ice or water column), rather than community composition (phytoplankton and ice algae were composed of similar taxa), primarily drove physiological responses to high and low light. P. antarctica generally dominated the community in growth experiments at the end of the 6 d incubation period. Settling column experiments suggested that P. antarctica's higher sinking rates relative to other taxa may explain its minor contributions to the summer phytoplankton community in single-cell form and its absence in colonial form, observed in the long-term ecological record of this region.</t>
  </si>
  <si>
    <t>[Selz, Virginia; Lowry, Kate E.; Lewis, Kate M.; Joy-Warren, Hannah L.; Nirmel, Sandip; Tong, Amy; Arrigo, Kevin R.] Stanford Univ, Dept Earth Syst Sci, Stanford, CA 94305 USA; [van de Poll, Willem] Univ Groningen, Res Inst Groningen, Dept Ocean Ecosyst Energy &amp; Sustainabil, Nijenborgh 7, NL-9747 AG Groningen, Netherlands</t>
  </si>
  <si>
    <t>Stanford University; University of Groningen</t>
  </si>
  <si>
    <t>Selz, V (corresponding author), Stanford Univ, Dept Earth Syst Sci, Stanford, CA 94305 USA.</t>
  </si>
  <si>
    <t>vselz@stanford.edu</t>
  </si>
  <si>
    <t>Joy-Warren, Hannah L./HJP-5929-2023</t>
  </si>
  <si>
    <t>Joy-Warren, Hannah L./0000-0003-4127-7367; Lewis, Kate/0000-0003-2909-2570; Arrigo, Kevin/0000-0002-7364-876X; van de Poll, Willem/0000-0003-4095-4338</t>
  </si>
  <si>
    <t>Polar Programs - National Science Foundation grant [ANT-1063592]</t>
  </si>
  <si>
    <t>Polar Programs - National Science Foundation grant</t>
  </si>
  <si>
    <t>We acknowledge the Captain and crew of the RV 'Nathaniel B. Palmer.' We also thank Gert L. van Dijken and Matt M. Mills for their advice throughout the course of the project. Funding was provided by the Polar Programs - National Science Foundation grant to K.R.A. (Grant no. ANT-1063592).</t>
  </si>
  <si>
    <t>JAN 11</t>
  </si>
  <si>
    <t>10.3354/meps12367</t>
  </si>
  <si>
    <t>FT0WX</t>
  </si>
  <si>
    <t>WOS:000422850500007</t>
  </si>
  <si>
    <t>Herne, MC; Tait, AM; Weisbecker, V; Hall, M; Nair, JP; Cleeland, M; Salisbury, SW</t>
  </si>
  <si>
    <t>Herne, Matthew C.; Tait, Alan M.; Weisbecker, Vera; Hall, Michael; Nair, Jay P.; Cleeland, Michael; Salisbury, Steven W.</t>
  </si>
  <si>
    <t>A new small-bodied ornithopod (Dinosauria, Ornithischia) from a deep, high-energy Early Cretaceous river of the Australian-Antarctic rift system</t>
  </si>
  <si>
    <t>Dinosaur; Sedimentology; Taphonomy; Ornithopod; Gondwana; Australia-Antarctica; Systematics; Pathology; Palaeoecology; palaeontology</t>
  </si>
  <si>
    <t>POSTCRANIAL ANATOMY; VICTORIA; EASTERN; REAPPRAISAL; DIVERSITY; PATAGONIA; REMAINS; MARGIN; BIRD; ARCHOSAURS</t>
  </si>
  <si>
    <t>A new small-bodied ornithopod dinosaur, Diluvicursor pickeringi, gen. et sp. nov., is named from the lower Albian of the Eumeralla Formation in southeastern Australia and helps shed new light on the anatomy and diversity of Gondwanan ornithopods. Comprising an almost complete tail and partial lower right hindlimb, the holotype (NMV P221080) was deposited as a carcass or body-part in a log-filled scour near the base of a deep, high-energy river that incised a faunally rich, substantially forested riverine floodplain within the Australian-Antarctic rift graben. The deposit is termed the 'Eric the Red West Sandstone.' The holotype, interpreted as an older juvenile similar to 1.2 m in total length, appears to have endured antemortem trauma to the pes. A referred, isolated posterior caudal vertebra (NMV P229456) from the holotype locality, suggests D. pickeringi grew to at least 2.3 m in length. D. pickeringi is characterised by 10 potential autapomorphies, among which dorsoventrally low neural arches and transversely broad caudal ribs on the anterior-most caudal vertebrae are a visually defining combination of features. These features suggest D. pickeringi had robust anterior caudal musculature and strong locomotor abilities. Another isolated anterior caudal vertebra (NMV P228342) from the same deposit, suggests that the fossil assemblage hosts at least two ornithopod taxa. D. pickeringi and two stratigraphically younger, indeterminate Eumeralla Formation ornithopods from Dinosaur Cove, NMV P185992/P185993 and NMV P186047, are closely related. However, the tail of D. pickeringi is far shorter than that of NMV P185992/P185993 and its pes more robust than that of NMV P186047. Preliminary cladistic analysis, utilising three existing datasets, failed to resolve D. pickeringi beyond a large polytomy of Ornithopoda. However, qualitative assessment of shared anatomical features suggest that the Eumeralla Formation ornithopods, South American Anabisetia saldiviai and Gasparinisaura cincosaltensis, Afro-Laurasian dryosaurids and possibly Antarctic Morrosaurus antarcticus share a close phylogenetic progenitor. Future phylogenetic analysis with improved data on Australian ornithopods will help to test these suggested affinities.</t>
  </si>
  <si>
    <t>[Herne, Matthew C.; Weisbecker, Vera; Nair, Jay P.; Salisbury, Steven W.] Univ Queensland, Sch Biol Sci, Brisbane, Qld, Australia; [Tait, Alan M.; Hall, Michael] Monash Univ, Sch Earth Atmosphere &amp; Environm, Melbourne, Vic, Australia; [Cleeland, Michael] Bunurong Environm Ctr, Inverloch, Vic, Australia</t>
  </si>
  <si>
    <t>University of Queensland; Melbourne Genomics Health Alliance; Monash University</t>
  </si>
  <si>
    <t>Herne, MC (corresponding author), Univ Queensland, Sch Biol Sci, Brisbane, Qld, Australia.</t>
  </si>
  <si>
    <t>ornithomatt@gmail.com</t>
  </si>
  <si>
    <t>Weisbecker, Vera/AAC-4374-2022; Salisbury, Steven W./A-7518-2011; Weisbecker, Vera/P-7088-2015; Herne, Matt/C-5388-2017</t>
  </si>
  <si>
    <t>Weisbecker, Vera/0000-0003-2370-4046; Salisbury, Steven W./0000-0003-4097-8567; Weisbecker, Vera/0000-0003-2370-4046; Herne, Matt/0000-0001-6355-0331</t>
  </si>
  <si>
    <t>University of Queensland Postgraduate Research Scholarship; Graduate School Travel Grant; School of Biological Sciences Travel Grant</t>
  </si>
  <si>
    <t>University of Queensland Postgraduate Research Scholarship(University of Queensland); Graduate School Travel Grant; School of Biological Sciences Travel Grant</t>
  </si>
  <si>
    <t>This work was supported by the University of Queensland Postgraduate Research Scholarship, Graduate School Travel Grant and School of Biological Sciences Travel Grant to Matthew C. Herne. The funders had no role in study design, data collection and analysis, decision to publish, or preparation of the manuscript.</t>
  </si>
  <si>
    <t>e4113</t>
  </si>
  <si>
    <t>10.7717/peerj.4113</t>
  </si>
  <si>
    <t>FT4OU</t>
  </si>
  <si>
    <t>WOS:000423135200004</t>
  </si>
  <si>
    <t>van Leeuwe, MA; Tedesco, L; Arrigo, KR; Assmy, P; Campbell, K; Meiners, KM; Rintala, JM; Selz, V; Thomas, DN; Stefels, J</t>
  </si>
  <si>
    <t>van Leeuwe, Maria A.; Tedesco, Letizia; Arrigo, Kevin R.; Assmy, Philipp; Campbell, Karley; Meiners, Klaus M.; Rintala, Janne-Markus; Selz, Virginia; Thomas, David N.; Stefels, Jacqueline</t>
  </si>
  <si>
    <t>Microalgal community structure and primary production in Arctic and Antarctic sea ice: A synthesis</t>
  </si>
  <si>
    <t>ELEMENTA-SCIENCE OF THE ANTHROPOCENE</t>
  </si>
  <si>
    <t>biogeochemical models; functional groups; microalgae; production; sea ice</t>
  </si>
  <si>
    <t>PHOTOSYNTHESIS-IRRADIANCE RELATIONSHIPS; SOUTHERN WEDDELL SEA; PACK ICE; MICROBIAL COMMUNITIES; MCMURDO SOUND; BOTTOM-ICE; ROSS SEA; NUTRIENT CONCENTRATIONS; BIOLOGICAL COMMUNITIES; ENVIRONMENTAL-FACTORS</t>
  </si>
  <si>
    <t>Sea ice is one the largest biomes on earth, yet it is poorly described by biogeochemical and climate models. In this paper, published and unpublished data on sympagic (ice-associated) algal biodiversity and productivity have been compiled from more than 300 sea-ice cores and organized into a systematic framework. Significant patterns in microalgal community structure emerged from this framework. Autotrophic flagellates characterize surface communities, interior communities consist of mixed microalgal populations and pennate diatoms dominate bottom communities. There is overlap between landfast and pack-ice communities, which supports the hypothesis that sympagic microalgae originate from the pelagic environment. Distribution in the Arctic is sometimes quite different compared to the Antarctic. This difference may be related to the time of sampling or lack of dedicated studies. Seasonality has a significant impact on species distribution, with a potentially greater role for flagellates and centric diatoms in early spring. The role of sea-ice algae in seeding pelagic blooms remains uncertain. Photosynthesis in sea ice is mainly controlled by environmental factors on a small scale and therefore cannot be linked to specific ice types. Overall, sea-ice communities show a high capacity for photoacclimation but low maximum productivity compared to pelagic phytoplankton. Low carbon assimilation rates probably result from adaptation to extreme conditions of reduced light and temperature in winter. We hypothesize that in the near future, bottom communities will develop earlier in the season and develop more biomass over a shorter period of time as light penetration increases due to the thinning of sea ice. The Arctic is already witnessing changes. The shift forward in time of the algal bloom can result in a mismatch in trophic relations, but the biogeochemical consequences are still hard to predict. With this paper we provide a number of parameters required to improve the reliability of sea-ice biogeochemical models.</t>
  </si>
  <si>
    <t>[van Leeuwe, Maria A.; Stefels, Jacqueline] Univ Groningen, Groningen Inst Evolutionary Life Sci, Groningen, Netherlands; [Tedesco, Letizia; Thomas, David N.] Finnish Environm Inst SYKE, Marine Res Ctr, Helsinki, Finland; [Arrigo, Kevin R.; Selz, Virginia] Stanford Univ, Earth Syst Sci Dept, Stanford, CA 94305 USA; [Assmy, Philipp] Norwegian Polar Res Inst, Fram Ctr, Tromso, Norway; [Campbell, Karley] Univ Manitoba, Ctr Earth Observat Sci, Winnipeg, CA USA; [Meiners, Klaus M.] Environm &amp; Energy Dept, Australian Antarct Div, Kingston, Tas, Australia; [Meiners, Klaus M.] Univ Tasmania, Australia &amp; Antarct Climate &amp; Ecosystems Cooperat, Kingston, Tas, Australia; [Thomas, David N.] Bangor Univ, Sch Ocean Sci, Anglesey, England; [Rintala, Janne-Markus] Univ Helsinki, Dept Environm Sci, Helsinki, Finland</t>
  </si>
  <si>
    <t>University of Groningen; Finnish Environment Institute; Stanford University; Norwegian Polar Institute; Australian Antarctic Division; University of Tasmania; Bangor University; University of Helsinki</t>
  </si>
  <si>
    <t>van Leeuwe, MA (corresponding author), Univ Groningen, Groningen Inst Evolutionary Life Sci, Groningen, Netherlands.</t>
  </si>
  <si>
    <t>m.a.van.leeuwe@rug.nl</t>
  </si>
  <si>
    <t>Thomas, David Neville/B-1448-2010; Tedesco, Letizia/B-2884-2013</t>
  </si>
  <si>
    <t>Thomas, David Neville/0000-0001-8832-5907; Arrigo, Kevin/0000-0002-7364-876X; Campbell, Karley/0000-0001-5008-0705; Tedesco, Letizia/0000-0001-9051-8177</t>
  </si>
  <si>
    <t>Dutch Science Foundation [NWO/ALW-NNPP 866.14.101]; Australian Antarctic Science project [4298]; Australian Government's Cooperative Research Centres Programme through the Antarctic Climate and Ecosystems Cooperative Research Centre</t>
  </si>
  <si>
    <t>Dutch Science Foundation(Netherlands Organization for Scientific Research (NWO)); Australian Antarctic Science project; Australian Government's Cooperative Research Centres Programme through the Antarctic Climate and Ecosystems Cooperative Research Centre(Australian GovernmentDepartment of Industry, Innovation and ScienceCooperative Research Centres (CRC) Programme)</t>
  </si>
  <si>
    <t>MvL was supported by the Polar Program of the Dutch Science Foundation (NWO/ALW-NNPP 866.14.101). KMM was supported through Australian Antarctic Science project 4298 and by the Australian Government's Cooperative Research Centres Programme through the Antarctic Climate and Ecosystems Cooperative Research Centre.</t>
  </si>
  <si>
    <t>UNIV CALIFORNIA PRESS</t>
  </si>
  <si>
    <t>OAKLAND</t>
  </si>
  <si>
    <t>155 GRAND AVE, SUITE 400, OAKLAND, CA 94612-3758 USA</t>
  </si>
  <si>
    <t>2325-1026</t>
  </si>
  <si>
    <t>ELEMENTA-SCI ANTHROP</t>
  </si>
  <si>
    <t>Elementa-Sci. Anthrop.</t>
  </si>
  <si>
    <t>10.1525/elementa.267</t>
  </si>
  <si>
    <t>FS9EO</t>
  </si>
  <si>
    <t>WOS:000422719500001</t>
  </si>
  <si>
    <t>Deppeler, S; Petrou, K; Schulz, KG; Westwood, K; Pearce, I; McKinlay, J; Davidson, A</t>
  </si>
  <si>
    <t>Deppeler, Stacy; Petrou, Katherina; Schulz, Kai G.; Westwood, Karen; Pearce, Imojen; McKinlay, John; Davidson, Andrew</t>
  </si>
  <si>
    <t>Ocean acidification of a coastal Antarctic marine microbial community reveals a critical threshold for CO2 tolerance in phytoplankton productivity</t>
  </si>
  <si>
    <t>DIATOM THALASSIOSIRA-PSEUDONANA; ELEVATED CO2; SOUTHERN-OCEAN; INORGANIC CARBON; ORGANIC-MATTER; PHOTOPHYSIOLOGICAL RESPONSES; SEAWATER ACIDIFICATION; METABOLIC BALANCE; USE EFFICIENCY; GROWTH-RATES</t>
  </si>
  <si>
    <t>High-latitude oceans are anticipated to be some of the first regions affected by ocean acidification. Despite this, the effect of ocean acidification on natural communities of Antarctic marine microbes is still not well understood. In this study we exposed an early spring, coastal marine microbial community in Prydz Bay to CO2 levels ranging from ambient (343 mu atm) to 1641 mu atm in six 650 L minicosms. Productivity assays were performed to identify whether a CO2 threshold existed that led to a change in primary productivity, bacterial productivity, and the accumulation of chlorophyll a (Chl a) and particulate organic matter (POM) in the minicosms. In addition, photophysiological measurements were performed to identify possible mechanisms driving changes in the phytoplankton community. A critical threshold for tolerance to ocean acidification was identified in the phytoplankton community between 953 and 1140 mu atm. CO2 levels &gt;= 1140 mu atm negatively affected photosynthetic performance and Chl a-normalised primary productivity (csGPP14C), causing significant reductions in gross primary production (GPP14C), Chl a accumulation, nutrient uptake, and POM production. However, there was no effect of CO2 on C:N ratios. Over time, the phytoplankton community acclimated to high CO2 conditions, showing a down-regulation of carbon concentrating mechanisms (CCMs) and likely adjusting other intracellular processes. Bacterial abundance initially increased in CO2 treatments &gt;= 953 mu atm (days 3-5), yet gross bacterial production (GBP(14C)) remained unchanged and cell-specific bacterial productivity (csBP(14C)) was reduced. Towards the end of the experiment, GBP(14C) and csBP(14C) markedly increased across all treatments regardless of CO2 availability. This coincided with increased organic matter availability (POC and PON) combined with improved efficiency of carbon uptake. Changes in phytoplankton community production could have negative effects on the Antarctic food web and the biological pump, resulting in negative feedbacks on anthropogenic CO2 uptake. Increases in bacterial abundance under high CO2 conditions may also increase the efficiency of the microbial loop, resulting in increased organic matter remineralisation and further declines in carbon sequestration.</t>
  </si>
  <si>
    <t>[Deppeler, Stacy] Univ Tasmania, Inst Marine &amp; Antarctic Studies, Private Bag 129, Hobart, Tas 7001, Australia; [Petrou, Katherina] Univ Technol Sydney, Sch Life Sci, 15 Broadway, Ultimo, NSW 2007, Australia; [Schulz, Kai G.] Southern Cross Univ, Ctr Coastal Biogeochem, Mil Rd, East Lismore, NSW 2480, Australia; [Westwood, Karen; Pearce, Imojen; McKinlay, John; Davidson, Andrew] Australian Antarctic Div, Environm &amp; Energy Dept, 203 Channel Highway, Kingston, Tas 7050, Australia; [Westwood, Karen; Davidson, Andrew] Antarctic Climate &amp; Ecosyst Cooperat Res Ctr, Private Bag 80, Hobart, Tas 7001, Australia</t>
  </si>
  <si>
    <t>University of Tasmania; University of Technology Sydney; Southern Cross University; Australian Antarctic Division; Antarctic Climate &amp; Ecosystems Cooperative Research Centre (ACE CRC)</t>
  </si>
  <si>
    <t>Deppeler, S (corresponding author), Univ Tasmania, Inst Marine &amp; Antarctic Studies, Private Bag 129, Hobart, Tas 7001, Australia.</t>
  </si>
  <si>
    <t>stacy.deppeler@utas.edu.au</t>
  </si>
  <si>
    <t>Schulz, Kai/AEZ-9073-2022; Deppeler, Stacy/I-1546-2014</t>
  </si>
  <si>
    <t>Schulz, Kai/0000-0002-8481-4639; McKinlay, John/0000-0003-4858-2604; Westwood, Karen/0000-0003-1060-7140; Deppeler, Stacy/0000-0003-2213-2656; Petrou, Katherina/0000-0002-2703-0694</t>
  </si>
  <si>
    <t>Australian Government, Department of Environment and Energy as part of the Australian Antarctic Science Project [4026]; Institute for Marine and Antarctic Studies, University of Tasmania</t>
  </si>
  <si>
    <t>Australian Government, Department of Environment and Energy as part of the Australian Antarctic Science Project; Institute for Marine and Antarctic Studies, University of Tasmania</t>
  </si>
  <si>
    <t>This study was funded by the Australian Government, Department of Environment and Energy as part of the Australian Antarctic Science Project 4026 at the Australian Antarctic Division and an Elite Research Scholarship awarded by the Institute for Marine and Antarctic Studies, University of Tasmania. We would like to thank Andrew McMinn for valuable comments on our paper, Penelope Pascoe for the flow cytometric analyses, Cristin Sheehan for photosynthesis and respiration data, and Thomas Rodemann from the Central Science Laboratory, University of Tasmania for elemental analysis of our POM samples. We gratefully acknowledge the assistance of AAD technical support in designing and equipping the minicosms and Davis Station expeditioners in the summer of 2014-2015 for their support and assistance.</t>
  </si>
  <si>
    <t>10.5194/bg-15-209-2018</t>
  </si>
  <si>
    <t>FS5BX</t>
  </si>
  <si>
    <t>WOS:000419809100001</t>
  </si>
  <si>
    <t>Beltran, RS; Ruscher-Hill, B; Kirkham, AL; Burns, JM</t>
  </si>
  <si>
    <t>Beltran, Roxanne S.; Ruscher-Hill, Brandi; Kirkham, Amy L.; Burns, Jennifer M.</t>
  </si>
  <si>
    <t>An evaluation of three-dimensional photogrammetric and morphometric techniques for estimating volume and mass in Weddell seals Leptonychotes weddellii</t>
  </si>
  <si>
    <t>NORTHERN ELEPHANT SEALS; BODY-SIZE; MIROUNGA-LEONINA; PUPS; PATTERNS; SUCCESS</t>
  </si>
  <si>
    <t>Body mass dynamics of animals can indicate critical associations between extrinsic factors and population vital rates. Photogrammetry can be used to estimate mass of individuals in species whose life histories make it logistically difficult to obtain direct body mass measurements. Such studies typically use equations to relate volume estimates from photogrammetry to mass; however, most fail to identify the sources of error between the estimated and actual mass. Our objective was to identify the sources of error that prevent photogrammetric mass estimation from directly predicting actual mass, and develop a methodology to correct this issue. To do this, we obtained mass, body measurements, and scaled photos for 56 sedated Weddell seals (Leptonychotes weddellii). After creating a three-dimensional silhouette in the image processing program PhotoModeler Pro, we used horizontal scale bars to define the ground plane, then removed the below-ground portion of the animal's estimated silhouette. We then re-calculated body volume and applied an expected density to estimate animal mass. We compared the body mass estimates derived from this silhouette slice method with estimates derived from two other published methodologies: body mass calculated using photogrammetry coupled with a species-specific correction factor, and estimates using elliptical cones and measured tissue densities. The estimated mass values (mean +/- standard deviation 345 +/- 71 kg for correction equation, 346 +/- 75 kg for silhouette slice, 343 +/- 76 kg for cones) were not statistically distinguishable from each other or from actual mass (346 +/- 73 kg) (ANOVA with Tukey HSD post-hoc, p&gt;0.05 for all pairwise comparisons). We conclude that volume overestimates from photogrammetry are likely due to the inability of photo modeling software to properly render the ventral surface of the animal where it contacts the ground. Due to logistical differences between the correction equation, silhouette slicing, and cones approaches, researchers may find one technique more useful for certain study programs. In combination or exclusively, these threedimensional mass estimation techniques have great utility in field studies with repeated measures sampling designs or where logistic constraints preclude weighing animals.</t>
  </si>
  <si>
    <t>[Beltran, Roxanne S.; Kirkham, Amy L.] Univ Alaska Fairbanks, Dept Biol &amp; Wildlife, Fairbanks, AK 99775 USA; [Beltran, Roxanne S.; Burns, Jennifer M.] Univ Alaska Anchorage, Dept Biol Sci, Anchorage, AK 99508 USA; [Ruscher-Hill, Brandi] Univ Calif Santa Cruz, Dept Ecol &amp; Evolutionary Biol, Santa Cruz, CA 95064 USA; [Kirkham, Amy L.] Univ Alaska Fairbanks, Coll Fisheries &amp; Ocean Sci, Juneau, AK USA</t>
  </si>
  <si>
    <t>University of Alaska System; University of Alaska Fairbanks; University of Alaska System; University of Alaska Anchorage; University of California System; University of California Santa Cruz; University of Alaska System; University of Alaska Fairbanks</t>
  </si>
  <si>
    <t>Beltran, RS (corresponding author), Univ Alaska Fairbanks, Dept Biol &amp; Wildlife, Fairbanks, AK 99775 USA.;Beltran, RS (corresponding author), Univ Alaska Anchorage, Dept Biol Sci, Anchorage, AK 99508 USA.</t>
  </si>
  <si>
    <t>roxanne.beltran@gmail.com</t>
  </si>
  <si>
    <t>Kirkham, Amy/GWQ-6306-2022; Burns, Jennifer/AAC-8243-2019</t>
  </si>
  <si>
    <t>Burns, Jennifer/0000-0001-9652-2943; Beltran, Roxanne/0000-0002-8520-1105</t>
  </si>
  <si>
    <t>INBRE graduate research fellowship; National Science Foundation graduate research fellowship; National Institute of General Medical Sciences of the National Institutes of Health [P20GM103395]; National Science Foundation Graduate Research Fellowship Program [DGE-1242789]; [ANT-1246463]; Division Of Ocean Sciences; Directorate For Geosciences [1246463] Funding Source: National Science Foundation</t>
  </si>
  <si>
    <t>INBRE graduate research fellowship; National Science Foundation graduate research fellowship(National Science Foundation (NSF)); National Institute of General Medical Sciences of the National Institutes of Health(United States Department of Health &amp; Human ServicesNational Institutes of Health (NIH) - USANIH National Institute of General Medical Sciences (NIGMS)); National Science Foundation Graduate Research Fellowship Program(National Science Foundation (NSF)); ; Division Of Ocean Sciences; Directorate For Geosciences(National Science Foundation (NSF)NSF - Directorate for Geosciences (GEO))</t>
  </si>
  <si>
    <t>This research was conducted with financial support from ANT-1246463 to J.M.B. and J.W. Testa., an INBRE graduate research fellowship to R.S.B., and a National Science Foundation graduate research fellowship to R.S.B.. Research reported in this publication was supported by an Institutional Development Award (IDeA) from the National Institute of General Medical Sciences of the National Institutes of Health under Award Number P20GM103395 to R.S.B. The content is solely the responsibility of the authors and does not necessarily represent the official views of the National Institutes of Health. This material is based upon work supported by the National Science Foundation Graduate Research Fellowship Program under Grant No. DGE-1242789 to R.S.B. Any opinion, findings, and conclusions or recommendations expressed in this material are those of the authors and do not necessarily reflect the views of the National Science Foundation.; We thank the B-009-M field team led by Robert Garrott and Jay Rotella for their help developing this method and to Nico deBruyn, Martin Postma, and Chris Oosthuizen for help with the analysis. Thank you to Michelle Shero for taking photographs during the first season. This project was made possible by logistical support provided by the National Science Foundation United States Antarctic Program, Lockheed Martin Antarctic Support Contract, and support staff in Christchurch, New Zealand and McMurdo Station. This research was conducted with financial support from ANT-1246463 to J.M.B. and J.W. Testa., an INBRE graduate research fellowship to R.S.B., and a National Science Foundation graduate research fellowship to R.S.B.. Research reported in this publication was supported by an Institutional Development Award (IDeA) from the National Institute of General Medical Sciences of the National Institutes of Health under Award Number P20GM103395. The content is solely the responsibility of the authors and does not necessarily represent the official views of the National Institutes of Health. This material is based upon work supported by the National Science Foundation Graduate Research Fellowship Program under Grant No. DGE-1242789. Any opinion, findings, and conclusions or recommendations expressed in this material are those of the authors and do not necessarily reflect the views of the National Science Foundation.</t>
  </si>
  <si>
    <t>JAN 10</t>
  </si>
  <si>
    <t>e0189865</t>
  </si>
  <si>
    <t>10.1371/journal.pone.0189865</t>
  </si>
  <si>
    <t>FS3NS</t>
  </si>
  <si>
    <t>WOS:000419689600021</t>
  </si>
  <si>
    <t>Lazeroms, WMJ; Jenkins, A; Gudmundsson, GH; van de Wal, RSW</t>
  </si>
  <si>
    <t>Lazeroms, Werner M. J.; Jenkins, Adrian; Gudmundsson, G. Hilmar; van de Wal, Roderik S. W.</t>
  </si>
  <si>
    <t>Modelling present-day basal melt rates for Antarctic ice shelves using a parametrization of buoyant meltwater plumes</t>
  </si>
  <si>
    <t>SEA-LEVEL RISE; OCEAN INTERACTION; MASS-BALANCE; HEAT-FLUX; SHEET; PARAMETERIZATION; CONVECTION; SURFACE; BENEATH; DRIVEN</t>
  </si>
  <si>
    <t>Basal melting below ice shelves is a major factor in mass loss from the Antarctic Ice Sheet, which can contribute significantly to possible future sea-level rise. Therefore, it is important to have an adequate description of the basal melt rates for use in ice-dynamical models. Most current ice models use rather simple parametrizations based on the local balance of heat between ice and ocean. In this work, however, we use a recently derived parametrization of the melt rates based on a buoyant meltwater plume travelling upward beneath an ice shelf. This plume parametrization combines a non-linear ocean temperature sensitivity with an inherent geometry dependence, which is mainly described by the grounding-line depth and the local slope of the ice-shelf base. For the first time, this type of parametrization is evaluated on a two-dimensional grid covering the entire Antarctic continent. In order to apply the essentially one-dimensional parametrization to realistic ice-shelf geometries, we present an algorithm that determines effective values for the grounding-line depth and basal slope in any point beneath an ice shelf. Furthermore, since detailed knowledge of temperatures and circulation patterns in the ice-shelf cavities is sparse or absent, we construct an effective ocean temperature field from observational data with the purpose of matching ( area-averaged) melt rates from the model with observed present-day melt rates. Our results qualitatively replicate large-scale observed features in basal melt rates around Antarctica, not only in terms of average values, but also in terms of the spatial pattern, with high melt rates typically occurring near the grounding line. The plume parametrization and the effective temperature field presented here are therefore promising tools for future simulations of the Antarctic Ice Sheet requiring a more realistic oceanic forcing.</t>
  </si>
  <si>
    <t>[Lazeroms, Werner M. J.; van de Wal, Roderik S. W.] Univ Utrecht, Inst Marine &amp; Atmospher Res Utrecht, Utrecht, Netherlands; [Jenkins, Adrian; Gudmundsson, G. Hilmar] NERC, British Antarctic Survey, Cambridge, England</t>
  </si>
  <si>
    <t>Utrecht University; UK Research &amp; Innovation (UKRI); Natural Environment Research Council (NERC); NERC British Antarctic Survey</t>
  </si>
  <si>
    <t>Lazeroms, WMJ (corresponding author), Univ Utrecht, Inst Marine &amp; Atmospher Res Utrecht, Utrecht, Netherlands.</t>
  </si>
  <si>
    <t>w.m.j.lazeroms@uu.nl</t>
  </si>
  <si>
    <t>Gudmundsson, Gudmundur Hilmar/AAU-5987-2020; Jenkins, Adrian/IUN-2406-2023; van de wal, roderik/D-1705-2011</t>
  </si>
  <si>
    <t>Gudmundsson, Gudmundur Hilmar/0000-0003-4236-5369; van de wal, roderik/0000-0003-2543-3892; Jenkins, Adrian/0000-0002-9117-0616</t>
  </si>
  <si>
    <t>Netherlands Organisation for Scientific Research (NWO-ALW-Open) [824.14.003]; NERC [NE/N01801X/1, bas0100034, bas0100033] Funding Source: UKRI; Natural Environment Research Council [NE/N01801X/1] Funding Source: researchfish</t>
  </si>
  <si>
    <t>Netherlands Organisation for Scientific Research (NWO-ALW-Open); NERC(UK Research &amp; Innovation (UKRI)Natural Environment Research Council (NERC)); Natural Environment Research Council(UK Research &amp; Innovation (UKRI)Natural Environment Research Council (NERC))</t>
  </si>
  <si>
    <t>The authors thank Jeremie Mouginot for providing the spatial data of basal melt rates from Rignot et al. (2013). Tore Hatterman and Xylar Asay-Davis are thanked for their thorough review and useful comments on the manuscript. Financial support for Werner M. J. Lazeroms was provided by the Netherlands Organisation for Scientific Research (NWO-ALW-Open 824.14.003). The lead author wishes to acknowledge the hospitality of the Eindhoven University of Technology where part of the work was done.</t>
  </si>
  <si>
    <t>JAN 9</t>
  </si>
  <si>
    <t>10.5194/tc-12-49-2018</t>
  </si>
  <si>
    <t>FS3YY</t>
  </si>
  <si>
    <t>Green Accepted, Green Submitted, gold</t>
  </si>
  <si>
    <t>WOS:000419723100001</t>
  </si>
  <si>
    <t>Dartois, E; Engrand, C; Duprat, J; Godard, M; Charon, E; Delauche, L; Sandt, C; Borondics, F</t>
  </si>
  <si>
    <t>Dartois, E.; Engrand, C.; Duprat, J.; Godard, M.; Charon, E.; Delauche, L.; Sandt, C.; Borondics, F.</t>
  </si>
  <si>
    <t>Dome C ultracarbonaceous Antarctic micrometeorites Infrared and Raman fingerprints</t>
  </si>
  <si>
    <t>ASTRONOMY &amp; ASTROPHYSICS</t>
  </si>
  <si>
    <t>comets: general; meteorites, meteors, meteoroids; interplanetary medium; protoplanetary disks; astrobiology; methods: laboratory: solid state</t>
  </si>
  <si>
    <t>INSOLUBLE ORGANIC-MATTER; DIFFUSE INTERSTELLAR-MEDIUM; ATMOSPHERIC ENTRY; SOLAR-SYSTEM; ISOTOPIC COMPOSITIONS; SURFACE-COMPOSITION; COMET 81P/WILD-2; DUST PARTICLES; CARBON NITRIDE; CHONDRITES</t>
  </si>
  <si>
    <t>Context. Ultra Carbonaceous Antarctic Micro Meteorites (UCAMMs) represent a small fraction of interplanetary dust particles reaching the Earth's surface and contain large amounts of an organic component not found elsewhere. They are most probably sampling a contribution from the outer regions of the solar system to the local interplanetary dust particle (IDP) flux. Aims. We characterize UCAMMs composition focusing on the organic matter, and compare the results to the insoluble organic matter (IOM) from primitive meteorites, IDPs, and the Earth. Methods. We acquired synchrotron infrared microspectroscopy (mu FTIR) and mu Raman spectra of eight UCAMMs from the Concordia/CSNSM collection, as well as N/C atomic ratios determined with an electron microprobe. Results. The spectra are dominated by an organic component with a low aliphatic CH versus aromatic C = C ratio, and a higher nitrogen fraction and lower oxygen fraction compared to carbonaceous chondrites and IDPs. The UCAMMs carbonyl absorption band is in agreement with a ketone or aldehyde functional group. Some of the IR and Raman spectra show a C N band corresponding to a nitrile. The absorption band profile from 1400 to 1100 cm(-1) is compatible with the presence of C-N bondings in the carbonaceous network, and is spectrally different from that reported in meteorite IOM. We confirm that the silicate-to-carbon content in UCAMMs is well below that reported in IDPs and meteorites. Together with the high nitrogen abundance relative to carbon building the organic matter matrix, the most likely scenario for the formation of UCAMMs occurs via physicochemical mechanisms taking place in a cold nitrogen rich environment, like the surface of icy parent bodies in the outer solar system. The composition of UCAMMs provides an additional hint of the presence of a heliocentric positive gradient in the C/Si and N/C abundance ratios in the solar system protoplanetary disc evolution.</t>
  </si>
  <si>
    <t>[Dartois, E.] Univ Paris Saclay, Univ Paris Sud, CNRS, IAS, F-91405 Orsay, France; [Engrand, C.; Duprat, J.; Godard, M.; Charon, E.; Delauche, L.] Univ Paris Saclay, Univ Paris Sud, CNRS, CSNSM,IN2P3, F-91405 Orsay, France; [Sandt, C.; Borondics, F.] Synchrotron SOLEIL, BP48 St Aubin, F-91192 Gif Sur Yvette 91192, France</t>
  </si>
  <si>
    <t>Universite Paris Saclay; Centre National de la Recherche Scientifique (CNRS); Universite Paris Cite; Universite Paris Cite; Universite Paris Saclay; Centre National de la Recherche Scientifique (CNRS); CNRS - National Institute of Nuclear and Particle Physics (IN2P3); SOLEIL Synchrotron</t>
  </si>
  <si>
    <t>Dartois, E (corresponding author), Univ Paris Saclay, Univ Paris Sud, CNRS, IAS, F-91405 Orsay, France.</t>
  </si>
  <si>
    <t>emmanuel.dartois@ias.u-psud.fr</t>
  </si>
  <si>
    <t>Soleil, SMIS/I-3166-2014; Godard, Marie/H-6451-2011; Charon, Emeline/AAH-1468-2020; Charon, Emeline/O-7617-2018; Borondics, Ferenc/A-7616-2008</t>
  </si>
  <si>
    <t>Godard, Marie/0000-0002-7276-4021; Charon, Emeline/0000-0003-2034-9528; Borondics, Ferenc/0000-0001-9975-4301; Dartois, Emmanuel/0000-0003-1197-7143</t>
  </si>
  <si>
    <t>French INSU-CNRS program Physique et Chimie du Milieu Interstellaire (PCMI); ANR project COSMISME of the French Agence Nationale de la Recherche [ANR-2010-BLAN-0502]; ANR project OGRESSE of the French Agence Nationale de la Recherche [ANR-2011-BS56-026-01]; INSU; IN2P3; CNES; DIM-ACAV (Region Ile de France); CNRS; Universite Paris-Sud; French polar institute IPEV; French polar institute PNRA; Italian polar institute IPEV; Italian polar institute PNRA</t>
  </si>
  <si>
    <t>French INSU-CNRS program Physique et Chimie du Milieu Interstellaire (PCMI); ANR project COSMISME of the French Agence Nationale de la Recherche(Agence Nationale de la Recherche (ANR)); ANR project OGRESSE of the French Agence Nationale de la Recherche(Agence Nationale de la Recherche (ANR)); INSU(Centre National de la Recherche Scientifique (CNRS)); IN2P3; CNES(Centre National D'etudes Spatiales); DIM-ACAV (Region Ile de France)(Region Ile-de-France); CNRS(Centre National de la Recherche Scientifique (CNRS)); Universite Paris-Sud; French polar institute IPEV; French polar institute PNRA; Italian polar institute IPEV; Italian polar institute PNRA</t>
  </si>
  <si>
    <t>We acknowledge SOLEIL for the use of the synchrotron radiation facilities. The authors warmly thank Paul Dumas for the discussions and support over many years and for the successful realization of these experiments. The authors are grateful to Bruno Crane, Nicolas Szwec, and Silvin Herve for their help in the mechanical designs used to perform the experiments. We acknowledge Y. Kebukawa for kindly providing us with her original data. The authors would like to cordially thank Martin David Suttle for his constructive comments. Part of the equipment used in this work has been financed by the French INSU-CNRS program Physique et Chimie du Milieu Interstellaire (PCMI). The measurements of the N/C with the electron microprobe were performed thanks to the CAMPARIS team at Jussieu. This work was supported by the ANR projects COSMISME (Grant ANR-2010-BLAN-0502) and OGRESSE (Grant ANR-2011-BS56-026-01) of the French Agence Nationale de la Recherche as well as INSU, IN2P3, CNES, DIM-ACAV (Region Ile de France), CNRS, and Universite Paris-Sud. This work is part of the JWST emblematic project from the LABEX-P2IO. We are also grateful to the French and Italian polar institutes IPEV and PNRA, for their financial and logistic support of the micrometeorites Concordia collection.</t>
  </si>
  <si>
    <t>EDP SCIENCES S A</t>
  </si>
  <si>
    <t>LES ULIS CEDEX A</t>
  </si>
  <si>
    <t>17, AVE DU HOGGAR, PA COURTABOEUF, BP 112, F-91944 LES ULIS CEDEX A, FRANCE</t>
  </si>
  <si>
    <t>1432-0746</t>
  </si>
  <si>
    <t>ASTRON ASTROPHYS</t>
  </si>
  <si>
    <t>Astron. Astrophys.</t>
  </si>
  <si>
    <t>JAN 8</t>
  </si>
  <si>
    <t>A65</t>
  </si>
  <si>
    <t>10.1051/0004-6361/201731322</t>
  </si>
  <si>
    <t>FS7RP</t>
  </si>
  <si>
    <t>Green Submitted, Bronze</t>
  </si>
  <si>
    <t>WOS:000419995800007</t>
  </si>
  <si>
    <t>Mikkelsen, TB; Grinsted, A; Ditlevsen, P</t>
  </si>
  <si>
    <t>Mikkelsen, Troels Bogeholm; Grinsted, Aslak; Ditlevsen, Peter</t>
  </si>
  <si>
    <t>Influence of temperature fluctuations on equilibrium ice sheet volume</t>
  </si>
  <si>
    <t>FUTURE SEA-LEVEL; STOCHASTIC CLIMATE MODELS; PINE ISLAND GLACIER; GREENLAND; DYNAMICS; VARIABILITY; SENSITIVITY; RETREAT; DRIVEN; SCALE</t>
  </si>
  <si>
    <t>Forecasting the future sea level relies on accurate modeling of the response of the Greenland and Antarctic ice sheets to changing temperatures. The surface mass balance (SMB) of the Greenland Ice Sheet (GrIS) has a nonlinear response to warming. Cold and warm anomalies of equal size do not cancel out and it is therefore important to consider the effect of interannual fluctuations in temperature. We find that the steady-state volume of an ice sheet is biased toward larger size if interannual temperature fluctuations are not taken into account in numerical modeling of the ice sheet. We illustrate this in a simple ice sheet model and find that the equilibrium ice volume is approximately 1 m SLE (meters sea level equivalent) smaller when the simple model is forced with fluctuating temperatures as opposed to a stable climate. It is therefore important to consider the effect of interannual temperature fluctuations when designing long experiments such as paleo-spin-ups. We show how the magnitude of the potential bias can be quantified statistically. For recent simulations of the Greenland Ice Sheet, we estimate the bias to be 30 Gtyr(-1) (24-59 Gt yr(-1), 95% credibility) for a warming of 3 degrees C above preindustrial values, or 13% (10-25, 95% credibility) of the present-day rate of ice loss. Models of the Greenland Ice Sheet show a collapse threshold beyond which the ice sheet becomes unsustainable. The proximity of the threshold will be underestimated if temperature fluctuations are not taken into account. We estimate the bias to be 0.12 degrees C (0.10-0.18 degrees C, 95% credibility) for a recent estimate of the threshold. In light of our findings it is important to gauge the extent to which this increased variability will influence the mass balance of the ice sheets.</t>
  </si>
  <si>
    <t>[Mikkelsen, Troels Bogeholm; Grinsted, Aslak; Ditlevsen, Peter] Niels Bohr Inst, Ctr Ice &amp; Climate, Juliane Maries Vej 30, DK-2100 Copenhagen O, Denmark</t>
  </si>
  <si>
    <t>University of Copenhagen; Niels Bohr Institute</t>
  </si>
  <si>
    <t>Mikkelsen, TB (corresponding author), Niels Bohr Inst, Ctr Ice &amp; Climate, Juliane Maries Vej 30, DK-2100 Copenhagen O, Denmark.</t>
  </si>
  <si>
    <t>bogeholm@nbi.ku.dk</t>
  </si>
  <si>
    <t>Grinsted, Aslak/J-9273-2012; Mikkelsen, Troels/P-2587-2016; Mikkelsen, Troels/P-5435-2015</t>
  </si>
  <si>
    <t>Grinsted, Aslak/0000-0003-1634-6009; Ditlevsen, Peter/0000-0003-2120-7732; Mikkelsen, Troels/0000-0003-3904-1048</t>
  </si>
  <si>
    <t>Centre for Ice and Climate from the University of Copenhagen; DSIN from the University of Copenhagen</t>
  </si>
  <si>
    <t>We would like to thank Johannes Oerlemans for providing the original code for his model and Alexander Robinson for being very helpful in providing the data from their study. We are very grateful to Xavier Fettweis, Gerard Roe and an anonymous reviewer for valuable comments and suggestions that helped improve this paper. This work is part of the Dynamical Systems Interdisciplinary Network (DSIN) - Troels Bogeholm Mikkelsen was financially supported by the Centre for Ice and Climate and the DSIN, both from the University of Copenhagen.</t>
  </si>
  <si>
    <t>10.5194/tc-12-39-2018</t>
  </si>
  <si>
    <t>FS1IV</t>
  </si>
  <si>
    <t>WOS:000419530400002</t>
  </si>
  <si>
    <t>Carvalho, EL; Maciel, LF; Macedo, PE; Dezordi, FZ; Abreu, MET; Victória, FD; Pereira, AB; Boldo, JT; Wallau, GD; Pinto, PM</t>
  </si>
  <si>
    <t>Carvalho, Evelise L.; Maciel, Lucas F.; Macedo, Pablo E.; Dezordi, Filipe Z.; Abreu, Maria E. T.; Victoria, Filipe de Carvalho; Pereira, Antonio B.; Boldo, Juliano T.; Wallau, Gabriel da Luz; Pinto, Paulo M.</t>
  </si>
  <si>
    <t>De novo Assembly and Annotation of the Antarctic Alga Prasiola crispa Transcriptome</t>
  </si>
  <si>
    <t>FRONTIERS IN MOLECULAR BIOSCIENCES</t>
  </si>
  <si>
    <t>Article; Data Paper</t>
  </si>
  <si>
    <t>RNA-seq; Trebouxiophyceae; Prasiolales; transcriptome; extreme environments; anti-freeze proteins</t>
  </si>
  <si>
    <t>TREBOUXIOPHYCEAE; DESICCATION; GENERATION; ALIGNMENT</t>
  </si>
  <si>
    <t>[Carvalho, Evelise L.; Maciel, Lucas F.; Macedo, Pablo E.; Dezordi, Filipe Z.; Abreu, Maria E. T.; Boldo, Juliano T.; Pinto, Paulo M.] Fed Univ Pampa, Appl Prote Lab, Sao Gabriel, Brazil; [Victoria, Filipe de Carvalho; Pereira, Antonio B.] Fed Univ Pampa, Nucleo Estudos Vegetacao Antartica, Sao Gabriel, Brazil; [Wallau, Gabriel da Luz] Aggeu Magalhaes Inst IAM, Dept Entomol, Recife, PE, Brazil</t>
  </si>
  <si>
    <t>Universidade Federal do Pampa; Universidade Federal do Pampa</t>
  </si>
  <si>
    <t>Pinto, PM (corresponding author), Fed Univ Pampa, Appl Prote Lab, Sao Gabriel, Brazil.</t>
  </si>
  <si>
    <t>paulopinto@unipampa.edu.br</t>
  </si>
  <si>
    <t>Pereira, Antonio/AAD-5703-2019; Pinto, Paulo Marcos/O-4358-2019; Maciel, Lucas F/P-4642-2019; Pereira, Antonio B/I-8201-2014; Victoria, Filipe C/E-1890-2012; Pinto, Paulo Marcos/JCD-9191-2023; Wallau, Gabriel/B-5911-2008; Victoria, Filipe/F-6066-2013; Dezordi, Filipe/J-4583-2019</t>
  </si>
  <si>
    <t>Pinto, Paulo Marcos/0000-0002-8513-0335; Maciel, Lucas F/0000-0003-2220-7072; Pereira, Antonio B/0000-0003-0368-4594; Wallau, Gabriel/0000-0002-1419-5713; Victoria, Filipe/0000-0002-8580-1813; Dezordi, Filipe/0000-0003-3259-3456</t>
  </si>
  <si>
    <t>National Council for Scientific and Technological Development (CNPq-Brazil); Coordination for the Improvement of Higher Education Personnel (CAPES-Brazil); Fundacao de Amparo a Pesquisa do Estado do Rio Grande do Sul (FAPERGS-Brazil); National Institute of Science and Technology-Antarctic Environmental Research (INCT-APA); Bioinformatic Core at the Aggeu Magalhaes Institute</t>
  </si>
  <si>
    <t>National Council for Scientific and Technological Development (CNPq-Brazil)(Conselho Nacional de Desenvolvimento Cientifico e Tecnologico (CNPQ)); Coordination for the Improvement of Higher Education Personnel (CAPES-Brazil)(Coordenacao de Aperfeicoamento de Pessoal de Nivel Superior (CAPES)); Fundacao de Amparo a Pesquisa do Estado do Rio Grande do Sul (FAPERGS-Brazil)(Fundacao de Amparo a Ciencia e Tecnologia do Estado do Rio Grande do Sul (FAPERGS)); National Institute of Science and Technology-Antarctic Environmental Research (INCT-APA); Bioinformatic Core at the Aggeu Magalhaes Institute</t>
  </si>
  <si>
    <t>This work was supported by the National Council for Scientific and Technological Development (CNPq-Brazil), the Coordination for the Improvement of Higher Education Personnel (CAPES-Brazil), the Fundacao de Amparo a Pesquisa do Estado do Rio Grande do Sul (FAPERGS-Brazil) and National Institute of Science and Technology-Antarctic Environmental Research (INCT-APA). We thank the Bioinformatic Core at the Aggeu Magalhaes Institute for the support with the bioinformatic analysis. This is for Sofia.</t>
  </si>
  <si>
    <t>2296-889X</t>
  </si>
  <si>
    <t>FRONT MOL BIOSCI</t>
  </si>
  <si>
    <t>Front. Mol. Biosci.</t>
  </si>
  <si>
    <t>10.3389/fmolb.2017.00089</t>
  </si>
  <si>
    <t>Biochemistry &amp; Molecular Biology</t>
  </si>
  <si>
    <t>HG7SQ</t>
  </si>
  <si>
    <t>WOS:000455195200001</t>
  </si>
  <si>
    <t>Dejardin, R; Kender, S; Allen, CS; Leng, MJ; Swann, GEA; Peck, VL</t>
  </si>
  <si>
    <t>Dejardin, Rowan; Kender, Sev; Allen, Claire S.; Leng, Melanie J.; Swann, George E. A.; Peck, Victoria L.</t>
  </si>
  <si>
    <t>5 Live (stained) benthic foraminiferal living depths, stable isotopes, and taxonomy offshore South Georgia, Southern Ocean: implications for calcification depths</t>
  </si>
  <si>
    <t>JOURNAL OF MICROPALAEONTOLOGY</t>
  </si>
  <si>
    <t>RECENT BENTHONIC FORAMINIFERA; SUB-ANTARCTIC ISLAND; CARBON ISOTOPES; PHYTODETRITUS PULSE; DEAD FORAMINIFERA; ORGANIC-MATTER; WEDDELL SEA; SAGAMI-BAY; VARIABILITY; ECOLOGY</t>
  </si>
  <si>
    <t>It is widely held that benthic foraminifera exhibit species-specific calcification depth preferences, with their tests recording sediment pore water chemistry at that depth (i.e. stable isotope and trace metal compositions). This assumed depth-habitat-specific pore water chemistry relationship has been used to reconstruct various palaeoenvironmental parameters, such as bottom water oxygenation. However, many deep-water foraminiferal studies show wide intra-species variation in sediment living depth but relatively narrow intra-species variation in stable isotope composition. To investigate this depth-habitat-stable-isotope relationship on the shelf, we analysed depth distribution and stable isotopes of living (Rose Bengal stained) benthic foraminifera from two box cores collected on the South Georgia shelf (ranging from 250 to 300m water depth). We provide a comprehensive taxonomic analysis of the benthic fauna, comprising 79 taxonomic groupings. The fauna shows close affinities with shelf assemblages from around Antarctica. We find live specimens of a number of calcareous species from a range of depths in the sediment column. Stable isotope ratios (delta C-13 and delta O-18) were measured on stained specimens of three species, Astrononion echolsi, Cassidulinoides porrectus, and Buccella sp. 1, at 1 cm depth intervals within the downcore sediment sequences. In agreement with studies in deep-water settings, we find no significant intra-species variability in either delta C-13(foram) or delta O-18(foram) with sediment living depth on the South Georgia shelf. Our findings add to the growing evidence that infaunal benthic foraminiferal species calcify at a fixed depth. Given the wide range of depths at which we find living, infaunal species, we speculate that they may actually calcify predominantly at the sediment-seawater interface, where carbonate ion concentration and organic carbon availability is at a maximum.</t>
  </si>
  <si>
    <t>[Dejardin, Rowan; Leng, Melanie J.; Swann, George E. A.] Univ Nottingham, Sch Geog, Ctr Environm Geochem, Univ Pk, Nottingham NG7 2RD, England; [Kender, Sev] Univ Exeter, Camborne Sch Mines, Penryn TR10 9FE, Cornwall, England; [Kender, Sev] British Geol Survey, Keyworth NG12 5GG, Notts, England; [Allen, Claire S.; Peck, Victoria L.] British Antarctic Survey, Madingley Rd, Cambridge CB3 0ET, England; [Leng, Melanie J.] British Geol Survey, NERC Isotope Geosci Facil, Keyworth NG12 5GG, Notts, England</t>
  </si>
  <si>
    <t>University of Nottingham; University of Exeter; UK Research &amp; Innovation (UKRI); Natural Environment Research Council (NERC); NERC British Geological Survey; UK Research &amp; Innovation (UKRI); Natural Environment Research Council (NERC); NERC British Antarctic Survey; UK Research &amp; Innovation (UKRI); Natural Environment Research Council (NERC); NERC British Geological Survey</t>
  </si>
  <si>
    <t>Dejardin, R (corresponding author), Univ Nottingham, Sch Geog, Ctr Environm Geochem, Univ Pk, Nottingham NG7 2RD, England.</t>
  </si>
  <si>
    <t>rowan.dejardin@nottingham.ac.uk</t>
  </si>
  <si>
    <t>Swann, George/B-2794-2011; Kender, Sev/B-9409-2016</t>
  </si>
  <si>
    <t>Swann, George/0000-0002-4750-9504; Leng, Melanie/0000-0003-1115-5166; Kender, Sev/0000-0003-4216-3214</t>
  </si>
  <si>
    <t>Centre for Environmental Geochemistry (University of Nottingham); Centre for Environmental Geochemistry (British Geological Survey); BGS-University Funding Initiative (BUFI); British Antarctic Survey Collaborative Gearing Scheme; NERC Isotope Geoscience Facility grant [IP/1495/1114]; NERC [NE/S00954X/1, nigl010001, bosc01001, bas0100030] Funding Source: UKRI</t>
  </si>
  <si>
    <t>Centre for Environmental Geochemistry (University of Nottingham); Centre for Environmental Geochemistry (British Geological Survey); BGS-University Funding Initiative (BUFI); British Antarctic Survey Collaborative Gearing Scheme; NERC Isotope Geoscience Facility grant; NERC(UK Research &amp; Innovation (UKRI)Natural Environment Research Council (NERC))</t>
  </si>
  <si>
    <t>This study forms part of a doctoral project carried out by Rowan Dejardin, funded by the Centre for Environmental Geochemistry (University of Nottingham and the British Geological Survey) and supported by BGS-University Funding Initiative (BUFI). We thank the officers, crew, and scientific party on board the RRS James Clark Ross during scientific cruises JR257 and JC15002. Participation in cruise JR15002 by Rowan Dejardin was funded by the British Antarctic Survey Collaborative Gearing Scheme. We thank Hilary Sloane and Jack Lacey (BGS) for analytical assistance and Tony Milodowski and Gren Turner for their assistance generating the SEM images. We also thank the editor, Laia Alegret, one anonymous reviewer, and Wojciech Majewski for their insightful comments, which helped to strengthen this paper. This project was supported by NERC Isotope Geoscience Facility grant IP/1495/1114 (RCUK).</t>
  </si>
  <si>
    <t>0262-821X</t>
  </si>
  <si>
    <t>2041-4978</t>
  </si>
  <si>
    <t>J MICROPALAEONTOL</t>
  </si>
  <si>
    <t>J. Micropalaentol.</t>
  </si>
  <si>
    <t>JAN 5</t>
  </si>
  <si>
    <t>10.5194/jm-37-25-2018</t>
  </si>
  <si>
    <t>Paleontology</t>
  </si>
  <si>
    <t>FS5EK</t>
  </si>
  <si>
    <t>gold, Green Submitted, Green Accepted</t>
  </si>
  <si>
    <t>WOS:000419816200005</t>
  </si>
  <si>
    <t>Van De Vijver, B; Dessein, S</t>
  </si>
  <si>
    <t>Van De Vijver, Bart; Dessein, Steven</t>
  </si>
  <si>
    <t>Cyclotella deceusteriana, a new centric diatom species (Bacillariophyta) from the sub-Antarctic Region</t>
  </si>
  <si>
    <t>PHYTOTAXA</t>
  </si>
  <si>
    <t>Sub-Antarctica; centric diatoms; Cyclotella; new species; morphology</t>
  </si>
  <si>
    <t>FRESH-WATER; SP-NOV.; GENUS; STEPHANODISCACEAE; CYCLOSTEPHANOS; MENEGHINIANA; DIVERSITY; ECOLOGY</t>
  </si>
  <si>
    <t>During a survey of the freshwater diatom flora of the sub-Antarctic region (Iles Kerguelen and Iles Crozet) in the southern Indian Ocean, an unknown Cyclotella taxon was observed that was formerly identified as the presumed cosmopolitan C. meneghiniana. Detailed morphological analysis based on light and scanning electron microscopical observations and comparison with several similar Cyclotella taxa worldwide justified the description of this unknown taxon as a new species: Cyclotella deceusteriana sp. nov. The new taxon is characterized by the presence of marginal fultoportulae on every costa, hyaline furrows between the raised marginal parts on which the striae are located, two, occasionally one or three, central fultoportulae and an entirely almost flat, smooth, a smaller central area than in most other Cyclotella species, lacking granules, short spines or other protuberances. The new species is described and compared with other Cyclotella taxa. Notes on its distribution and ecology are added.</t>
  </si>
  <si>
    <t>[Van De Vijver, Bart; Dessein, Steven] Bot Garden Meise, Dept Res, Nieuwelaan 38, B-1860 Meise, Belgium; [Van De Vijver, Bart] Univ Antwerp, Dept Biol, ECOBE, Univ Pl 1, B-2610 Antwerp, Belgium</t>
  </si>
  <si>
    <t>University of Antwerp</t>
  </si>
  <si>
    <t>Van De Vijver, B (corresponding author), Bot Garden Meise, Dept Res, Nieuwelaan 38, B-1860 Meise, Belgium.;Van De Vijver, B (corresponding author), Univ Antwerp, Dept Biol, ECOBE, Univ Pl 1, B-2610 Antwerp, Belgium.</t>
  </si>
  <si>
    <t>bart.vandevijver@plantentuinmeise.be</t>
  </si>
  <si>
    <t>Institut Polaire Francais-Paul-Emile Victor (IPEV) in the frame of the Terrestrial Ecology program [136]</t>
  </si>
  <si>
    <t>Institut Polaire Francais-Paul-Emile Victor (IPEV) in the frame of the Terrestrial Ecology program</t>
  </si>
  <si>
    <t>Sampling on Iles Crozet and Iles Kerguelen was made possible with the logistic and financial support of the Institut Polaire Francais-Paul-Emile Victor (IPEV) in the frame of the Terrestrial Ecology program 136 (Yves Frenot &amp; Marc Lebouvier). This study was further supported by the BELSPO MICROBIAN project to visit the National History Museum in London, UK. Alex Ball and the staff of the IAC laboratory at the Natural History Museum are thanked for their help with the scanning electron microscopy. Two anonymous reviewers and the editor are thanked for valuable remarks that improved greatly this manuscript.</t>
  </si>
  <si>
    <t>1179-3155</t>
  </si>
  <si>
    <t>1179-3163</t>
  </si>
  <si>
    <t>Phytotaxa</t>
  </si>
  <si>
    <t>10.11646/phytotaxa.333.1.8</t>
  </si>
  <si>
    <t>FS4BT</t>
  </si>
  <si>
    <t>WOS:000419733100008</t>
  </si>
  <si>
    <t>Marina, TI; Salinas, V; Cordone, G; Campana, G; Moreira, E; Deregibus, D; Torre, L; Sahade, R; Tatián, M; Oro, EB; De Troch, M; Doyle, S; Quartino, ML; Saravia, LA; Momo, FR</t>
  </si>
  <si>
    <t>Marina, Tomas I.; Salinas, Vanesa; Cordone, Georgina; Campana, Gabriela; Moreira, Eugenia; Deregibus, Dolores; Torre, Luciana; Sahade, Ricardo; Tatian, Marcos; Barrera Oro, Esteban; De Troch, Marleen; Doyle, Santiago; Liliana Quartino, Maria; Saravia, Leonardo A.; Momo, Fernando R.</t>
  </si>
  <si>
    <t>The Food Web of Potter Cove (Antarctica): complexity, structure and function</t>
  </si>
  <si>
    <t>ESTUARINE COASTAL AND SHELF SCIENCE</t>
  </si>
  <si>
    <t>Ecological networks; Structure; Degree distribution; Marine ecosystem; Antarctica</t>
  </si>
  <si>
    <t>SOUTH SHETLAND ISLANDS; TROPHIC STRUCTURE; TOPOLOGICAL PROPERTIES; NETWORK STRUCTURE; BIODIVERSITY LOSS; MCMURDO SOUND; PATTERNS; CONNECTANCE; ROBUSTNESS; STABILITY</t>
  </si>
  <si>
    <t>Knowledge of the food web structure and complexity are central to better understand ecosystem functioning. A food-web approach includes both species and energy flows among them, providing a natural framework for characterizing species' ecological roles and the mechanisms through which biodiversity influences ecosystem dynamics. Here we present for the first time a high-resolution food web for a marine ecosystem at Potter Cove (northern Antarctic Peninsula). Eleven food web properties were analyzed in order to document network complexity, structure and topology. We found a low linkage density (3.4), connectance (0.04) and omnivory percentage (45), as well as a short path length (1.8) and a low clustering coefficient (0.08). Furthermore, relating the structure of the food web to its dynamics, an exponential degree distribution (in- and out-links) was found. This suggests that the Potter Cove food web may be vulnerable if the most connected species became locally extinct. For two of the three more connected functional groups, competition overlap graphs imply high trophic interaction between demersal fish and niche specialization according to feeding strategies in amphipods. On the other hand, the prey overlap graph shows also that multiple energy pathways of carbon flux exist across benthic and pelagic habitats in the Potter Cove ecosystem. Although alternative food sources might add robustness to the web, network properties (low linkage density, connectance and omnivory) suggest fragility and potential trophic cascade effects. (C) 2017 Elsevier Ltd. All rights reserved.</t>
  </si>
  <si>
    <t>[Marina, Tomas I.; Salinas, Vanesa; Cordone, Georgina; Barrera Oro, Esteban] Consejo Nacl Invest Cient &amp; Tecn, Buenos Aires, DF, Argentina; [Marina, Tomas I.; Salinas, Vanesa; Cordone, Georgina; Doyle, Santiago; Saravia, Leonardo A.; Momo, Fernando R.] Univ Nacl Gen Sarmiento, Inst Ciencias, JM Gutierrez 1150, RA-1613 Los Polvorines, Argentina; [Marina, Tomas I.; Campana, Gabriela; Momo, Fernando R.] Univ Nacl Lujan, INEDES, CC 221, RA-6700 Lujan, Argentina; [Campana, Gabriela; Moreira, Eugenia; Deregibus, Dolores; Liliana Quartino, Maria] Inst Antartico Argentina, Cerrito 1248,C1010AAZ, Buenos Aires, DF, Argentina; [Torre, Luciana; Sahade, Ricardo; Tatian, Marcos] Univ Nacl Cordoba, Fac Ciencias Exactas Fis &amp; Nat, Av Velez Sarsfield 299, RA-5000 Cordoba, Argentina; [Torre, Luciana; Sahade, Ricardo; Tatian, Marcos] Consejo Nacl Invest Cient &amp; Tecn, Inst Diversidad &amp; Ecol Anim, Buenos Aires, DF, Argentina; [De Troch, Marleen] Univ Ghent, Marine Biol, Krijgslaan 281-S8, B-9000 Ghent, Belgium; [Barrera Oro, Esteban] Museo Argentino Ciencias Nat Bernardino Rivadavia, Av A Gallardo 470,C1405DJR, Buenos Aires, DF, Argentina</t>
  </si>
  <si>
    <t>Consejo Nacional de Investigaciones Cientificas y Tecnicas (CONICET); Universidad Nacional de Lujan; Instituto Antartico Argentino; National University of Cordoba; Consejo Nacional de Investigaciones Cientificas y Tecnicas (CONICET); Ghent University; Museo Argentino de Ciencias Naturales Bernardino Rivadavia (MACN)</t>
  </si>
  <si>
    <t>Marina, TI (corresponding author), Univ Nacl Gen Sarmiento, Inst Ciencias, JM Gutierrez 1150, RA-1613 Los Polvorines, Argentina.</t>
  </si>
  <si>
    <t>tomasimarina@gmail.com</t>
  </si>
  <si>
    <t>Salinas, Vanesa/HLQ-5725-2023; De Troch, Marleen/AAB-9809-2019; Momo, Fernando R/E-3426-2012; Saravia, Leonardo/AAM-3461-2021; Marina, Tomas Ignacio/U-3460-2018</t>
  </si>
  <si>
    <t>De Troch, Marleen/0000-0002-6800-0299; Momo, Fernando R/0000-0003-0710-1149; Saravia, Leonardo/0000-0002-7911-4398; Salinas, Vanesa/0000-0002-2049-3450; Marina, Tomas Ignacio/0000-0002-9203-7411; Campana, Gabriela Laura/0000-0002-6507-2369; Tatian, Marcos/0000-0002-9092-9184; MOREIRA, EUGENIA/0000-0002-3704-1696; Torre, Luciana/0000-0002-2090-1258; Cordone, Georgina Florencia/0000-0003-2883-7964</t>
  </si>
  <si>
    <t>Consejo Nacional de Investigaciones Cientfficas y Tecnicas (CONICET, Argentina); Universidad Nacional de General Sarmiento; Alfred Wegener Institute for Polar and Marine Research (AWI, Germany); CONICET Argentina [PIO 14420140100035CO]; Marie Curie Action IRSES [319718]</t>
  </si>
  <si>
    <t>Consejo Nacional de Investigaciones Cientfficas y Tecnicas (CONICET, Argentina)(Consejo Nacional de Investigaciones Cientificas y Tecnicas (CONICET)); Universidad Nacional de General Sarmiento; Alfred Wegener Institute for Polar and Marine Research (AWI, Germany); CONICET Argentina(Consejo Nacional de Investigaciones Cientificas y Tecnicas (CONICET)); Marie Curie Action IRSES(Marie Curie ActionsEuropean Union (EU))</t>
  </si>
  <si>
    <t>This research was supported by Consejo Nacional de Investigaciones Cientfficas y Tecnicas (CONICET, Argentina), Universidad Nacional de General Sarmiento and Alfred Wegener Institute for Polar and Marine Research (AWI, Germany). The work was partially funded by PIO 14420140100035CO CONICET Argentina and conducted in the frames of the EU research network IMCONet funded by the Marie Curie Action IRSES (FP7 IRSES, Action No. 319718). We thank Dave K.A. Barnes for constructive suggestions on language aspects, which helped us to improve the manuscript.</t>
  </si>
  <si>
    <t>ACADEMIC PRESS LTD- ELSEVIER SCIENCE LTD</t>
  </si>
  <si>
    <t>24-28 OVAL RD, LONDON NW1 7DX, ENGLAND</t>
  </si>
  <si>
    <t>0272-7714</t>
  </si>
  <si>
    <t>1096-0015</t>
  </si>
  <si>
    <t>ESTUAR COAST SHELF S</t>
  </si>
  <si>
    <t>Estuar. Coast. Shelf Sci.</t>
  </si>
  <si>
    <t>10.1016/j.ecss.2017.10.015</t>
  </si>
  <si>
    <t>Marine &amp; Freshwater Biology; Oceanography</t>
  </si>
  <si>
    <t>FV1GE</t>
  </si>
  <si>
    <t>WOS:000424308600013</t>
  </si>
  <si>
    <t>Bereiter, B; Shackleton, S; Baggenstos, D; Kawamura, K; Severinghaus, J</t>
  </si>
  <si>
    <t>Bereiter, Bernhard; Shackleton, Sarah; Baggenstos, Daniel; Kawamura, Kenji; Severinghaus, Jeff</t>
  </si>
  <si>
    <t>Mean global ocean temperatures during the last glacial transition</t>
  </si>
  <si>
    <t>NATURE</t>
  </si>
  <si>
    <t>ABRUPT CLIMATE-CHANGE; SOUTHERN-OCEAN; SEA-LEVEL; ICE-CORE; ATMOSPHERIC CO2; TRAPPED AIR; NOBLE-GASES; POLAR ICE; WATER; CIRCULATION</t>
  </si>
  <si>
    <t>Little is known about the ocean temperature's long-term response to climate perturbations owing to limited observations and a lack of robust reconstructions. Although most of the anthropogenic heat added to the climate system has been taken up by the ocean up until now, its role in a century and beyond is uncertain. Here, using noble gases trapped in ice cores, we show that the mean global ocean temperature increased by 2.57 +/- 0.24 degrees Celsius over the last glacial transition (20,000 to 10,000 years ago). Our reconstruction provides unprecedented precision and temporal resolution for the integrated global ocean, in contrast to the depth-, region-, organism-and season-specific estimates provided by other methods. We find that the mean global ocean temperature is closely correlated with Antarctic temperature and has no lead or lag with atmospheric CO2, thereby confirming the important role of Southern Hemisphere climate in global climate trends. We also reveal an enigmatic 700-year warming during the early Younger Dryas period (about 12,000 years ago) that surpasses estimates of modern ocean heat uptake.</t>
  </si>
  <si>
    <t>[Bereiter, Bernhard; Shackleton, Sarah; Baggenstos, Daniel; Severinghaus, Jeff] Univ Calif San Diego, Scripps Inst Oceanog, La Jolla, CA 92037 USA; [Bereiter, Bernhard; Baggenstos, Daniel] Univ Bern, Climate &amp; Environm Phys, Phys Inst, CH-3012 Bern, Switzerland; [Bereiter, Bernhard; Baggenstos, Daniel] Univ Bern, Oeschger Ctr Climate Res, CH-3012 Bern, Switzerland; [Bereiter, Bernhard] Empa, Lab Air Pollut Environm Technol, CH-8600 Dubendorf, Switzerland; [Kawamura, Kenji] Natl Inst Polar Res, Res Org Informat &amp; Syst, 10-3 Midori Cho, Tachikawa, Tokyo 1908518, Japan; [Kawamura, Kenji] Grad Univ Adv Studies SOKENDAI, Dept Polar Sci, 10-3 Midori Cho, Tachikawa, Tokyo 1908518, Japan; [Kawamura, Kenji] Japan Agcy Marine Earth Sci &amp; Technol, Inst Biogeosci, 2-15 Natsushima Cho, Yokosuka, Kanagawa 2370061, Japan</t>
  </si>
  <si>
    <t>University of California System; University of California San Diego; Scripps Institution of Oceanography; University of Bern; University of Bern; Swiss Federal Institutes of Technology Domain; Swiss Federal Laboratories for Materials Science &amp; Technology (EMPA); Research Organization of Information &amp; Systems (ROIS); National Institute of Polar Research (NIPR) - Japan; Graduate University for Advanced Studies - Japan; Japan Agency for Marine-Earth Science &amp; Technology (JAMSTEC)</t>
  </si>
  <si>
    <t>Bereiter, B (corresponding author), Univ Calif San Diego, Scripps Inst Oceanog, La Jolla, CA 92037 USA.;Bereiter, B (corresponding author), Univ Bern, Climate &amp; Environm Phys, Phys Inst, CH-3012 Bern, Switzerland.;Bereiter, B (corresponding author), Univ Bern, Oeschger Ctr Climate Res, CH-3012 Bern, Switzerland.;Bereiter, B (corresponding author), Empa, Lab Air Pollut Environm Technol, CH-8600 Dubendorf, Switzerland.</t>
  </si>
  <si>
    <t>bereiter@climate.unibe.ch</t>
  </si>
  <si>
    <t>Baggenstos, Daniel/AAK-5751-2021; Kawamura, Kenji/C-7660-2011</t>
  </si>
  <si>
    <t>Baggenstos, Daniel/0000-0001-9756-6884; Shackleton, Sarah/0000-0001-5927-1954; Kawamura, Kenji/0000-0003-1163-700X</t>
  </si>
  <si>
    <t>Swiss National Science Foundation [P2BEP2_152071]; US National Science Foundation [05-38630, 09-44343]; JSPS KAKENHI [21671001, 26241011, 15KK0027, 17H06320]; Swiss National Science Foundation (SNF) [P2BEP2_152071] Funding Source: Swiss National Science Foundation (SNF); Grants-in-Aid for Scientific Research [26241011, 15KK0027] Funding Source: KAKEN</t>
  </si>
  <si>
    <t>Swiss National Science Foundation(Swiss National Science Foundation (SNSF)); US National Science Foundation(National Science Foundation (NSF)); JSPS KAKENHI(Ministry of Education, Culture, Sports, Science and Technology, Japan (MEXT)Japan Society for the Promotion of ScienceGrants-in-Aid for Scientific Research (KAKENHI)); Swiss National Science Foundation (SNF)(Swiss National Science Foundation (SNSF)); Grants-in-Aid for Scientific Research(Ministry of Education, Culture, Sports, Science and Technology, Japan (MEXT)Japan Society for the Promotion of ScienceGrants-in-Aid for Scientific Research (KAKENHI))</t>
  </si>
  <si>
    <t>This work was supported by the Swiss National Science Foundation (scholarship P2BEP2_152071), by the US National Science Foundation (grants 05-38630 and 09-44343 to J.S.) and by the JSPS KAKENHI (grants 21671001, 26241011, 15KK0027 and 17H06320 to K.K.). We thank C. Buizert for providing the WAIS divide past firn temperature modelling results and P. Pfister for providing the Bern3D model results. We are deeply indebted to many participants in the WAIS Divide project and especially thank K. Taylor, M. Twickler, the National Ice Core Laboratory, the Ice Drilling Design and Operations (IDDO) for ice drilling, the New York Air National Guard for airlift, and the Office of Polar Programs of the US National Science Foundation. R. Keeling first provided the idea for the noble-gas-based determination of mean ocean temperature.</t>
  </si>
  <si>
    <t>0028-0836</t>
  </si>
  <si>
    <t>1476-4687</t>
  </si>
  <si>
    <t>Nature</t>
  </si>
  <si>
    <t>JAN 4</t>
  </si>
  <si>
    <t>+</t>
  </si>
  <si>
    <t>10.1038/nature25152</t>
  </si>
  <si>
    <t>FS4NI</t>
  </si>
  <si>
    <t>Green Accepted, Green Published</t>
  </si>
  <si>
    <t>WOS:000419769300025</t>
  </si>
  <si>
    <t>Verheye, ML; Lörz, AN; D'Acoz, CD</t>
  </si>
  <si>
    <t>Verheye, Marie L.; Loerz, Anne-Nina; D'Acoz, Cedric D'Udekem</t>
  </si>
  <si>
    <t>Epimeria cleo sp nov., a new crested amphipod from the Ross Sea, Antarctica, with notes on its phylogenetic affinities (Crustacea, Amphipoda, Eusiroidea, Epimeriidae)</t>
  </si>
  <si>
    <t>Antarctica; taxonomy; Amphipoda; Crustacea; Epimeriidae; Epimeria</t>
  </si>
  <si>
    <t>GENUS EPIMERIA; MODELS</t>
  </si>
  <si>
    <t>A new crested amphipod, Epimeria cleo sp. nov., is described after specimens collected in the western Ross Sea, Southern Ocean, at 151-409 m depth. This increases the number of Epimeria species known from the Ross Sea to eleven. This new species belongs to the subgenus Drakepimeria d'Udekem d'Acoz &amp; Verheye, 2017. E. cleo sp. nov. has very robust walking pereiopods, no mid-dorsal tooth or bump on pereonites 1-2, no lateral tooth or angle on the lateral carina of coxa 4 and no pair of small teeth pointing upwards on urosomite 2. It is morphologically very similar to Epimeria leukhoplites d'Udekem d'Acoz &amp; Verheye, 2017, E. reoproi Lorz &amp; Coleman, 2001 and E. vaderi Coleman, 1998, the latter three species being known only from the Antarctic Peninsula and South Shetland Islands. Epimeria cleo sp. nov. can be distinguished from them by the following combination of characters: flexed rostrum, narrow coxa 3, long ventral tooth on coxa 4 and non-duplicate lateral tooth on pleonites 1-2. The phylogenetic relationships between E. cleo sp. nov. and other Epimeria of the subgenus Drakepimeria, for which DNA sequences are available, are briefly outlined based on a phylogenetic analysis of 28S rDNA fragments.</t>
  </si>
  <si>
    <t>[Verheye, Marie L.; D'Acoz, Cedric D'Udekem] Royal Belgian Inst Nat Sci, Rue Vautier 29, B-1000 Brussels, Belgium; [Verheye, Marie L.] Cathol Univ Louvain la Neuve, Dept Biol, Marine Biol Lab, 3 Bte L7 06 04 Croix Sud, B-1348 Louvain, Belgium; [Loerz, Anne-Nina] Hamburg Centrum Naturkunde CeNak, Zoologisches Museum,Martin Luther King Pl 3, D-20146 Hamburg, Germany</t>
  </si>
  <si>
    <t>Royal Belgian Institute of Natural Sciences</t>
  </si>
  <si>
    <t>Verheye, ML (corresponding author), Royal Belgian Inst Nat Sci, Rue Vautier 29, B-1000 Brussels, Belgium.;Verheye, ML (corresponding author), Cathol Univ Louvain la Neuve, Dept Biol, Marine Biol Lab, 3 Bte L7 06 04 Croix Sud, B-1348 Louvain, Belgium.</t>
  </si>
  <si>
    <t>mverheye@naturalsciences.be; Anne-Nina.Loerz@t-online.de</t>
  </si>
  <si>
    <t>Verheye, Marie/0000-0001-8702-9292</t>
  </si>
  <si>
    <t>F.R.I.A. (F.N.R.S., Belgium)</t>
  </si>
  <si>
    <t>F.R.I.A. (F.N.R.S., Belgium)(Fonds de la Recherche Scientifique - FNRS)</t>
  </si>
  <si>
    <t>The first author has a Ph. D. fellowship from F.R.I.A. (F.N.R.S., Belgium). We appreciate the kind help of the NIWA Invertebrate Collection staff, Wellington, New Zealand, with loan of the material. We also thank Stefano Schiaparelli (University of Genova, Italy) for giving us access to the material of the RV Italica XIX expedition to the Ross Sea.</t>
  </si>
  <si>
    <t>10.11646/zootaxa.4369.2.2</t>
  </si>
  <si>
    <t>FS4BA</t>
  </si>
  <si>
    <t>WOS:000419729900002</t>
  </si>
  <si>
    <t>Schüttler, E; Saavedra-Aracena, L; Jiménez, JE</t>
  </si>
  <si>
    <t>Schuettler, Elke; Saavedra-Aracena, Lorena; Jimenez, Jaime E.</t>
  </si>
  <si>
    <t>Domestic carnivore interactions with wildlife in the Cape Horn Biosphere Reserve, Chile: husbandry and perceptions of impact from a community perspective</t>
  </si>
  <si>
    <t>Conservation; Domestic cat (Felis catus); Domestic dog (Canis familiaris); Free-roaming; Invasive species; Predation; Protected area; Questionnaires; Sub-Antarctic; Survey</t>
  </si>
  <si>
    <t>DOGS CANIS-FAMILIARIS; FREE-ROAMING DOGS; CATS FELIS-CATUS; BIODIVERSITY CONSERVATION; PUBLIC PERCEPTIONS; RURAL ZIMBABWE; PET CATS; PREDATION; ECOLOGY; VERTEBRATES</t>
  </si>
  <si>
    <t>Background. Hundreds of millions of domestic carnivores worldwide have diverse positive affiliations with humans, but can provoke serious socio-ecological impacts when free-roaming. Unconfined dogs (Canis familiaris) and cats (Felis catus) interact with wildlife as predators, competitors, and disease-transmitters; their access to wildlife depends on husbandry, perceptions, attitudes, and behaviors of pet owners and non-owners. Methods. To better understand husbandry and perceptions of impacts by unconfined, domestic carnivores, we administered questionnaires (n = 244) to pet owners and non-owners living in one of the last wilderness areas of the world, the Cape Horn Biosphere Reserve, located in southern Chile. We used descriptive statistics to provide demographic pet and husbandry information, quantify free-roaming dogs and cats, map their sightings in nature, and report experiences and perceptions of the impact of free-roaming dogs and cats on wildlife. We corroborated our results with an analysis of prey remains in dog feces (n = 53). With generalized linear models, we examined which factors (i.e., food provisioning, reproductive state, rural/village households, sex, and size) predicted that owned dogs and cats bring wildlife prey home. Results. Thirty-one percent of village dogs (n = 121) and 60% of dogs in rural areas (n = 47) roamed freely day and/or night. Free-roaming dog packs were frequently observed (64% of participants) in the wild, including a feral dog population on Navarino Island. Dogs (31 of 168) brought home invasive muskrats (Ondatra zibethicus) and avian prey, and over half of all cats (27 of 51) brought home mainly avian prey. Birds were also the most harassed wildlife category, affected by one third of all dogs and cats. Nevertheless, dog-wildlife conflicts were hardly recognized (&lt; 9% of observed conflicts and suspected problems), and only 34% of the participants thought that cats might impact birds. Diet analysis revealed that dogs consumed livestock (64% of 59 prey occurrences), beavers (Castor canadensis, 14%), and birds (10%). The probability that dogs brought prey to owners' homes was higher in rural locations and with larger dogs. There was also evidence that cats from rural households and with an inadequate food supply brought more prey home than village cats. Discussion. Although muskrat, beavers, and birds were brought home, harassed, or found in dog feces, free-roaming dogs and, to a lesser extent, cats are perceived predominantly in an anthropogenic context (i.e., as pets) and not as carnivores interacting with wildlife. Therefore, technical and legal measures should be applied to encourage neutering, increase confinement, particularly in rural areas, and stimulate social change via environmental education that draws attention to the possibility and consequences of unconfined pet interaction with wildlife in the southernmost protected forest ecoregion of the globe.</t>
  </si>
  <si>
    <t>[Schuettler, Elke; Saavedra-Aracena, Lorena; Jimenez, Jaime E.] Univ Magallanes, Subantarctic Biocultural Conservat Program, Punta Arenas, Region De Magal, Chile; [Jimenez, Jaime E.] Univ North Texas, Dept Biol Sci, Denton, TX 76203 USA; [Jimenez, Jaime E.] Univ North Texas, Dept Philosophy &amp; Relig, Denton, TX 76203 USA; [Jimenez, Jaime E.] IEB, Santiago, Chile</t>
  </si>
  <si>
    <t>Universidad de Magallanes; University of North Texas System; University of North Texas Denton; University of North Texas System; University of North Texas Denton</t>
  </si>
  <si>
    <t>Schüttler, E (corresponding author), Univ Magallanes, Subantarctic Biocultural Conservat Program, Punta Arenas, Region De Magal, Chile.</t>
  </si>
  <si>
    <t>elkeschuttler@gmail.com</t>
  </si>
  <si>
    <t>Jimenez, Jaime E./AAO-7531-2020</t>
  </si>
  <si>
    <t>Schuttler, Elke/0000-0001-9143-6237</t>
  </si>
  <si>
    <t>Chilean National Commission for Scientific and Technological Research (PAI-CONICYT) [79140024]</t>
  </si>
  <si>
    <t>Chilean National Commission for Scientific and Technological Research (PAI-CONICYT)</t>
  </si>
  <si>
    <t>Financial support was provided by the Chilean National Commission for Scientific and Technological Research (PAI-CONICYT, Call 2014, No. 79140024). The funders had no role in study design, data collection and analysis, decision to publish, or preparation of the manuscript.</t>
  </si>
  <si>
    <t>e4124</t>
  </si>
  <si>
    <t>10.7717/peerj.4124</t>
  </si>
  <si>
    <t>FR6UG</t>
  </si>
  <si>
    <t>WOS:000419200900002</t>
  </si>
  <si>
    <t>Kaufman, DE; Friedrichs, MAM; Hemmings, JCP; Smith, WO</t>
  </si>
  <si>
    <t>Kaufman, Daniel E.; Friedrichs, Marjorie A. M.; Hemmings, John C. P.; Smith, Walker O., Jr.</t>
  </si>
  <si>
    <t>Assimilating bio-optical glider data during a phytoplankton bloom in the southern Ross Sea</t>
  </si>
  <si>
    <t>MARINE ECOSYSTEM MODEL; PHYSICAL-BIOGEOCHEMICAL MODEL; CENTRAL EQUATORIAL PACIFIC; TESTBED MARMOT 1.1; NORTH-ATLANTIC; PARAMETER OPTIMIZATION; PHAEOCYSTIS-ANTARCTICA; PRIMARY PRODUCTIVITY; TEMPORAL VARIATIONS; STANDING STOCKS</t>
  </si>
  <si>
    <t>The Ross Sea is a region characterized by high primary productivity in comparison to other Antarctic coastal regions, and its productivity is marked by considerable variability both spatially (1-50 km) and temporally (days to weeks). This variability presents a challenge for inferring phytoplankton dynamics from observations that are limited in time or space, which is often the case due to logistical limitations of sampling. To better understand the spatio-temporal variability in Ross Sea phytoplankton dynamics and to determine how restricted sampling may skew dynamical interpretations, high-resolution bio-optical glider measurements were assimilated into a one-dimensional biogeochemical model adapted for the Ross Sea. The assimilation of data from the entire glider track using the micro-genetic and local search algorithms in the Marine Model Optimization Testbed improves the model-data fit by similar to 50 %, generating rates of integrated primary production of 104 g C m(-2) yr(-1) and export at 200 m of 27 g C m(-2) yr(-1). Assimilating glider data from three different latitudinal bands and three different longitudinal bands results in minimal changes to the simulations, improves the model-data fit with respect to unassimilated data by similar to 35 %, and confirms that analyzing these glider observations as a time series via a one-dimensional model is reasonable on these scales. Whereas assimilating the full glider data set produces well-constrained simulations, assimilating subsampled glider data at a frequency consistent with cruise-based sampling results in a wide range of primary production and export estimates. These estimates depend strongly on the timing of the assimilated observations, due to the presence of high mesoscale variability in this region. Assimilating surface glider data subsampled at a frequency consistent with available satellite-derived data results in 40% lower carbon export, primarily resulting from optimized rates generating more slowly sinking diatoms. This analysis highlights the need for the strategic consideration of the impacts of data frequency, duration, and coverage when combining observations with biogeochemical modeling in regions with strong mesoscale variability.</t>
  </si>
  <si>
    <t>[Kaufman, Daniel E.; Friedrichs, Marjorie A. M.; Smith, Walker O., Jr.] Virginia Inst Marine Sci, Coll William &amp; Mary, Gloucester Point, VA 23062 USA; [Hemmings, John C. P.] Wessex Environm Associates, Salisbury, Wilts, England; [Hemmings, John C. P.] Met Off, Exeter, Devon, England</t>
  </si>
  <si>
    <t>William &amp; Mary; Virginia Institute of Marine Science; Met Office - UK</t>
  </si>
  <si>
    <t>Kaufman, DE; Friedrichs, MAM (corresponding author), Virginia Inst Marine Sci, Coll William &amp; Mary, Gloucester Point, VA 23062 USA.</t>
  </si>
  <si>
    <t>dkauf42@gmail.com; marjy@vims.edu</t>
  </si>
  <si>
    <t>Kaufman, Daniel/L-5720-2019</t>
  </si>
  <si>
    <t>Kaufman, Daniel/0000-0002-1487-7298; Friedrichs, Marjorie/0000-0003-2828-7595</t>
  </si>
  <si>
    <t>US National Science Foundation's Office of Polar Programs [NSF-ANT-0838980]</t>
  </si>
  <si>
    <t>US National Science Foundation's Office of Polar Programs(National Science Foundation (NSF))</t>
  </si>
  <si>
    <t>This material is based upon work supported by the US National Science Foundation's Office of Polar Programs (NSF-ANT-0838980). The authors thank E. A. Canuel, E. E. Hofmann, and E. H. Shadwick for constructive comments. Additional thanks go to M. S. Dinniman for helping with model forcings. This work was performed (in part) using computational facilities at the College of William and Mary which were provided by contributions from the National Science Foundation, the Commonwealth of Virginia Equipment Trust Fund and the Office of Naval Research. This paper is contribution 3675 of the Virginia Institute of Marine Science, College of William and Mary.</t>
  </si>
  <si>
    <t>10.5194/bg-15-73-2018</t>
  </si>
  <si>
    <t>FR6BE</t>
  </si>
  <si>
    <t>WOS:000419149600001</t>
  </si>
  <si>
    <t>Trull, T; Passmore, A; Davies, DM; Smit, T; Berry, K; Tilbrook, B</t>
  </si>
  <si>
    <t>Trull, Thomas W.; Passmore, Abraham; Davies, Diana M.; Smit, Tim; Berry, Kate; Tilbrook, Bronte</t>
  </si>
  <si>
    <t>Distribution of planktonic biogenic carbonate organisms in the Southern Ocean south of Australia: a baseline for ocean acidification impact assessment</t>
  </si>
  <si>
    <t>SEA-SURFACE DISTRIBUTION; POLAR FRONTAL ZONES; EMILIANIA-HUXLEYI; SEASONAL PROGRESSION; IRON FERTILIZATION; OPTICAL-PROPERTIES; SEDIMENT TRAPS; PACIFIC SECTOR; COCCOLITHOPHORES; CALCIFICATION</t>
  </si>
  <si>
    <t>The Southern Ocean provides a vital service by absorbing about one-sixth of humankind's annual emissions of CO2. This comes with a cost - an increase in ocean acidity that is expected to have negative impacts on ocean ecosystems. The reduced ability of phytoplankton and zooplankton to precipitate carbonate shells is a clearly identified risk. The impact depends on the significance of these organisms in Southern Ocean ecosystems, but there is very little information on their abundance or distribution. To quantify their presence, we used coulometric measurement of particulate inorganic carbonate (PIC) on particles filtered from surface seawater into two size fractions: 50-1000 mu m to capture foraminifera (the most important biogenic carbonate-forming zooplankton) and 1-50 mu m to capture coccolithophores (the most important biogenic carbonate-forming phytoplankton). Ancillary measurements of biogenic silica (BSi) and particulate organic carbon (POC) provided context, as estimates of the biomass of diatoms (the highest biomass phytoplankton in polar waters) and total microbial biomass, respectively. Results for nine transects from Australia to Antarctica in 2008-2015 showed low levels of PIC compared to Northern Hemisphere polar waters. Coccolithophores slightly exceeded the biomass of diatoms in subantarctic waters, but their abundance decreased more than 30-fold poleward, while diatom abundances increased, so that on a molar basis PIC was only 1% of BSi in Antarctic waters. This limited importance of coccolithophores in the Southern Ocean is further emphasized in terms of their associated POC, representing less than 1% of total POC in Antarctic waters and less than 10% in subantarctic waters. NASA satellite ocean-colour-based PIC estimates were in reasonable agreement with the shipboard results in subantarctic waters but greatly overestimated PIC in Antarctic waters. Contrastingly, the NASA Ocean Biogeochemical Model (NOBM) shows coccolithophores as overly restricted to subtropical and northern subantarctic waters. The cause of the strong southward decrease in PIC abundance in the Southern Ocean is not yet clear. The poleward decrease in pH is small, and while calcite saturation decreases strongly southward, it remains well above saturation (&gt;2). Nitrate and phosphate variations would predict a poleward increase. Temperature and competition with diatoms for limiting iron appear likely to be important. While the future trajectory of coccolithophore distributions remains uncertain, their current low abundances suggest small impacts on overall Southern Ocean pelagic ecology.</t>
  </si>
  <si>
    <t>[Trull, Thomas W.; Passmore, Abraham; Davies, Diana M.; Berry, Kate; Tilbrook, Bronte] CSIRO, Climate Sci Ctr Oceans &amp; Atmosphere, Hobart, Tas 7001, Australia; [Trull, Thomas W.; Passmore, Abraham; Davies, Diana M.; Berry, Kate; Tilbrook, Bronte] Antarctic Climate &amp; Ecosyst Cooperat Res Ctr, Hobart, Tas 7001, Australia; [Trull, Thomas W.] Univ Tasmania, Inst Marine &amp; Antarctic Studies, Hobart, Tas 7001, Australia; [Smit, Tim] Univ Utrecht, Fac Geosci, NL-3508 TA Utrecht, Netherlands</t>
  </si>
  <si>
    <t>Commonwealth Scientific &amp; Industrial Research Organisation (CSIRO); Antarctic Climate &amp; Ecosystems Cooperative Research Centre (ACE CRC); University of Tasmania; Utrecht University</t>
  </si>
  <si>
    <t>Trull, T (corresponding author), CSIRO, Climate Sci Ctr Oceans &amp; Atmosphere, Hobart, Tas 7001, Australia.;Trull, T (corresponding author), Antarctic Climate &amp; Ecosyst Cooperat Res Ctr, Hobart, Tas 7001, Australia.</t>
  </si>
  <si>
    <t>tom.trull@csiro.au</t>
  </si>
  <si>
    <t>Tilbrook, Bronte/W-4007-2019</t>
  </si>
  <si>
    <t>Tilbrook, Bronte/0000-0001-9385-3827; Davies, Diana M./0000-0001-6304-3938</t>
  </si>
  <si>
    <t>Australian Commonwealth Cooperative Research Centre Program via the ACE CRC</t>
  </si>
  <si>
    <t>We thank Steve Rintoul (CSIRO Oceans and Atmosphere, Hobart) and Alain Poisson (Universite Pierre et Marie Curie, Paris) for allowing sample collection to proceed under the auspices of their science programs on-board Aurora Australis and l'Astrolabe, respectively. ACE CRC staff, students and volunteers carried out on-board sampling, including Erik van Ooijen, Isobel Thomas, Peter Jansen, Stephane Thannassekos and Nick Roden. Nutrient analyses were carried out by the CSIRO hydrochemistry group. Thomas Rodemann at the UTAS Central Sciences Laboratory did the CHN analyses. Funding was provided by the Australian Commonwealth Cooperative Research Centre Program via the ACE CRC. Tim Smit participated in the first voyage in 2008 and described those results in his Utrecht University Master thesis and in a poster presented at the Second Symposium on the Ocean in a High CO2 World, Monoco, 6-9 October 2008. Andrew Lenton (CSIRO) produced the database of absolute mean dynamic heights. Our paper was significantly improved by insightful, constructive reviews from Alex Poulton and Lennart Bach.</t>
  </si>
  <si>
    <t>JAN 3</t>
  </si>
  <si>
    <t>10.5194/bg-15-31-2018</t>
  </si>
  <si>
    <t>FR5FB</t>
  </si>
  <si>
    <t>WOS:000419091200002</t>
  </si>
  <si>
    <t>Jennings, A; Bowman, WD; Bowlds, L; Hall-Bowman, J</t>
  </si>
  <si>
    <t>Jennings, Anne; Bowman, William D.; Bowlds, Larry; Hall-Bowman, Jenifer</t>
  </si>
  <si>
    <t>50 years of Arctic, Antarctic, and Alpine Research</t>
  </si>
  <si>
    <t>ARCTIC ANTARCTIC AND ALPINE RESEARCH</t>
  </si>
  <si>
    <t>Editorial Material</t>
  </si>
  <si>
    <t>[Jennings, Anne; Bowman, William D.; Bowlds, Larry; Hall-Bowman, Jenifer] Univ Colorado, Inst Arctic &amp; Alpine Res, Boulder, CO 80309 USA</t>
  </si>
  <si>
    <t>University of Colorado System; University of Colorado Boulder</t>
  </si>
  <si>
    <t>Jennings, A (corresponding author), Univ Colorado, Inst Arctic &amp; Alpine Res, Boulder, CO 80309 USA.</t>
  </si>
  <si>
    <t>INST ARCTIC ALPINE RES</t>
  </si>
  <si>
    <t>BOULDER</t>
  </si>
  <si>
    <t>UNIV COLORADO, BOULDER, CO 80309 USA</t>
  </si>
  <si>
    <t>1523-0430</t>
  </si>
  <si>
    <t>1938-4246</t>
  </si>
  <si>
    <t>ARCT ANTARCT ALP RES</t>
  </si>
  <si>
    <t>Arct. Antarct. Alp. Res.</t>
  </si>
  <si>
    <t>UNSP e1420851</t>
  </si>
  <si>
    <t>10.1080/15230430.2017.1420851</t>
  </si>
  <si>
    <t>Environmental Sciences; Geography, Physical</t>
  </si>
  <si>
    <t>Environmental Sciences &amp; Ecology; Physical Geography</t>
  </si>
  <si>
    <t>GN1EM</t>
  </si>
  <si>
    <t>WOS:000438728400001</t>
  </si>
  <si>
    <t>Leat, PT; Jordan, TA; Flowerdew, MJ; Riley, TR; Ferraccioli, F; Whitehouse, MJ</t>
  </si>
  <si>
    <t>Leat, Philip T.; Jordan, Tom A.; Flowerdew, Michael J.; Riley, Teal R.; Ferraccioli, Fausto; Whitehouse, Martin J.</t>
  </si>
  <si>
    <t>Jurassic high heat production granites associated with the Weddell Sea rift system, Antarctica</t>
  </si>
  <si>
    <t>TECTONOPHYSICS</t>
  </si>
  <si>
    <t>West Antarctica; Heat flow; Geothermal flux; A-type granite; Continental rift</t>
  </si>
  <si>
    <t>LARGE IGNEOUS PROVINCE; ELLSWORTH-WHITMORE MOUNTAINS; WEST-ANTARCTICA; ICE-SHEET; CRUSTAL STRUCTURE; BREAK-UP; GONDWANA RECONSTRUCTIONS; BENEATH ANTARCTICA; EAST ANTARCTICA; GEOTHERMAL FLUX</t>
  </si>
  <si>
    <t>The distribution of heat flow in Antarctic continental crust is critical to understanding continental tectonics, ice sheet growth and subglacial hydrology. We identify a group of High Heat Production granites, intruded into upper crustal Palaeozoic metasedimentary sequences, which may contribute to locally high heat flow beneath the West Antarctic Ice Sheet. Four of the granite plutons are exposed above ice sheet level at Pagano Nunatak, Pin-it Hills, Nash Hills and Whitmore Mountains. A new U-Pb zircon age from Pirrit Hills of 178.0 +/- 3.5 Ma confirms earlier Rb-Sr and U-Pb dating and that the granites were emplaced approximately coincident with the first stage of Gondwana break-up and the developing Weddell rift, and similar to 5 m.y. after eruption of the Karoo-Ferrar large igneous province. Aerogeophysical data indicate that the plutons are distributed unevenly over 40,000 km(2) with one intruded into the transtensional Pagano Shear Zone, while the others were emplaced within the more stable Ellsworth-Whitmore mountains continental block. The granites are weakly peraluminous A-types and have Th and U abundances up to 60.7 and 28.6 ppm respectively. Measured heat production of the granite samples is 2.96-9.06 mu W/m(3) (mean 5.35 W/m(3)), significantly higher than average upper continental crust and contemporaneous silicic rocks in the Antarctic Peninsula. Heat flow associated with the granite intrusions is predicted to be in the range 70-95 mW/m(2) depending on the thickness of the high heat production granite layer and the regional heat flow value. Analysis of detrital zircon compositions and ages indicates that the high Th and U abundances are related to enrichment of the lower-mid crust that dates back to 200-299 Ma at the time of the formation of the Gondwanide fold belt and its post-orogenic collapse and extension.</t>
  </si>
  <si>
    <t>[Leat, Philip T.; Jordan, Tom A.; Flowerdew, Michael J.; Riley, Teal R.; Ferraccioli, Fausto] British Antarctic Survey, Madingley Rd, Cambridge CB3 0ET, England; [Leat, Philip T.] Univ Leicester, Dept Geol, Univ Rd, Leicester LE1 7RH, Leics, England; [Flowerdew, Michael J.] CASP, West Bldg,Madingley Rd, Cambridge CB3 0UD, England; [Whitehouse, Martin J.] Swedish Museum Nat Hist, Box 50007, SE-10405 Stockholm, Sweden</t>
  </si>
  <si>
    <t>UK Research &amp; Innovation (UKRI); Natural Environment Research Council (NERC); NERC British Antarctic Survey; University of Leicester; University of Cambridge; Swedish Museum of Natural History</t>
  </si>
  <si>
    <t>Leat, PT (corresponding author), British Antarctic Survey, Madingley Rd, Cambridge CB3 0ET, England.</t>
  </si>
  <si>
    <t>ptle@bas.ac.uk; tomj@bas.ac.uk; Michael.flowerdew@casp.cam.ac.uk; trr@bas.ac.uk; ffe@bas.ac.uk; martin.whitehouse@nrm.se</t>
  </si>
  <si>
    <t>; Whitehouse, Martin/E-1425-2013</t>
  </si>
  <si>
    <t>Leat, Philip/0000-0003-3824-8557; Whitehouse, Martin/0000-0003-2227-577X; Flowerdew, Michael/0000-0002-9710-2593; Riley, Teal/0000-0002-3333-5021; Ferraccioli, Fausto/0000-0002-9347-4736</t>
  </si>
  <si>
    <t>Natural Environment Research Council (UK); NERC [bas0100029] Funding Source: UKRI</t>
  </si>
  <si>
    <t>Natural Environment Research Council (UK)(UK Research &amp; Innovation (UKRI)Natural Environment Research Council (NERC)); NERC(UK Research &amp; Innovation (UKRI)Natural Environment Research Council (NERC))</t>
  </si>
  <si>
    <t>This study is part of the British Antarctic Survey Polar Science for Planet Earth Programme and was partly funded by the Natural Environment Research Council (UK). Samples can be accessed at the British Antarctic Survey, Cambridge. This is NORDSIM publication number 531. The NORDSIM facility is operated under an agreement between the research funding agencies of Denmark, Norway and Sweden, the Geological Survey of Finland and the Swedish Museum of Natural History.</t>
  </si>
  <si>
    <t>0040-1951</t>
  </si>
  <si>
    <t>1879-3266</t>
  </si>
  <si>
    <t>Tectonophysics</t>
  </si>
  <si>
    <t>JAN 2</t>
  </si>
  <si>
    <t>10.1016/j.tecto.2017.11.011</t>
  </si>
  <si>
    <t>FX4DL</t>
  </si>
  <si>
    <t>WOS:000426022800017</t>
  </si>
  <si>
    <t>Asmi, E; Neitola, K; Teinilä, K; Rodriguez, E; Virkkula, A; Backman, J; Bloss, M; Jokela, J; Lihavainen, H; De Leeuw, G; Paatero, J; Aaltonen, V; Mei, M; Gambarte, G; Copes, G; Albertini, M; Fogwill, GP; Ferrara, J; Barlasina, ME; Sánchez, R</t>
  </si>
  <si>
    <t>Asmi, Eija; Neitola, Kimmo; Teinila, Kimmo; Rodriguez, Edith; Virkkula, Aki; Backman, John; Bloss, Matthew; Jokela, Jesse; Lihavainen, Heikki; De Leeuw, Gerrit; Paatero, Jussi; Aaltonen, Veijo; Mei, Miguel; Gambarte, Gonzalo; Copes, Gustavo; Albertini, Marco; Perez Fogwill, German; Ferrara, Jonathan; Elena Barlasina, Maria; Sanchez, Ricardo</t>
  </si>
  <si>
    <t>Primary sources control the variability of aerosol optical properties in the Antarctic Peninsula</t>
  </si>
  <si>
    <t>TELLUS SERIES B-CHEMICAL AND PHYSICAL METEOROLOGY</t>
  </si>
  <si>
    <t>optical properties; chemistry; antarctic aerosols</t>
  </si>
  <si>
    <t>BLACK CARBON; SEA-SALT; ATMOSPHERIC AEROSOLS; CHEMICAL-COMPOSITION; PARTICLE FORMATION; LIGHT-SCATTERING; TRACE-ELEMENTS; ICE; TRANSPORT; STATION</t>
  </si>
  <si>
    <t>Aerosol particle optical properties were measured continuously between years 2013-2015 at the Marambio station in the Antarctic Peninsula. Annual cycles of particle scattering and absorption were studied and explained using measured particle chemical composition and the analysis of air mass transport patterns. The particle scattering was found elevated during the winter but the absorption did not show any clear annual cycle. The aerosol single scattering albedo at lambda = 637 nm was on average 0.96 +/- 0.10, with a median of 0.99. Aerosol scattering Angstrom exponent increased during summer, indicating an increasing fraction of fine mode particles. The aerosol was mainly composed of sea salt, sulphate and crustal soil minerals, and most of the particle mass were in the coarse mode. Both the particle absorption and scattering were increased during high wind speeds. This was explained by the dominance of the primary marine sea-spray and wind-blown soil dust sources. In contrast, the back-trajectory analysis suggested that long-range transport has only a minor role as a source of absorbing aerosol at the peninsula.</t>
  </si>
  <si>
    <t>[Asmi, Eija; Neitola, Kimmo; Teinila, Kimmo; Rodriguez, Edith; Virkkula, Aki; Backman, John; Bloss, Matthew; Jokela, Jesse; Lihavainen, Heikki; De Leeuw, Gerrit; Paatero, Jussi; Aaltonen, Veijo] Finnish Meteorol Inst, Helsinki, Finland; [Neitola, Kimmo] Cyprus Inst, Energy Environm &amp; Water Res Ctr, Nicosia, Cyprus; [De Leeuw, Gerrit] Univ Helsinki, Dept Phys, Helsinki, Finland; [Mei, Miguel; Gambarte, Gonzalo; Copes, Gustavo; Albertini, Marco; Perez Fogwill, German; Ferrara, Jonathan; Elena Barlasina, Maria; Sanchez, Ricardo] Serv Meteorol Nacl, Buenos Aires, DF, Argentina</t>
  </si>
  <si>
    <t>Finnish Meteorological Institute; University of Helsinki</t>
  </si>
  <si>
    <t>Asmi, E (corresponding author), Finnish Meteorol Inst, Helsinki, Finland.</t>
  </si>
  <si>
    <t>eija.asmi@fmi.fi</t>
  </si>
  <si>
    <t>Aaltonen, Veijo/J-8814-2017; Lihavainen, Heikki/IAQ-5287-2023; Virkkula, Aki/B-8575-2014; de Leeuw, Gerrit/AAI-3270-2020; Backman, John/AAG-9028-2020</t>
  </si>
  <si>
    <t>Lihavainen, Heikki/0000-0002-6135-4473; Virkkula, Aki/0000-0003-4874-7552; de Leeuw, Gerrit/0000-0002-1649-6333; Backman, John/0000-0002-4444-8777; Asmi, Eija/0000-0002-9226-2360</t>
  </si>
  <si>
    <t>Academy of Finland project Atmospheric Composition and Processes relevant to climate change in ANTarctica (ACPANT) [264390]; Centre on Excellence in Atmospheric Science - Finnish Academy of Sciences Excellence [307331]; European Union'sHorizon research and innovation programme [654109]; Academy of Finland (AKA) [264390] Funding Source: Academy of Finland (AKA)</t>
  </si>
  <si>
    <t>Academy of Finland project Atmospheric Composition and Processes relevant to climate change in ANTarctica (ACPANT); Centre on Excellence in Atmospheric Science - Finnish Academy of Sciences Excellence; European Union'sHorizon research and innovation programme; Academy of Finland (AKA)(Research Council of Finland)</t>
  </si>
  <si>
    <t>This work is part of the Finnish-Argentine meteorological cooperation at Marambio Antarctic Station under the bilateral agreement between Servicio Meteorologico National and the Finnish Meteorological Institute. The work was supported by the Academy of Finland project Atmospheric Composition and Processes relevant to climate change in ANTarctica (ACPANT) [project number 264390]; the Centre on Excellence in Atmospheric Science funded by the Finnish Academy of Sciences Excellence [project number 307331]. We also received funding from the European Union'sHorizon 2020 research and innovation programme [grant agreement number 654109]. We are grateful of the logistic support received from the Finnish Antarctic Research Program (FINNARP) and from the Argentinean Air Force, which were highly valuable for the project. We warmly thank the technical personnel at Marambio for their support in logistics and measurements at the station.</t>
  </si>
  <si>
    <t>TAYLOR &amp; FRANCIS LTD</t>
  </si>
  <si>
    <t>ABINGDON</t>
  </si>
  <si>
    <t>2-4 PARK SQUARE, MILTON PARK, ABINGDON OR14 4RN, OXON, ENGLAND</t>
  </si>
  <si>
    <t>1600-0889</t>
  </si>
  <si>
    <t>TELLUS B</t>
  </si>
  <si>
    <t>Tellus Ser. B-Chem. Phys. Meteorol.</t>
  </si>
  <si>
    <t>10.1080/16000889.2017.1414571</t>
  </si>
  <si>
    <t>FT4SA</t>
  </si>
  <si>
    <t>WOS:000423143800001</t>
  </si>
  <si>
    <t>Wu, XJ; Zhu, XF; Wang, YY; Liu, XY; Chen, LJ; Duan, YX</t>
  </si>
  <si>
    <t>Wu, Xiaojing; Zhu, Xiaofeng; Wang, Yuanyuan; Liu, Xiaoyu; Chen, Lijie; Duan, Yuxi</t>
  </si>
  <si>
    <t>The cold tolerance of the northern root-knot nematode, &amp;ITMeloidogyne hapla &amp;IT</t>
  </si>
  <si>
    <t>ANTARCTIC NEMATODE; MELOIDOGYNE-HAPLA; PANAGROLAIMUS-DAVIDI; LOW-TEMPERATURE; CRYOPROTECTIVE DEHYDRATION; ENTOMOPATHOGENIC NEMATODES; ESCHERICHIA-COLI; INCOGNITA; SURVIVAL; SHOCK</t>
  </si>
  <si>
    <t>The northern root-knot nematode, Meloidogyne hapla, is one of the most important nematode pathogens occurring in cold regions. It is a sedentary, biotrophic parasites of plants and overwinter in the soil or in diseased roots. This study showed that the cold tolerance for the second-stage juveniles (J2) of M. hapla was moderate with the 50% survival temperature (S-50) of -2.22 degrees C and the fatal temperature was -6 degrees C when cooling at 0.5 degrees C min(-1). Cryoprotective dehydration significantly enhance cold tolerance of M. hapla J2 with the lowest S-50 of -3.28 degrees C after held being at -1 degrees C for 6 h. Moreover, cold shock and cold acclimation had significant effects on the freezing survival of M. hapla J2. The lethal temperature of eggs was -18 degrees C. Therefore, the cold tolerance of M. hapla is sufficiently favorable to withstand winters in cold temperature environments.</t>
  </si>
  <si>
    <t>[Wu, Xiaojing; Zhu, Xiaofeng; Chen, Lijie; Duan, Yuxi] Shenyang Agr Univ, Coll Plant Protect, Shenyang, Liaoning, Peoples R China; [Wang, Yuanyuan] Shenyang Agr Univ, Coll Biol Sci &amp; Technol, Shenyang, Liaoning, Peoples R China; [Liu, Xiaoyu] Shenyang Agr Univ, Coll Sci, Shenyang, Liaoning, Peoples R China</t>
  </si>
  <si>
    <t>Shenyang Agricultural University; Shenyang Agricultural University; Shenyang Agricultural University</t>
  </si>
  <si>
    <t>Duan, YX (corresponding author), Shenyang Agr Univ, Coll Plant Protect, Shenyang, Liaoning, Peoples R China.</t>
  </si>
  <si>
    <t>duanyx6407@163.com</t>
  </si>
  <si>
    <t>Zhu, Xiaofeng/AFT-5278-2022; wangwangwang, yuanyaunyuan/HHN-6432-2022; Lv, Yuanjie/AER-0767-2022; Wang, Yuan/HHC-1520-2022; Wang, Yuan/GRF-3621-2022; WANG, YUANYUAN/IQR-4295-2023</t>
  </si>
  <si>
    <t>Mount Tianzhu Scholar Funding Scheme, Special Fund for Agro-scientific Research in the Public Interest [201103018]; National Natural Science Foundation of China [31471748]</t>
  </si>
  <si>
    <t>Mount Tianzhu Scholar Funding Scheme, Special Fund for Agro-scientific Research in the Public Interest; National Natural Science Foundation of China(National Natural Science Foundation of China (NSFC))</t>
  </si>
  <si>
    <t>This work was supported by the National Natural Science Foundation of China (grant numbers: 31471748), Mount Tianzhu Scholar Funding Scheme, Special Fund for Agro-scientific Research in the Public Interest (grant numbers: 201103018). (LJC). The funders had no role in study design, data collection and analysis, decision to publish, or preparation of the manuscript.</t>
  </si>
  <si>
    <t>e0190531</t>
  </si>
  <si>
    <t>10.1371/journal.pone.0190531</t>
  </si>
  <si>
    <t>FR5JA</t>
  </si>
  <si>
    <t>gold, Green Published, Green Submitted</t>
  </si>
  <si>
    <t>WOS:000419101600139</t>
  </si>
  <si>
    <t>Janion-Scheepers, C; Phillips, L; Sgrò, CM; Duffy, GA; Hallas, R; Chown, SL</t>
  </si>
  <si>
    <t>Janion-Scheepers, Charlene; Phillips, Laura; Sgro, Carla M.; Duffy, Grant A.; Hallas, Rebecca; Chown, Steven L.</t>
  </si>
  <si>
    <t>Basal resistance enhances warming tolerance of alien over indigenous species across latitude</t>
  </si>
  <si>
    <t>PROCEEDINGS OF THE NATIONAL ACADEMY OF SCIENCES OF THE UNITED STATES OF AMERICA</t>
  </si>
  <si>
    <t>climate change; introduced species; soil fauna; thermal limits; laboratory evolution</t>
  </si>
  <si>
    <t>CLIMATE-CHANGE; PHENOTYPIC PLASTICITY; DROSOPHILA-BUZZATII; GENETIC-VARIATION; COLLEMBOLA; RESPONSES; INVASION; HEAT; METAANALYSIS; TEMPERATURE</t>
  </si>
  <si>
    <t>Soil systems are being increasingly exposed to the interactive effects of biological invasions and climate change, with rising temperatures expected to benefit alien over indigenous species. We assessed this expectation for an important soil-dwelling group, the springtails, by determining whether alien species show broader thermal tolerance limits and greater tolerance to climate warming than their indigenous counterparts. We found that, from the tropics to the sub-Antarctic, alien species have the broadest thermal tolerances and greatest tolerance to environmental warming. Both groups of species show little phenotypic plasticity or potential for evolutionary change in tolerance to high temperature. These trait differences between alien and indigenous species suggest that biological invasions will exacerbate the impacts of climate change on soil systems, with profound implications for terrestrial ecosystem functioning.</t>
  </si>
  <si>
    <t>[Janion-Scheepers, Charlene; Phillips, Laura; Sgro, Carla M.; Duffy, Grant A.; Hallas, Rebecca; Chown, Steven L.] Monash Univ, Sch Biol Sci, Melbourne, Vic 3800, Australia</t>
  </si>
  <si>
    <t>Monash University</t>
  </si>
  <si>
    <t>Janion-Scheepers, C (corresponding author), Monash Univ, Sch Biol Sci, Melbourne, Vic 3800, Australia.</t>
  </si>
  <si>
    <t>charlene.janionscheepers@monash.edu</t>
  </si>
  <si>
    <t>Chown, Steven/ABD-7646-2021; Chown, Steven/H-3347-2011</t>
  </si>
  <si>
    <t>Janion-Scheepers, Charlene/0000-0001-5942-7912; Duffy, Grant/0000-0002-9031-8164; Chown, Steven/0000-0001-6069-5105</t>
  </si>
  <si>
    <t>Australian Research Council [DP140102815]; Australian Antarctic Science [4307]</t>
  </si>
  <si>
    <t>Australian Research Council(Australian Research Council); Australian Antarctic Science</t>
  </si>
  <si>
    <t>We thank Ian Aitkenhead, Jess Hoskins, Ben Wegener, Oliver Stuart, and several volunteers for assisting with colony maintenance; Louis Deharveng, Wanda M. Weiner, Sun Xin, and Mikhail Potapov for assisting with species verification; and Ary Hoffmann, Melodie McGeoch, Philippe Vernon, and Craig White for commenting on a previous version of the work. This research was funded by Australian Research Council Grant DP140102815 and Australian Antarctic Science Grant 4307. The International Barcoding of Life Project (iBOL) partly supported the sequencing.</t>
  </si>
  <si>
    <t>NATL ACAD SCIENCES</t>
  </si>
  <si>
    <t>2101 CONSTITUTION AVE NW, WASHINGTON, DC 20418 USA</t>
  </si>
  <si>
    <t>0027-8424</t>
  </si>
  <si>
    <t>1091-6490</t>
  </si>
  <si>
    <t>P NATL ACAD SCI USA</t>
  </si>
  <si>
    <t>Proc. Natl. Acad. Sci. U. S. A.</t>
  </si>
  <si>
    <t>10.1073/pnas.1715598115</t>
  </si>
  <si>
    <t>FR5TI</t>
  </si>
  <si>
    <t>Green Published, hybrid</t>
  </si>
  <si>
    <t>WOS:000419128700042</t>
  </si>
  <si>
    <t>Smeele, ZE; Ainley, DG; Varsani, A</t>
  </si>
  <si>
    <t>Smeele, Zoe E.; Ainley, David G.; Varsani, Arvind</t>
  </si>
  <si>
    <t>Viruses associated with Antarctic wildlife: From serology based detection to identification of genomes using high throughput sequencing</t>
  </si>
  <si>
    <t>VIRUS RESEARCH</t>
  </si>
  <si>
    <t>Penguin; Seal; Petrel; Sharp spined notothen; Antarctica; Wildlife disease</t>
  </si>
  <si>
    <t>INFECTIOUS BURSAL DISEASE; PENGUINS PYGOSCELIS-ADELIAE; CANINE-DISTEMPER VIRUS; SEALS PHOCA-VITULINA; GASTROINTESTINAL HELMINTHS; MACQUARIE ISLAND; GEORGE ISLAND; INFLUENZA-A; FUR SEALS; ANTIBODIES</t>
  </si>
  <si>
    <t>The Antarctic, sub-Antarctic islands and surrounding sea-ice provide a unique environment for the existence of organisms. Nonetheless, birds and seals of a variety of species inhabit them, particularly during their breeding seasons. Early research on Antarctic wildlife health, using serology-based assays, showed exposure to viruses in the families Birnaviridae, Flaviviridae, Herpesviridae, Orthomyxoviridae and Paramyxoviridae circulating in seals (Phocidae), penguins (Spheniscidae), petrels (Procellariidae) and skuas (Stercorariidae). It is only during the last decade or so that polymerase chain reaction-based assays have been used to characterize viruses associated with Antarctic animals. Furthermore, it is only during the last five years that full/whole genomes of viruses (adenoviruses, anelloviruses, orthomyxoviruses, a papillomavirus, paramyoviruses, polyomaviruses and a togavirus) have been sequenced using Sanger sequencing or high throughput sequencing (HTS) approaches. This review summaries the knowledge of animal Antarctic virology and discusses potential future directions with the advent of HTS in virus discovery and ecology.</t>
  </si>
  <si>
    <t>[Smeele, Zoe E.; Varsani, Arvind] Arizona State Univ, Biodesign Ctr Fundamental &amp; Appl Microbi, Ctr Evolut &amp; Med, Sch Life Sci, Tempe, AZ 85287 USA; [Smeele, Zoe E.; Varsani, Arvind] Univ Canterbury, Sch Biol Sci, Private Bag 4800, Christchurch, New Zealand; [Ainley, David G.] HT Harvey &amp; Associates, Los Gatos, CA 95032 USA; [Varsani, Arvind] Univ Cape Town, Struct Biol Res Unit, Dept Clin Lab Sci, ZA-7701 Cape Town, South Africa</t>
  </si>
  <si>
    <t>Arizona State University; Arizona State University-Tempe; University of Canterbury; University of Cape Town</t>
  </si>
  <si>
    <t>Varsani, A (corresponding author), Arizona State Univ, Biodesign Ctr Fundamental &amp; Appl Microbi, Ctr Evolut &amp; Med, Sch Life Sci, Tempe, AZ 85287 USA.</t>
  </si>
  <si>
    <t>arvind.varsani@asu.edu</t>
  </si>
  <si>
    <t>Varsani, Arvind/JOZ-5299-2023</t>
  </si>
  <si>
    <t>Varsani, Arvind/0000-0003-4111-2415</t>
  </si>
  <si>
    <t>Biodesign Institute, Arizona State University, USA; National Science Foundation [PLR-1543541]; Biodesign Institute, Center of Evolution and Medicine, School of Life Science, Arizona State University, USA; School of Life Sciences, Arizona State University, USA</t>
  </si>
  <si>
    <t>Biodesign Institute, Arizona State University, USA; National Science Foundation(National Science Foundation (NSF)); Biodesign Institute, Center of Evolution and Medicine, School of Life Science, Arizona State University, USA; School of Life Sciences, Arizona State University, USA</t>
  </si>
  <si>
    <t>ZES is supported through startup funding awarded to AV from The Biodesign Institute and School of Life Sciences, Arizona State University, USA. DGA is supported by National Science Foundation grant PLR-1543541. AV is supported with funds from The Biodesign Institute, Center of Evolution and Medicine, School of Life Science, Arizona State University, USA.</t>
  </si>
  <si>
    <t>0168-1702</t>
  </si>
  <si>
    <t>1872-7492</t>
  </si>
  <si>
    <t>VIRUS RES</t>
  </si>
  <si>
    <t>Virus Res.</t>
  </si>
  <si>
    <t>10.1016/j.virusres.2017.10.017</t>
  </si>
  <si>
    <t>FP5MX</t>
  </si>
  <si>
    <t>WOS:000417664700014</t>
  </si>
  <si>
    <t>C</t>
  </si>
  <si>
    <t>Hwang, J; Fan, SS; King, P; Forrest, A</t>
  </si>
  <si>
    <t>IEEE</t>
  </si>
  <si>
    <t>Hwang, Jimin; Fan, Shuangshuang; King, Peter; Forrest, Alexander</t>
  </si>
  <si>
    <t>Development of error reduction model using Bayesian filter for AUV navigating under moving ice</t>
  </si>
  <si>
    <t>2018 IEEE/OES AUTONOMOUS UNDERWATER VEHICLE WORKSHOP (AUV)</t>
  </si>
  <si>
    <t>Proceedings Paper</t>
  </si>
  <si>
    <t>IEEE/OES Autonomous Underwater Vehicle Workshop (AUV)</t>
  </si>
  <si>
    <t>NOV 06-09, 2018</t>
  </si>
  <si>
    <t>Rectory Univ Porto, Porto, PORTUGAL</t>
  </si>
  <si>
    <t>Rectory Univ Porto</t>
  </si>
  <si>
    <t>Autonomous underwater vehicles (AUVs); underice AUV navigation; Doppler Velocity Logs (DVLs); acoustic positioning system; a single beacon; moving frame of reference; Bayesian filter algorithm; shift factors</t>
  </si>
  <si>
    <t>Doppler Velocity Logs (DVL) can provide a simple under water navigation aid for Autonomous Underwater Vehicles (AUV) by measuring relative velocities with respect to the speed over ground. A valid reference velocity is difficult to calculate when this approach is applied under a moving frame of reference such as drifting ice. The primary challenge of under-ice localization is to accurately estimate the AUV location and its trajectory in the global coordinate system when DVL measurements are being made relative to a constantly drifting ice surface. In this paper, the author introduces and compares two types of error sources, scale factor error of DVL and navigation error due to ice drift. An error reduction model using a Bayesian filter algorithm is developed for improved estimations, in conjunction with a novel correction method for accurate AUV navigation under ice. The concept of shift factor is introduced in this paper as the key to solve both error sources. Having the knowledge of the true beacon location, shift factors in vector quantity are extracted based on the collected relative velocity profiles by DVL. The shift factors are directly applied to update the final AUV location. The result presents approximately 70.8% of maximum error reduction. The impact of survey pattern, bearing angle to the beacon, pinging frequency on the accuracy of the vehicle localisation are discussed.</t>
  </si>
  <si>
    <t>[Hwang, Jimin; Fan, Shuangshuang; King, Peter] Univ Tasmania, Australian Maritime Coll, Natl Ctr Maritime Engn &amp; Hydrodynam, Launceston, Tas, Australia; [Forrest, Alexander] Univ Calif Davis, Dept Civil &amp; Environm Engn, Davis, CA 95616 USA</t>
  </si>
  <si>
    <t>University of Tasmania; Australian Maritime College; University of California System; University of California Davis</t>
  </si>
  <si>
    <t>Hwang, J (corresponding author), Univ Tasmania, Australian Maritime Coll, Natl Ctr Maritime Engn &amp; Hydrodynam, Launceston, Tas, Australia.</t>
  </si>
  <si>
    <t>jimin.hwang@utas.edu.au; shuangshuang.fan@utas.edu.au; p.d.king@utas.edu.au; alforrest@ucdavis.edu</t>
  </si>
  <si>
    <t>Hwang, Jimin/KAZ-9921-2024</t>
  </si>
  <si>
    <t>Hwang, Jimin/0000-0002-9641-0631; King, Peter/0000-0001-9436-0936</t>
  </si>
  <si>
    <t>Antarctic Gateway Partnership, A Special Research Initiative of the Australian Research Council</t>
  </si>
  <si>
    <t>This research was partly supported by Antarctic Gateway Partnership, A Special Research Initiative of the Australian Research Council.</t>
  </si>
  <si>
    <t>NEW YORK</t>
  </si>
  <si>
    <t>345 E 47TH ST, NEW YORK, NY 10017 USA</t>
  </si>
  <si>
    <t>978-1-7281-0253-5</t>
  </si>
  <si>
    <t>Computer Science, Theory &amp; Methods; Engineering, Marine; Robotics</t>
  </si>
  <si>
    <t>Conference Proceedings Citation Index - Science (CPCI-S)</t>
  </si>
  <si>
    <t>Computer Science; Engineering; Robotics</t>
  </si>
  <si>
    <t>BO0PW</t>
  </si>
  <si>
    <t>WOS:000492901600066</t>
  </si>
  <si>
    <t>Waldmann, C; de Vera, JP; Dachwald, B; Strasdeit, H; Sohl, F; Hanff, H; Kowalski, J; Heinen, D; Macht, S; Bestmann, U; Meckel, S; Hildebrandt, M; Funke, O; Gehrt, JJ</t>
  </si>
  <si>
    <t>Waldmann, Christoph; de Vera, Jean-Pierre; Dachwald, Bernd; Strasdeit, Henry; Sohl, Frank; Hanff, Hendrik; Kowalski, Julia; Heinen, Dirk; Macht, Sabine; Bestmann, Ulf; Meckel, Sebastian; Hildebrandt, Marc; Funke, Oliver; Gehrt, Jan-Joeran</t>
  </si>
  <si>
    <t>Search for life in ice-covered oceans and lakes beyond Earth</t>
  </si>
  <si>
    <t>Planetary exploration; Jupiter; ice moons; Europa; autonomy; underwater vehicle; navigation; melting probes; docking; acoustic navigation; Antarctica; biosignatures</t>
  </si>
  <si>
    <t>LIQUID WATER; PLUME</t>
  </si>
  <si>
    <t>The quest for life on other planets is closely connected with the search for water in liquid state. Recent discoveries of deep oceans on icy moons like Europa and Enceladus have spurred an intensive discussion about how these waters can be accessed. The challenge of this endeavor lies in the unforeseeable requirements on instrumental characteristics both with respect to the scientific and technical methods. The TRIPLE/nanoAUV initiative is aiming at developing a mission concept for exploring exo-oceans and demonstrating the achievements in an earth-analogue context, exploring the ocean under the ice shield of Antarctica and lakes like Dome-C on the Antarctic continent.</t>
  </si>
  <si>
    <t>[Waldmann, Christoph; Meckel, Sebastian] Univ Bremen, MARUM, Bremen, Germany; [de Vera, Jean-Pierre; Sohl, Frank] DLR, Inst Planetary Res, Berlin, Germany; [Dachwald, Bernd] FH Aachen, Fac Aerosp Engn, Aachen, Germany; [Strasdeit, Henry] Univ Hohenheim, Inst Chem, Stuttgart, Germany; [Hanff, Hendrik; Hildebrandt, Marc] DFKI, Robot Innovat Ctr, Bremen, Germany; [Kowalski, Julia] Rhein Westfal TH Aachen, AICES, Aachen, Germany; [Heinen, Dirk] Rhein Westfal TH Aachen, Phys Inst B 3, Aachen, Germany; [Macht, Sabine; Bestmann, Ulf] Univ Brausnschweig, Inst Flight Guidance, Braunschweig, Germany; [Funke, Oliver] DLR, Space Adm, Bonn, Germany; [Gehrt, Jan-Joeran] RWTH Univ, Inst Automat Control, Aachen, Germany</t>
  </si>
  <si>
    <t>University of Bremen; Helmholtz Association; German Aerospace Centre (DLR); University Hohenheim; German Research Center for Artificial Intelligence (DFKI); RWTH Aachen University; RWTH Aachen University; Helmholtz Association; German Aerospace Centre (DLR); RWTH Aachen University</t>
  </si>
  <si>
    <t>Waldmann, C (corresponding author), Univ Bremen, MARUM, Bremen, Germany.</t>
  </si>
  <si>
    <t>waldmann@marum.de; jean-pierre.devera@dlr.de; Dachwald@fh-aachen.de; henry.strasdeit@uni-hohenheim.de; Frank.Sohl@dlr.de; hendrik.hanff@dfki.de; kowalski@aices.rwth-aachen.de; heinen@physik.rwth-aachen.de; s.macht@tu-braunschweig.de; u.bestmann@tu-braunschweig.de; smeckel@marum.de; marc.hildebrandt@dfki.de; oliver.funke@dlr.de; J.Gehrt@irt.rwth-aachen.de</t>
  </si>
  <si>
    <t>Waldmann, Christoph/F-3386-2017; Heinen, Dirk/ABF-7280-2020</t>
  </si>
  <si>
    <t>Heinen, Dirk/0000-0002-4502-7288</t>
  </si>
  <si>
    <t>DLR Space Administration as part of the Explorer Initiatives</t>
  </si>
  <si>
    <t>The authors wishes to acknowledge the support of the DLR Space Administration as part of the Explorer Initiatives.</t>
  </si>
  <si>
    <t>WOS:000492901600059</t>
  </si>
  <si>
    <t>Williams, G; Turner, D; Maksym, T; Singh, H</t>
  </si>
  <si>
    <t>Williams, Guy; Turner, Darren; Maksym, Ted; Singh, Hanumant</t>
  </si>
  <si>
    <t>Near-coincident mapping of sea ice from above and below with UAS and AUV</t>
  </si>
  <si>
    <t>Autonomous Underwater Vehicles; Unmanned Aerial Systems; Sea Ice; Antarctica; Arctic</t>
  </si>
  <si>
    <t>Since 2010 the SeaBED-class Autonomous Underwater Vehicles (AUVs) have advanced the 3D mapping of sea ice draft in both polar regions, revealing a new richness of thickness and morphology data previously hidden from traditional observation methods. The limiting factor for the complete 3D characterisation of sea ice has been the reduced area of surface measurements from TLS (100 x 100m) relative to the AUV survey (500 x 500m). Accordingly, we developed a low-cost fixed wing Unmanned Aerial System (UAS) to conduct photogrammetric surveys for Digital Elevation Model construction of the sea ice surface at the same time as the AUV missions were completed below. Here we detail this UAS system and discuss how this methodology can be improved and potentially evolve to medium-range (10 km) 'Beyond Visual Line of Sight' transect-based missions with the next generation of longer range AUVs.</t>
  </si>
  <si>
    <t>[Williams, Guy] Univ Tasmania, Inst Marine &amp; Antarctic Studies, Hobart, Tas, Australia; [Turner, Darren] Univ Tasmania, TerraLuma Res Grp, Hobart, Tas, Australia; [Maksym, Ted] Woods Hole Oceanog Inst, Appl Ocean Phys &amp; Engn, Woods Hole, MA 02543 USA; [Singh, Hanumant] Northeastern Univ, Dept Elect &amp; Comp Engn, Boston, MA 02115 USA</t>
  </si>
  <si>
    <t>University of Tasmania; University of Tasmania; Woods Hole Oceanographic Institution; Northeastern University</t>
  </si>
  <si>
    <t>Williams, G (corresponding author), Univ Tasmania, Inst Marine &amp; Antarctic Studies, Hobart, Tas, Australia.</t>
  </si>
  <si>
    <t>guy.darvall.williams@gmail.com; darren.turner@utas.edu.au; tmaksym@whoi.edu; ha.singh@northeastern.edu</t>
  </si>
  <si>
    <t>Turner, Darren/O-4839-2017</t>
  </si>
  <si>
    <t>WOS:000492901600097</t>
  </si>
  <si>
    <t>S</t>
  </si>
  <si>
    <t>Contreras-Reyes, E</t>
  </si>
  <si>
    <t>Folguera, A; ContrerasReyes, E; Heredia, N; Encinas, A; Iannelli, SB; Oliveros, V; Davila, FM; Collo, G; Giambiagi, L; Maksymowicz, A; Llanos, MPI; Turienzo, M; Naipauer, M; Orts, D; Litvak, VD; Alvarez, O; Arriagada, C</t>
  </si>
  <si>
    <t>Contreras-Reyes, Eduardo</t>
  </si>
  <si>
    <t>Structure and Tectonics of the Chilean Convergent Margin from Wide-Angle Seismic Studies: A Review</t>
  </si>
  <si>
    <t>EVOLUTION OF THE CHILEAN-ARGENTINEAN ANDES</t>
  </si>
  <si>
    <t>Springer Earth System Sciences</t>
  </si>
  <si>
    <t>Review; Book Chapter</t>
  </si>
  <si>
    <t>Wide-angle seismic studies; Fore-arc; Crustal erosion; Accretion; Subsidence; Uplift</t>
  </si>
  <si>
    <t>SPREADING-RIDGE SUBDUCTION; SOUTHERN CENTRAL ANDES; JUAN FERNANDEZ RIDGE; NORTHERN CHILE; TRIPLE-JUNCTION; FORE-ARC; TOCOPILLA EARTHQUAKE; CRUSTAL DEFORMATION; CONTINENTAL-CRUST; TRENCH</t>
  </si>
  <si>
    <t>Based on a compilation of published 2-D velocity-depth models along the Chilean margin (22 degrees-48 degrees S), I review the structure and tectonic processes that govern this convergent margin in terms of subduction erosion and sediment accretion/subduction. North of the collision point between the Juan Fernandez Ridge with the overriding continental South American plate (Chile at similar to 32.5 degrees S), subduction erosion has been active since Jurassic resulting in large-scale crustal thinning and long-term subsidence of the outermost forearc. Published 2-D velocity-depth models show a prominent lateral velocity contrast that propagates deep into the continental crust defining a major lateral seismic discontinuity (interpreted as the volcanic-continental basement contact of the submerged Coastal Cordillera characterized by a gravitational collapse of the outermost fore arc). Between the Juan Fernandez Ridge and the Chile Triple Junction (CTJ) of the Nazca-Antarctic-South American plates (Chile at similar to 46.5 degrees S), an accretionary prism 5-50 km wide has been formed due to an increase of trench sedimentation triggered by denudation processes of the Andes after the last Pleistocene Glaciation. However, the relatively small size of the accretionary prism is not compatible with an efficient history of sediment accretion since the Pleistocene, and sediment subduction is a dominant process especially south of the oceanic Mocha Fracture Zone (Chile at similar to 38 degrees S) and north of the CTJ. In the overriding plate, seismic studies reveal two prominent velocity transition zones characterized by steep lateral velocity gradients, resulting in a seismic segmentation of the marine fore arc. The southern central Chilean margin is composed of three main domains: (1) a frontal prism at the toe of the continental slope, (2) a paleoaccretionary complex, and (3) the seaward edge of the Paleozoic continental framework that forms part of the Coastal Cordillera. Near the CTJ, where the Nazca-Antarctic spreading center (Chile Rise) collides with the margin, subduction erosion is active, and rapid uplift followed by subsidence of the forearc area, normal faulting and intensive sedimentary mass wasting are documented. South of the CTJ, the convergence between the oceanic Antarctic and continental South American plate is slow allowing more time sediment accumulation at the trench enhancing the formation of relatively large accretionary prisms (width of 70-90 km).</t>
  </si>
  <si>
    <t>[Contreras-Reyes, Eduardo] Univ Chile, Santiago, Chile</t>
  </si>
  <si>
    <t>Universidad de Chile</t>
  </si>
  <si>
    <t>Contreras-Reyes, E (corresponding author), Univ Chile, Santiago, Chile.</t>
  </si>
  <si>
    <t>econtreras@dgf.uchile.cl</t>
  </si>
  <si>
    <t>Contreras-Reyes, Eduardo/H-3867-2013</t>
  </si>
  <si>
    <t>Contreras-Reyes, Eduardo/0000-0002-6506-9258</t>
  </si>
  <si>
    <t>SPRINGER-VERLAG BERLIN</t>
  </si>
  <si>
    <t>HEIDELBERGER PLATZ 3, D-14197 BERLIN, GERMANY</t>
  </si>
  <si>
    <t>2197-9596</t>
  </si>
  <si>
    <t>2197-960X</t>
  </si>
  <si>
    <t>978-3-319-67774-3; 978-3-319-67773-6</t>
  </si>
  <si>
    <t>SPRING EARTH SYST SC</t>
  </si>
  <si>
    <t>10.1007/978-3-319-67774-3_1</t>
  </si>
  <si>
    <t>10.1007/978-3-319-67774-3</t>
  </si>
  <si>
    <t>Book Citation Index – Science (BKCI-S)</t>
  </si>
  <si>
    <t>BN5DL</t>
  </si>
  <si>
    <t>WOS:000482979000002</t>
  </si>
  <si>
    <t>Naipauer, M; Morabito, EG; Manassero, M; Valencia, VV; Ramos, VA</t>
  </si>
  <si>
    <t>Naipauer, Maximiliano; Morabito, Ezequiel Garcia; Manassero, Marcelo; Valencia, Victor V.; Ramos, Victor A.</t>
  </si>
  <si>
    <t>A Provenance Analysis from the Lower Jurassic Units of the Neuquen Basin. Volcanic Arc or Intraplate Magmatic Input?</t>
  </si>
  <si>
    <t>Article; Book Chapter</t>
  </si>
  <si>
    <t>Hf isotopes; U-Pb detrital ages; Provenance; Cuyo Group; Neuquen Basin</t>
  </si>
  <si>
    <t>BREAK-UP; SOUTHWESTERN GONDWANA; ANTARCTIC PENINSULA; TECTONIC EVOLUTION; PATAGONIAN ANDES; ARGENTINA; PROVINCE; CONSTRAINTS; MARGIN; CHILE</t>
  </si>
  <si>
    <t>A possible signal of the Jurassic Chon Aike Igneous Province within the early infill of the Neuquen Basin is recognized in our provenance analyses. We use a combination of detrital zircon geochronology and Lu-Hf isotope analysis, along with sandstone petrography descriptions to characterize the sediments source region in the Cuyo Group. The sandstone petrographic analysis confirms important contributions from volcanic sources of different compositions. U-Pb ages and Hf isotopes obtained in the analyzed zircons indicate a more complex configuration given by multiple igneous components. The variations in the provenance patterns allow us to make some observations about the paleogeographic evolution of the basin. At the base of the sequence, the sediments were derived from local sources composed of Permian basement and Upper Triassic volcanic rocks, whereas in the top, the zircons were supplied from Lower Jurassic volcanic rocks and Lower Paleozoic and Precambrian basements suggesting more distal and ancient sources. Low values of epsilon Hf-t (-15.5 to -0.7) analyzed in Permian and Triassic detrital zircons indicated an evolved source with strong crustal contribution. These data are in agreement with the negative values of epsilon Hf-t and eNdt calculated in Permian and Triassic igneous rocks from the North Patagonian Massif. The epsilon Hf-t about - 4 of the Jurassic detrital zircons indicated a crustal origin for the source rocks and are clearly compatible with the isotopic compositions of the Chon Aike Igneous Province. A volcanic source region compatible with the Andean arc is dismissed because the Jurassic arc has isotope characteristics of a mantle source.</t>
  </si>
  <si>
    <t>[Naipauer, Maximiliano; Morabito, Ezequiel Garcia] UBA, CONICET, Inst Estudios Andinos Don Pablo Groeber, Buenos Aires, DF, Argentina; [Morabito, Ezequiel Garcia] Swiss Fed Inst Technol, Swiss Fed Inst Technol, Zurich, Switzerland; [Manassero, Marcelo] UNLP, CONICET, Ctr Invest Geol, Buenos Aires, DF, Argentina; [Valencia, Victor V.] Washington State Univ, Sch Environm, Pullman, WA 99164 USA; [Ramos, Victor A.] Univ Buenos Aires, CONICET, Inst Estudios Andinos Don Pablo Groeber, Dept Ciencias Geol,FCEN, Buenos Aires, DF, Argentina</t>
  </si>
  <si>
    <t>Consejo Nacional de Investigaciones Cientificas y Tecnicas (CONICET); University of Buenos Aires; Swiss Federal Institutes of Technology Domain; ETH Zurich; Consejo Nacional de Investigaciones Cientificas y Tecnicas (CONICET); National University of La Plata; Washington State University; Consejo Nacional de Investigaciones Cientificas y Tecnicas (CONICET); University of Buenos Aires</t>
  </si>
  <si>
    <t>Naipauer, M (corresponding author), UBA, CONICET, Inst Estudios Andinos Don Pablo Groeber, Buenos Aires, DF, Argentina.</t>
  </si>
  <si>
    <t>maxinaipauer@hotmail.com</t>
  </si>
  <si>
    <t>10.1007/978-3-319-67774-3_8</t>
  </si>
  <si>
    <t>WOS:000482979000009</t>
  </si>
  <si>
    <t>Navarrete, CR; Gianni, GM; Echaurren, A; Folguera, A</t>
  </si>
  <si>
    <t>Navarrete, Cesar R.; Gianni, Guido M.; Echaurren, Andres; Folguera, Andres</t>
  </si>
  <si>
    <t>Lower Jurassic to Early Paleogene Intraplate Contraction in Central Patagonia</t>
  </si>
  <si>
    <t>Jurassic; Cretaceous; Within-plate contraction; South America absolute movement; Karoo thermal anomaly; Patagonia</t>
  </si>
  <si>
    <t>SAN-JORGE-BASIN; BREAK-UP; CHUBUT GROUP; ARGENTINA IMPLICATIONS; ANTARCTIC PENINSULA; TECTONIC EVOLUTION; SOUTH-ATLANTIC; MANTLE PLUME; AGE; PROVINCE</t>
  </si>
  <si>
    <t>Breakup and dispersion stages of Gondwana were ruled by crustal extension. In Patagonia, this regime was associated with the opening of extensional basins from the Jurassic onward, a process that was interrupted by the Andean Orogeny. New data generated from the hydrocarbon exploration allowed identifying Jurassic to Eocene contractional deformations, previously not registered in Central Patagonia. We summarize in this chapter evidence of five compressional events intercalated with the extensional regime that affected Central Patagonia from the Early Jurassic to the Paleogene. These events, denominated C1, C2, C3, C4, and C5, acted diachronicronously producing tectonic inversion of the Jurassic-Cretaceous depocenters. The first three contractional pulses occurred during the Jurassic, while the two remaining were Late Lower Cretaceous and Early Paleogene. The origin of this compressive activity would be linked to different processes that comprehended from thermal weakening of the crust produced by expansion of the Karoo thermal anomaly in Mid-to Late Jurassic times; the southward continental drift since the Early Jurassic; the ridge push generated by the opening of Weddell Sea since Mid-Jurassic times; and two mid-ocean ridge collisions during the Cretaceous.</t>
  </si>
  <si>
    <t>[Navarrete, Cesar R.] Univ Nacl Patagonia San Juan Bosco, Dept Geol, Comodoro Rivadavia, Chubut, Argentina; [Gianni, Guido M.] Univ Nacl San Juan, Inst Geofis Sismol Ing Volponi ( IGSV, San Juan, Argentina; [Gianni, Guido M.] Consejo Nacl Invest Cient &amp; Tecn CONICET, Buenos Aires, DF, Argentina; [Echaurren, Andres] Univ Buenos Aires, Inst Estudios Andinos Don Pablo Groeber, CONICET, Dept Ciencias Geol,FCEN, Buenos Aires, DF, Argentina; [Folguera, Andres] Univ Buenos Aires, Consejo Nacl Invest Cient &amp; Tecn CONICET, Inst Estudios Andinos IDEAN, Buenos Aires, DF, Argentina</t>
  </si>
  <si>
    <t>Universidad Nacional de la Patagonia San Juan Bosco; Universidad Nacional de San Juan; Consejo Nacional de Investigaciones Cientificas y Tecnicas (CONICET); Consejo Nacional de Investigaciones Cientificas y Tecnicas (CONICET); University of Buenos Aires; Consejo Nacional de Investigaciones Cientificas y Tecnicas (CONICET); University of Buenos Aires</t>
  </si>
  <si>
    <t>Navarrete, CR (corresponding author), Univ Nacl Patagonia San Juan Bosco, Dept Geol, Comodoro Rivadavia, Chubut, Argentina.</t>
  </si>
  <si>
    <t>cesarnavarrete@live.com.ar</t>
  </si>
  <si>
    <t>Navarrete, Cesar/0000-0001-7106-3672</t>
  </si>
  <si>
    <t>10.1007/978-3-319-67774-3_10</t>
  </si>
  <si>
    <t>WOS:000482979000011</t>
  </si>
  <si>
    <t>Ravichandran, M; Girishkumar, MS</t>
  </si>
  <si>
    <t>Venkatesan, R; Tandon, A; DAsaro, E; Atmanand, MA</t>
  </si>
  <si>
    <t>Ravichandran, M.; Girishkumar, M. S.</t>
  </si>
  <si>
    <t>Applications of Ocean In-situ Observations and Its Societal Relevance</t>
  </si>
  <si>
    <t>OBSERVING THE OCEANS IN REAL TIME</t>
  </si>
  <si>
    <t>Springer Oceanography</t>
  </si>
  <si>
    <t>EQUATORIAL INDIAN-OCEAN; DATA ASSIMILATION; SURFACE WINDS; BUOY NETWORK; QUIKSCAT; TIME; CHLOROPHYLL; OSCILLATION; VALIDATION; DYNAMICS</t>
  </si>
  <si>
    <t>The present status of ocean observation networks, especially in-situ, and their potential applications and societal relevance are summarized here. In-situ ocean observations are imperative to understand dynamics and thermodynamics of the ocean and its near-surface atmosphere, and they enhance our knowledge about weather and climate. Moreover, in-situ observations are directly assimilated into ocean and atmosphere models to support operational forecasts of ocean and atmospheric conditions. They complement the extensive data sets gathered by satellites, and they augment and validate the parameter estimates provided by satellites and other remote sensors through precise, direct measurements of ocean and atmospheric conditions. Global, national, and local ocean observational networks are a key foundation of operational oceanography. They underpin services of broad societal importance and economic value. These include the forecast of weather conditions, including seasonal and subseasonal monsoon forecasts; the provision of warnings of extreme weather and ocean events, such as tropical cyclones, storm surges, high waves and tsunamis; and information services in support of other ocean or coastal activities such as ocean transport and search and rescue operations. These services deliver direct and indirect benefits to a wide spectrum of society.</t>
  </si>
  <si>
    <t>[Ravichandran, M.] Natl Ctr Antarctic &amp; Ocean Res NCAOR, Vasco 403804, Goa, India; [Girishkumar, M. S.] Indian Natl Ctr Ocean Informat Serv INCOIS, Hyderabad 500090, Telangana, India</t>
  </si>
  <si>
    <t>Ministry of Earth Sciences (MoES) - India; National Centre for Polar and Ocean Research (NCPOR); Ministry of Earth Sciences (MoES) - India; Indian National Centre for Ocean Information Services (INCOIS)</t>
  </si>
  <si>
    <t>Ravichandran, M (corresponding author), Natl Ctr Antarctic &amp; Ocean Res NCAOR, Vasco 403804, Goa, India.</t>
  </si>
  <si>
    <t>mravi@ncaor.gov.in</t>
  </si>
  <si>
    <t>Ravichandran, M./AAM-1351-2020; s, girishkumar m/B-6616-2013</t>
  </si>
  <si>
    <t>SPRINGER INTERNATIONAL PUBLISHING AG</t>
  </si>
  <si>
    <t>CHAM</t>
  </si>
  <si>
    <t>GEWERBESTRASSE 11, CHAM, CH-6330, SWITZERLAND</t>
  </si>
  <si>
    <t>2365-7677</t>
  </si>
  <si>
    <t>2365-7685</t>
  </si>
  <si>
    <t>978-3-319-66493-4; 978-3-319-66492-7</t>
  </si>
  <si>
    <t>SPR OCEANOGR</t>
  </si>
  <si>
    <t>10.1007/978-3-319-66493-4_15</t>
  </si>
  <si>
    <t>10.1007/978-3-319-66493-4</t>
  </si>
  <si>
    <t>Oceanography</t>
  </si>
  <si>
    <t>BN4QA</t>
  </si>
  <si>
    <t>WOS:000482667200017</t>
  </si>
  <si>
    <t>Tarakanov, RY</t>
  </si>
  <si>
    <t>Velarde, MG; Tarakanov, RY; Marchenko, AV</t>
  </si>
  <si>
    <t>Tarakanov, R. Yu.</t>
  </si>
  <si>
    <t>Influence of the Current Field Non-stationarity and the Non-simultaneity of Hydrographic Measurements on ADCP-based Transport Estimates</t>
  </si>
  <si>
    <t>OCEAN IN MOTION: CIRCULATION, WAVES, POLAR OCEANOGRAPHY</t>
  </si>
  <si>
    <t>ANTARCTIC CIRCUMPOLAR CURRENT; DRAKE PASSAGE; SOUTH; VARIABILITY</t>
  </si>
  <si>
    <t>[Tarakanov, R. Yu.] Russian Acad Sci, Shirshov Inst Oceanol, Moscow, Russia</t>
  </si>
  <si>
    <t>Russian Academy of Sciences; Shirshov Institute of Oceanology</t>
  </si>
  <si>
    <t>Tarakanov, RY (corresponding author), Russian Acad Sci, Shirshov Inst Oceanol, Moscow, Russia.</t>
  </si>
  <si>
    <t>rtarakanov@gmail.com</t>
  </si>
  <si>
    <t>Tarakanov, Roman/R-3325-2016</t>
  </si>
  <si>
    <t>Tarakanov, Roman/0000-0002-8711-1859</t>
  </si>
  <si>
    <t>Russian Science Foundation [16-17-10149] Funding Source: Russian Science Foundation</t>
  </si>
  <si>
    <t>Russian Science Foundation(Russian Science Foundation (RSF))</t>
  </si>
  <si>
    <t>978-3-319-71934-4; 978-3-319-71933-7</t>
  </si>
  <si>
    <t>10.1007/978-3-319-71934-4_23</t>
  </si>
  <si>
    <t>10.1007/978-3-319-71934-4</t>
  </si>
  <si>
    <t>BN4PX</t>
  </si>
  <si>
    <t>WOS:000482664600020</t>
  </si>
  <si>
    <t>Lebedev, KV</t>
  </si>
  <si>
    <t>Lebedev, Konstantin V.</t>
  </si>
  <si>
    <t>Modeling Study of the Antarctic Circumpolar Current Variability Based on Argo Data</t>
  </si>
  <si>
    <t>DRAKE PASSAGE; TRANSPORT; CIRCULATION</t>
  </si>
  <si>
    <t>[Lebedev, Konstantin V.] Russian Acad Sci, Shirshov Inst Oceanol, Moscow, Russia</t>
  </si>
  <si>
    <t>Lebedev, KV (corresponding author), Russian Acad Sci, Shirshov Inst Oceanol, Moscow, Russia.</t>
  </si>
  <si>
    <t>KLebedev@ocean.ru</t>
  </si>
  <si>
    <t>Lebedev, Konstantin/E-4258-2014</t>
  </si>
  <si>
    <t>Lebedev, Konstantin/0000-0002-3997-203X</t>
  </si>
  <si>
    <t>10.1007/978-3-319-71934-4_30</t>
  </si>
  <si>
    <t>WOS:000482664600027</t>
  </si>
  <si>
    <t>Bogorodskii, PV; Pnyushkov, AV; Kustov, VY</t>
  </si>
  <si>
    <t>Bogorodskii, Peter V.; Pnyushkov, Andrey V.; Kustov, Vasilii Yu</t>
  </si>
  <si>
    <t>Seasonal Freezing of a Subwater Ground Layer at the Laptev Sea Shelf</t>
  </si>
  <si>
    <t>SUBMARINE PERMAFROST; FAST ICE; MODEL; SOLIDIFICATION; ALLOY</t>
  </si>
  <si>
    <t>[Bogorodskii, Peter V.; Kustov, Vasilii Yu] Arctic &amp; Antarctic Res Inst, St Petersburg, Russia; [Pnyushkov, Andrey V.] Univ Alaska, Int Arctic Res Ctr, Fairbanks, AK 99701 USA; [Pnyushkov, Andrey V.] Univ Hokkaido, Arctic Res Ctr, Sapporo, Hokkaido, Japan</t>
  </si>
  <si>
    <t>Arctic &amp; Antarctic Research Institute; University of Alaska System; University of Alaska Fairbanks; Hokkaido University</t>
  </si>
  <si>
    <t>Bogorodskii, PV (corresponding author), Arctic &amp; Antarctic Res Inst, St Petersburg, Russia.</t>
  </si>
  <si>
    <t>bogorodski@aari.ru</t>
  </si>
  <si>
    <t>Pnyushkov, Andrey/M-3156-2019; Bogorodskii, Petr/J-4213-2014</t>
  </si>
  <si>
    <t>Pnyushkov, Andrey/0000-0001-9112-6458;</t>
  </si>
  <si>
    <t>10.1007/978-3-319-71934-4_39</t>
  </si>
  <si>
    <t>WOS:000482664600036</t>
  </si>
  <si>
    <t>Li, Z; Liu, JB; Wang, ZM; Chen, RZ</t>
  </si>
  <si>
    <t>Sun, J; Yang, C; Guo, S</t>
  </si>
  <si>
    <t>Li, Zheng; Liu, Jingbin; Wang, Zemin; Chen, Ruizhi</t>
  </si>
  <si>
    <t>A Novel Fingerprinting Method of WiFi Indoor Positioning Based on Weibull Signal Model</t>
  </si>
  <si>
    <t>CHINA SATELLITE NAVIGATION CONFERENCE (CSNC) 2018 PROCEEDINGS, VOL I</t>
  </si>
  <si>
    <t>Lecture Notes in Electrical Engineering</t>
  </si>
  <si>
    <t>9th China Satellite Navigation Conference (CSNC) - Location, Time of Augmentation</t>
  </si>
  <si>
    <t>MAY 23-25, 2018</t>
  </si>
  <si>
    <t>Harbin, PEOPLES R CHINA</t>
  </si>
  <si>
    <t>WiFi; Indoor positioning; Smartphone positioning; Fingerprint matching; Received signal strength indication (RSSI); Weibull signal model</t>
  </si>
  <si>
    <t>LOCATION</t>
  </si>
  <si>
    <t>A number of indoor positioning systems based on WiFi fingerprinting were reported thanks to advantages of this method, such as low cost and extensive availability. The Bayesian fingerprinting method needs learn the radio map of probability distribution of WiFi signal strengths over the space of interest through a training phase. Traditionally, the histogram method was used for calculating probability distribution, and it required an adequate number of WiFi samples, which caused a long time taken in the training phase. This study first analyzes the temporal variation of WiFi received signal strength indication (RSSI) at a specific location, and proposes the Weibull signal model for representing the probability density of temporal variation of WiFi RSSI observables. Then, in the positioning phase, the Weibull-based probability density is utilized for Bayesian estimation to resolve the positioning solution. This method is proposed to reduce the required number of RSSI samples for learning probability distribution, and hence improve the efficiency of fingerprinting database training. This method is implemented on Android commodity smartphone, and is evaluated in office building environments. Experiment results show that this method reduces the work loading of fingerprinting training due to less samples required, and the positioning accuracy is enhanced by 21-35% up to different building environments, compared to the histogram based method even in which more samples are used.</t>
  </si>
  <si>
    <t>[Li, Zheng; Liu, Jingbin; Chen, Ruizhi] Wuhan Univ, State Key Lab Informat Engn Surveying Mapping &amp; R, Wuhan, Hubei, Peoples R China; [Li, Zheng; Wang, Zemin] Wuhan Univ, Chinese Antarctic Ctr Surveying &amp; Mapping, Wuhan, Hubei, Peoples R China; [Liu, Jingbin; Chen, Ruizhi] Wuhan Univ, Collaborat Innovat Ctr Geospatial Technol, Wuhan, Hubei, Peoples R China</t>
  </si>
  <si>
    <t>Wuhan University; Wuhan University; Wuhan University</t>
  </si>
  <si>
    <t>Liu, JB (corresponding author), Wuhan Univ, State Key Lab Informat Engn Surveying Mapping &amp; R, Wuhan, Hubei, Peoples R China.</t>
  </si>
  <si>
    <t>2016206440005@whu.edu.cn; jingbin.liu@whu.edu.cn; zmwang@whu.edu.cn; ruizhi.chen@whu.edu.cn</t>
  </si>
  <si>
    <t>ZeMin, Wang/AAU-3422-2020; Liu, Jingbin/AAE-8803-2020; Chen, Ruizhi/JWA-0977-2024</t>
  </si>
  <si>
    <t>Liu, Jingbin/0000-0001-6216-0956</t>
  </si>
  <si>
    <t>National Key Research Development Program of China [2016YFB0502204]</t>
  </si>
  <si>
    <t>National Key Research Development Program of China</t>
  </si>
  <si>
    <t>This study is supported in part by the National Key Research Development Program of China with project No. 2016YFB0502204 (High available and high precision indoor intelligent hybrid positioning and indoor GIS technology).</t>
  </si>
  <si>
    <t>SPRINGER</t>
  </si>
  <si>
    <t>233 SPRING STREET, NEW YORK, NY 10013, UNITED STATES</t>
  </si>
  <si>
    <t>1876-1100</t>
  </si>
  <si>
    <t>1876-1119</t>
  </si>
  <si>
    <t>978-981-13-0005-9; 978-981-13-0004-2</t>
  </si>
  <si>
    <t>LECT NOTES ELECTR EN</t>
  </si>
  <si>
    <t>10.1007/978-981-13-0005-9_25</t>
  </si>
  <si>
    <t>Telecommunications</t>
  </si>
  <si>
    <t>BL1XY</t>
  </si>
  <si>
    <t>WOS:000448603200025</t>
  </si>
  <si>
    <t>Blagoveshchensky, D; Maltseva, O; Nikitenko, T; Zhbankov, G</t>
  </si>
  <si>
    <t>Lepadatescu, B</t>
  </si>
  <si>
    <t>Blagoveshchensky, Donat; Maltseva, Olga; Nikitenko, Tatyana; Zhbankov, Gennady</t>
  </si>
  <si>
    <t>Peculiarities of the behavior of the Ionosphere and HF Propagation Parameters in September 2017</t>
  </si>
  <si>
    <t>RECENT ADVANCES ON ENVIRONMENT, CHEMICAL ENGINEERING AND MATERIALS</t>
  </si>
  <si>
    <t>AIP Conference Proceedings</t>
  </si>
  <si>
    <t>International Conference on Environment, Chemical Engineering and Materials</t>
  </si>
  <si>
    <t>JUN 22-24, 2018</t>
  </si>
  <si>
    <t>Sliema, MALTA</t>
  </si>
  <si>
    <t>HIGH-LATITUDES; MODEL; FOF2</t>
  </si>
  <si>
    <t>Due to increasing of economic and scientific activity in the high latitude regions interest to information tools has been raised. One of the basic ways of exchanging information is the propagation of high-frequency (HF) waves, which requires knowledge of the state of the ionosphere. One of the main ways to describe this state is to use models. In the present paper, the most widespread model IRI2016 is used, however it has not been adequately tested in the high latitude regions, especially from oblique sounding and during disturbances. Results of testing the state of the ionosphere and the characteristics of HF propagation are presented for the period of September 2017, the month with the strongest disturbance at the end of the year. Two methods: analytical and numerical modelling, based on ray tracing, were used to determine the maximum usable frequency MUF on the paths of Gorkovskaya-Lovozero and Cyprus-Lovozero. A special feature of the study is the use of vertical and oblique sounding data with a 15-minute resolution. It is shown, that during the period of September 6-8, the MIT experienced a positive disturbance. The model values corresponded to the experimental magnitudes rather well. The possibility of using the analytical method for obtaining the MUF is confirmed by ray tracing. It is shown, that for monitoring of ionospheric conditions along any path it is possible to use the total electron content measured by means of navigation satellites GPS, GLONASS.</t>
  </si>
  <si>
    <t>[Blagoveshchensky, Donat] St Petersburg State Univ Aerosp Instrumentat, 67 Bolshaya Morskaya St, St Petersburg 190000, Russia; [Maltseva, Olga; Nikitenko, Tatyana; Zhbankov, Gennady] Southern Fed Univ, Inst Phys, Stachki 194, Rostov Na Donu 344090, Russia</t>
  </si>
  <si>
    <t>Saint Petersburg State University of Aerospace Instrumentation; Southern Federal University</t>
  </si>
  <si>
    <t>Maltseva, O (corresponding author), Southern Fed Univ, Inst Phys, Stachki 194, Rostov Na Donu 344090, Russia.</t>
  </si>
  <si>
    <t>donatbl@mail.ru; mal@ip.rsu.ru; niki-ta1952@mail.ru; zhbankov@ip.rsu.ru</t>
  </si>
  <si>
    <t>Zhbankov, Gennady/0000-0001-6154-1917</t>
  </si>
  <si>
    <t>Russian Foundation for Basic Research [18-05-00343]; Ministry of Education and Science of Russia [N3.9696.2017/8.9]</t>
  </si>
  <si>
    <t>Russian Foundation for Basic Research(Russian Foundation for Basic Research (RFBR)Spanish Government); Ministry of Education and Science of Russia(Ministry of Education and Science, Russian Federation)</t>
  </si>
  <si>
    <t>Authors thank the Arctic Antarctic Research Institute for availability of data of vertical and oblique sounding. The work of Blagoveshchensky D. and Maltseva O. was supported by grant No 18-05-00343 from Russian Foundation for Basic Research. The work of Nikitenko T. and Zhbankov G. was supported by grant under the state task N3.9696.2017/8.9 from Ministry of Education and Science of Russia.</t>
  </si>
  <si>
    <t>AMER INST PHYSICS</t>
  </si>
  <si>
    <t>MELVILLE</t>
  </si>
  <si>
    <t>2 HUNTINGTON QUADRANGLE, STE 1NO1, MELVILLE, NY 11747-4501 USA</t>
  </si>
  <si>
    <t>0094-243X</t>
  </si>
  <si>
    <t>978-0-7354-1740-3</t>
  </si>
  <si>
    <t>AIP CONF PROC</t>
  </si>
  <si>
    <t>020015-1</t>
  </si>
  <si>
    <t>10.1063/1.5060695</t>
  </si>
  <si>
    <t>Engineering, Environmental; Engineering, Chemical; Materials Science, Multidisciplinary</t>
  </si>
  <si>
    <t>Engineering; Materials Science</t>
  </si>
  <si>
    <t>BN4BB</t>
  </si>
  <si>
    <t>WOS:000481676400015</t>
  </si>
  <si>
    <t>Roy, I</t>
  </si>
  <si>
    <t>Roy, Indrani</t>
  </si>
  <si>
    <t>Major Modes of Variability</t>
  </si>
  <si>
    <t>CLIMATE VARIABILITY AND SUNSPOT ACTIVITY: ANALYSIS OF THE SOLAR INFLUENCE ON CLIMATE</t>
  </si>
  <si>
    <t>Springer Atmospheric Sciences</t>
  </si>
  <si>
    <t>Modes of variability; ENSO; NAO; AO; AAO; PDO; AMO; Indian Summer Monsoon (ISM); Indian Ocean Dipole (IOD); QBO; SSW</t>
  </si>
  <si>
    <t>This chapter focused on major modes of variability which serve the key role in controlling the regional climate. In terms of tropospheric variability, it defined and discussed ENSO (El Nino Southern Oscillation), NAO (North Atlantic Oscillation), AO and AAO (Arctic Oscillation, Antarctic Oscillation), Indian Monsoon, Indian Ocean Dipole (IOD), PDO (Pacific Decadal Oscillation) and AMO (Atlantic Multidecadal Oscillation). Later it attended stratosphere variability; this constitutes QBO (quasi-biennial oscillation) and SSW (stratospheric sudden warming). Main characteristic features of each of these modes were elaborately discussed.</t>
  </si>
  <si>
    <t>[Roy, Indrani] Univ Exeter, Coll Engn, Math &amp; Phys Sci, Exeter, Devon, England</t>
  </si>
  <si>
    <t>University of Exeter</t>
  </si>
  <si>
    <t>Roy, I (corresponding author), Univ Exeter, Coll Engn, Math &amp; Phys Sci, Exeter, Devon, England.</t>
  </si>
  <si>
    <t>Roy, Indrani/U-1447-2018</t>
  </si>
  <si>
    <t>Roy, Indrani/0000-0003-1728-7506</t>
  </si>
  <si>
    <t>2194-5217</t>
  </si>
  <si>
    <t>978-3-319-77107-6; 978-3-319-77106-9</t>
  </si>
  <si>
    <t>SPRINGER ATMOS SCI</t>
  </si>
  <si>
    <t>10.1007/978-3-319-77107-6_2</t>
  </si>
  <si>
    <t>10.1007/978-3-319-77107-6</t>
  </si>
  <si>
    <t>BN1DL</t>
  </si>
  <si>
    <t>WOS:000474199200003</t>
  </si>
  <si>
    <t>The Arctic and Antarctic Sea Ice</t>
  </si>
  <si>
    <t>Arctic sea ice; Antarctic sea ice; Sea ice extent; Sea ice trend</t>
  </si>
  <si>
    <t>This chapter covered Arctic and Antarctic climate. It discussed Arctic warming and focused on various related areas including Arctic Sea ice - last few years and recent decline. Recent behaviour of Antarctic Sea ice was also addressed.</t>
  </si>
  <si>
    <t>10.1007/978-3-319-77107-6_13</t>
  </si>
  <si>
    <t>WOS:000474199200014</t>
  </si>
  <si>
    <t>Ozone Depletion in the Stratosphere</t>
  </si>
  <si>
    <t>Ozone hole; Montreal Protocol; UV radiation; Anthropogenic influence</t>
  </si>
  <si>
    <t>This chapter discusses Antarctic ozone hole and its relevance to banning of CFCs through Montreal Protocol. It describes that ozone in the stratosphere and greenhouse gas in the troposphere both have a comparable effect on surface climate, though ozone is more important in higher latitudes and altitudes.</t>
  </si>
  <si>
    <t>10.1007/978-3-319-77107-6_17</t>
  </si>
  <si>
    <t>WOS:000474199200018</t>
  </si>
  <si>
    <t>Yamaguchi, A; Barrat, JA; Greenwood, R</t>
  </si>
  <si>
    <t>White, WM</t>
  </si>
  <si>
    <t>Yamaguchi, Akira; Barrat, Jean-Alix; Greenwood, Richard</t>
  </si>
  <si>
    <t>Achondrites</t>
  </si>
  <si>
    <t>ENCYCLOPEDIA OF GEOCHEMISTRY: A COMPREHENSIVE REFERENCE SOURCE ON THE CHEMISTRY OF THE EARTH</t>
  </si>
  <si>
    <t>Encyclopedia of Earth Sciences Series</t>
  </si>
  <si>
    <t>PARTIAL MELT RESIDUES; OXYGEN-ISOTOPE; METEORITES; ORIGIN; GEOCHEMISTRY; CLUES; AGES</t>
  </si>
  <si>
    <t>[Yamaguchi, Akira] Natl Inst Polar Res, Antarctic Meteorite Res Ctr, Tokyo, Japan; [Yamaguchi, Akira] SOKENDAI Grad Univ Adv Studies, Sch Multidisciplinary Sci, Dept Polar Sci, Tokyo, Japan; [Barrat, Jean-Alix] CNRS, UBO IUEM, UMR Domaines Ocean 6538, Plouzane, France; [Greenwood, Richard] Open Univ, Dept Phys Sci, Planetary &amp; Space Sci, Milton Keynes, Bucks, England</t>
  </si>
  <si>
    <t>Research Organization of Information &amp; Systems (ROIS); National Institute of Polar Research (NIPR) - Japan; Graduate University for Advanced Studies - Japan; Centre National de la Recherche Scientifique (CNRS); CNRS - National Institute for Earth Sciences &amp; Astronomy (INSU); Universite de Bretagne Occidentale; Open University - UK</t>
  </si>
  <si>
    <t>Yamaguchi, A (corresponding author), Natl Inst Polar Res, Antarctic Meteorite Res Ctr, Tokyo, Japan.;Yamaguchi, A (corresponding author), SOKENDAI Grad Univ Adv Studies, Sch Multidisciplinary Sci, Dept Polar Sci, Tokyo, Japan.</t>
  </si>
  <si>
    <t>; Barrat, Jean Alix/C-8416-2017</t>
  </si>
  <si>
    <t>Greenwood, Richard/0000-0002-5544-8027; Barrat, Jean Alix/0000-0003-3158-3109</t>
  </si>
  <si>
    <t>1388-4360</t>
  </si>
  <si>
    <t>1871-756X</t>
  </si>
  <si>
    <t>978-3-319-39312-4; 978-3-319-39311-7</t>
  </si>
  <si>
    <t>ENCY EARTH SCI SER</t>
  </si>
  <si>
    <t>BN0LQ</t>
  </si>
  <si>
    <t>WOS:000473130400003</t>
  </si>
  <si>
    <t>Jin, WT; Li, F; Yan, JG; Ye, M; Yang, X</t>
  </si>
  <si>
    <t>Jin WeiTong; Li Fei; Yan JianGuo; Ye Mao; Yang Xuan</t>
  </si>
  <si>
    <t>Determination of mass and bulk density of asteroid (21) Lutetia using Rosetta radio tracking data</t>
  </si>
  <si>
    <t>SCIENTIA SINICA-PHYSICA MECHANICA &amp; ASTRONOMICA</t>
  </si>
  <si>
    <t>Chinese</t>
  </si>
  <si>
    <t>Rosetta spacecraft; asteroid (21) Lutetia; mass; bulk density; WUDOGS</t>
  </si>
  <si>
    <t>Mass and bulk density of asteroids, which could be determined to high precision through spacecraft flyby, are critical to understanding their interior structures and compositions. In this paper, the Rosetta spacecraft radio tracking data were used to determine the mass of the asteroid based on self-developed software tools. Using the volume model of Lutetia determined by Rosetta science camera, the bulk density was estimated. For extracting contributions only associated with Lutetia, an effective model was established and the detailed mathematical formula was developed to remove the additional frequency shift induced by HGA slew motion accounting for two degrees of freedom in azimuth and elevation angle. In addition, two available solution scenarios were applied in order to obtain reliable solution and the detailed discussion about parameter correlation and solution stability were performed based on properties of parameters and flyby geometry. All of above yielded a mass of (1.696 +/- 0.014) x10(18) kg (1 sigma, error 0.85%) and the bulk density (3.4 +/- 0.3) x10(3) kg/m(3) at last. The values were almost the same as which was achieved by Rosetta Science Team and the precision of the asteroid mass was improved by 15%.</t>
  </si>
  <si>
    <t>[Jin WeiTong; Li Fei; Yan JianGuo; Ye Mao; Yang Xuan] Wuhan Univ, State Key Lab Informat Engn Surveying Mapping &amp; R, Wuhan 430079, Hubei, Peoples R China; [Li Fei] Wuhan Univ, Chinese Antarctic Ctr Surveying &amp; Mapping, Wuhan 430079, Hubei, Peoples R China</t>
  </si>
  <si>
    <t>Wuhan University; Wuhan University</t>
  </si>
  <si>
    <t>Li, F; Yan, JG (corresponding author), Wuhan Univ, State Key Lab Informat Engn Surveying Mapping &amp; R, Wuhan 430079, Hubei, Peoples R China.;Li, F (corresponding author), Wuhan Univ, Chinese Antarctic Ctr Surveying &amp; Mapping, Wuhan 430079, Hubei, Peoples R China.</t>
  </si>
  <si>
    <t>fli@whu.edu.cn; jgyan@whu.edu.cn</t>
  </si>
  <si>
    <t>SCIENCE PRESS</t>
  </si>
  <si>
    <t>BEIJING</t>
  </si>
  <si>
    <t>16 DONGHUANGCHENGGEN NORTH ST, BEIJING 100717, PEOPLES R CHINA</t>
  </si>
  <si>
    <t>1674-7275</t>
  </si>
  <si>
    <t>2095-9478</t>
  </si>
  <si>
    <t>SCI SIN-PHYS MECH AS</t>
  </si>
  <si>
    <t>Sci. Sin.-Phys. Mech. Astron.</t>
  </si>
  <si>
    <t>10.1360/SSPMA2018-00084</t>
  </si>
  <si>
    <t>Astronomy &amp; Astrophysics; Physics, Multidisciplinary</t>
  </si>
  <si>
    <t>Emerging Sources Citation Index (ESCI)</t>
  </si>
  <si>
    <t>Astronomy &amp; Astrophysics; Physics</t>
  </si>
  <si>
    <t>IE8VR</t>
  </si>
  <si>
    <t>WOS:000472652100002</t>
  </si>
  <si>
    <t>B</t>
  </si>
  <si>
    <t>Fox, WL</t>
  </si>
  <si>
    <t>Larsen, JK; Hemmersam, P</t>
  </si>
  <si>
    <t>Fox, William L.</t>
  </si>
  <si>
    <t>Branding ice Contemporary public art in the Arctic</t>
  </si>
  <si>
    <t>FUTURE NORTH: THE CHANGING ARCTIC LANDSCAPES</t>
  </si>
  <si>
    <t>Landscape Architecture-History - Culture - Theory - Practice</t>
  </si>
  <si>
    <t>TOURISM; HUMANS</t>
  </si>
  <si>
    <t>[Fox, William L.] Natl Sci Fdn, Alexandria, VA USA; [Fox, William L.] Antarctic Visiting Artists &amp; Writers Program, Alexandria, VA USA; [Fox, William L.] NASA Haughton Mars Project, Washington, DC USA; [Fox, William L.] Design Power NORDES, Oslo, Norway</t>
  </si>
  <si>
    <t>National Science Foundation (NSF)</t>
  </si>
  <si>
    <t>Fox, WL (corresponding author), Design Power NORDES, Oslo, Norway.</t>
  </si>
  <si>
    <t>ROUTLEDGE</t>
  </si>
  <si>
    <t>2 PARK SQ, MILTON PARK, ABINGDON OX14 4RN, OXFORD, ENGLAND</t>
  </si>
  <si>
    <t>978-1-315-58371-6; 978-1-4724-8125-2</t>
  </si>
  <si>
    <t>LANDSC ARCHIT-HIST-C</t>
  </si>
  <si>
    <t>10.4324/9781315583716</t>
  </si>
  <si>
    <t>Green &amp; Sustainable Science &amp; Technology; Environmental Studies; Geography; Regional &amp; Urban Planning</t>
  </si>
  <si>
    <t>Book Citation Index – Social Sciences &amp; Humanities (BKCI-SSH)</t>
  </si>
  <si>
    <t>Science &amp; Technology - Other Topics; Environmental Sciences &amp; Ecology; Geography; Public Administration</t>
  </si>
  <si>
    <t>BM6TF</t>
  </si>
  <si>
    <t>WOS:000467370100010</t>
  </si>
  <si>
    <t>Kaarsholm, HM; Verland, N; Norregaard, RD; Bach, L; Sondergaard, J; Rigét, FF; Dietz, R; Hansen, M; Eulaers, I; Desforges, JP; Leifsson, PS; Dang, M; Nowak, B; Sonne, C</t>
  </si>
  <si>
    <t>Kaarsholm, Henrik M.; Verland, Ninna; Norregaard, Rasmus D.; Bach, Lis; Sondergaard, Jens; Riget, Frank F.; Dietz, Rune; Hansen, Martin; Eulaers, Igor; Desforges, Jean-Pierre; Leifsson, Pall S.; Dang, Mai; Nowak, Barbara; Sonne, Christian</t>
  </si>
  <si>
    <t>Histology of Sculpin spp. in East Greenland. II. Histopathology and trace element concentrations</t>
  </si>
  <si>
    <t>TOXICOLOGICAL AND ENVIRONMENTAL CHEMISTRY</t>
  </si>
  <si>
    <t>Environmental monitoring; Arctic; metals; selenium; gills; liver</t>
  </si>
  <si>
    <t>LEAD-ZINC MINE; HEAVY-METALS; MYOXOCEPHALUS-SCORPIUS; FISH GILL; CADMIUM; LIVER; ACCUMULATION; BIOMARKERS; TOXICITY; EXPOSURE</t>
  </si>
  <si>
    <t>For many years, the sculpin has been utilized as a sentinel monitoring species for anthropogenic impacts on the marine environment. To further develop its potential as a screening model body burden of several trace elements, including cadmium (Cd), copper (Cu), mercury (Hg), lead (Pb) and selenium (Se), were investigated. In addition, histopathology in shorthorn sculpins (Myoxocephalus scorpius; n = 20) and fourhorn sculpins (Myoxocephalus quadricornis; n = 10) were examined at three sites around the Scoresby Sound settlement in Central East Greenland. Fourhorn sculpins caught at the most distant site from the settlement, contained significantly higher hepatic Cu and Cd concentrations as well as significantly elevated gill Pb levels compared to the shorthorn sculpins collected at two other sites closer to the settlement. Histological examinations showed that fish with significantly higher concentrations of hepatic Cd and Se exhibited greater nuclear alterations, interstitial hyperplasia/hypertrophy, interstitial mononuclear infiltrations and granulomas. Further, fish with higher Cd and Cu gill tissue levels displayed a significantly higher number of cytoplasmic alterations and lamellar epithelium lifting, hypertrophic and hyperplastic epithelium along with mucus cell hyperplasia. While the presence of liver lesions were not species or sex-specific, the presence of gill lesions decreased in the order female fourhorn sculpins &gt; female shorthorn sculpins&gt; male fourhorn sculpins &gt; male shorthorn sculpins. Hepatic Hg concentrations exceeded known lowest observable effect doses (LOED) for fish (0.1-0.5 mu g g(-1) ww) in 27% of fish, while liver Cd residues in 80% exceeded LOED (0.42-1.8 mu g g(-1) ww). Based upon these results, data suggest that using the sculpin as a valuable sentinel fish species histopathology may serve as a reliable tool for assessing marine ecosystem exposure to trace metals. However, confounding physiological and ecological factors also need to be considered.</t>
  </si>
  <si>
    <t>[Kaarsholm, Henrik M.; Verland, Ninna; Leifsson, Pall S.] Univ Copenhagen, Fac Hlth &amp; Med Sci, Dept Vet &amp; Anim Sci, Frederiksberg, Denmark; [Kaarsholm, Henrik M.; Verland, Ninna; Norregaard, Rasmus D.; Bach, Lis; Sondergaard, Jens; Riget, Frank F.; Dietz, Rune; Eulaers, Igor; Desforges, Jean-Pierre; Nowak, Barbara; Sonne, Christian] Aarhus Univ, ARC, Fac Sci &amp; Technol, Dept Biosci, Frederiksborgvej 399,POB 358, DK-4000 Roskilde, Denmark; [Norregaard, Rasmus D.] Greenland Inst Nat Resources, Dept Environm &amp; Mineral Resources, Nuuk, Greenland; [Hansen, Martin] Aarhus Univ, Fac Sci &amp; Technol, Dept Environm Sci, Roskilde, Denmark; [Dang, Mai; Nowak, Barbara] Univ Tasmania, Inst Marine &amp; Antarctic Studies, Newnham, Australia</t>
  </si>
  <si>
    <t>University of Copenhagen; Aarhus University; Greenland Institute of Natural Resources; Aarhus University; University of Tasmania</t>
  </si>
  <si>
    <t>Sonne, C (corresponding author), Aarhus Univ, ARC, Fac Sci &amp; Technol, Dept Biosci, Frederiksborgvej 399,POB 358, DK-4000 Roskilde, Denmark.</t>
  </si>
  <si>
    <t>cs@bios.au.dk</t>
  </si>
  <si>
    <t>Desforges, Jean-Pierre W/B-9217-2016; Dietz, Rune/F-9154-2015; Søndergaard, Jens/AAZ-1079-2020; Sonne, Christian/I-7532-2013; Eulaers, Igor/AAJ-5912-2020; Hansen, Martin/B-3121-2010; Bach, Lis/J-6567-2013; Nowak, Barbara/J-7261-2014</t>
  </si>
  <si>
    <t>Dietz, Rune/0000-0001-9652-317X; Søndergaard, Jens/0000-0001-7680-9920; Sonne, Christian/0000-0001-5723-5263; Eulaers, Igor/0000-0002-7130-9932; Hansen, Martin/0000-0002-4663-8742; Bach, Lis/0000-0003-2891-4202; Nowak, Barbara/0000-0002-0347-643X; Leifsson, Pall S/0000-0003-1539-9491; Dang, Mai T. S./0000-0003-2542-120X</t>
  </si>
  <si>
    <t>Danish Cooperation for Environment in the Arctic (DANCEA); Arctic Research Centre (ARC) at Aarhus University; Velux Foundations; Carlsberg Foundation; North Water Project (NOW); Ministry of Environment and Food of Denmark; Environmental Agency for Mineral Resource Activities, Government of Greenland [771020]</t>
  </si>
  <si>
    <t>Danish Cooperation for Environment in the Arctic (DANCEA); Arctic Research Centre (ARC) at Aarhus University; Velux Foundations(Velux Fonden); Carlsberg Foundation(Carlsberg Foundation); North Water Project (NOW); Ministry of Environment and Food of Denmark; Environmental Agency for Mineral Resource Activities, Government of Greenland</t>
  </si>
  <si>
    <t>The Danish Cooperation for Environment in the Arctic (DANCEA) and the Arctic Research Centre (ARC) at Aarhus University supported sampling, analyses and writing of this study as well as the Velux Foundations and the Carlsberg Foundation for funding. The North Water Project (NOW) supporting part of the writing process of this work. Financial support was also given from The Ministry of Environment and Food of Denmark and The Environmental Agency for Mineral Resource Activities [project 771020], Government of Greenland.</t>
  </si>
  <si>
    <t>0277-2248</t>
  </si>
  <si>
    <t>1029-0486</t>
  </si>
  <si>
    <t>TOXICOL ENVIRON CHEM</t>
  </si>
  <si>
    <t>Toxicol Environ. Chem.</t>
  </si>
  <si>
    <t>8-10</t>
  </si>
  <si>
    <t>10.1080/02772248.2019.1579992</t>
  </si>
  <si>
    <t>Environmental Sciences; Toxicology</t>
  </si>
  <si>
    <t>Environmental Sciences &amp; Ecology; Toxicology</t>
  </si>
  <si>
    <t>ID2XW</t>
  </si>
  <si>
    <t>WOS:000471542400007</t>
  </si>
  <si>
    <t>Bekker, A; van Zijl, CM; Saunders, CFW</t>
  </si>
  <si>
    <t>Maia, N; Dimitrovova, Z</t>
  </si>
  <si>
    <t>Bekker, Anriette; van Zijl, Christof M.; Saunders, Clinton F. W.</t>
  </si>
  <si>
    <t>The detection of wave slamming from vibration measurements on a polar supply and research vessel</t>
  </si>
  <si>
    <t>14TH INTERNATIONAL CONFERENCE ON VIBRATION ENGINEERING AND TECHNOLOGY OF MACHINERY (VETOMAC XIV)</t>
  </si>
  <si>
    <t>MATEC Web of Conferences</t>
  </si>
  <si>
    <t>14th International Conference on Vibration Engineering and Technology of Machinery (VETOMAC)</t>
  </si>
  <si>
    <t>SEP 10-13, 2018</t>
  </si>
  <si>
    <t>Lisbon, PORTUGAL</t>
  </si>
  <si>
    <t>The SA Agulhas II is a polar supply and research vessel, which operates in the stormy Southern ocean and icy Antarctic waters. She is predisposed to problematic stern slamming. Twelve accelerometer channels from a full-scale vibration measurement system were used to capture measurements of wave incidence on the main deck close to the water line. An automated slamming detection and classification algorithm is proposed to extract slamming incidents from expansive full-scale data. This method is based on image processing of scalograms which are produced by continuous transforms, using the Morlet wavelet. Slams are classified based on the time of incidence. It is shown that high crest factor stern slamming occurs as often as twice per minute.</t>
  </si>
  <si>
    <t>[Bekker, Anriette; van Zijl, Christof M.; Saunders, Clinton F. W.] Stellenbosch Univ, Sound &amp; Vibrat Res Grp, Dept Mech &amp; Mechatron Engn, Stellenbosch, South Africa</t>
  </si>
  <si>
    <t>Stellenbosch University</t>
  </si>
  <si>
    <t>Bekker, A (corresponding author), Stellenbosch Univ, Sound &amp; Vibrat Res Grp, Dept Mech &amp; Mechatron Engn, Stellenbosch, South Africa.</t>
  </si>
  <si>
    <t>annieb@sun.ac.za</t>
  </si>
  <si>
    <t>National Research Foundation (NRF)</t>
  </si>
  <si>
    <t>Funding from the National Research Foundation (NRF) is thankfully recognized.</t>
  </si>
  <si>
    <t>E D P SCIENCES</t>
  </si>
  <si>
    <t>CEDEX A</t>
  </si>
  <si>
    <t>17 AVE DU HOGGAR PARC D ACTIVITES COUTABOEUF BP 112, F-91944 CEDEX A, FRANCE</t>
  </si>
  <si>
    <t>2261-236X</t>
  </si>
  <si>
    <t>MATEC WEB CONF</t>
  </si>
  <si>
    <t>10.1051/matecconf/201821111002</t>
  </si>
  <si>
    <t>Engineering, Mechanical</t>
  </si>
  <si>
    <t>Engineering</t>
  </si>
  <si>
    <t>BM9GL</t>
  </si>
  <si>
    <t>WOS:000470906900065</t>
  </si>
  <si>
    <t>Saner, CB; Skarvelis-Kazakos, S</t>
  </si>
  <si>
    <t>Saner, Can Berk; Skarvelis-Kazakos, Spyros</t>
  </si>
  <si>
    <t>Fuel savings in remote Antarctic microgrids through energy management</t>
  </si>
  <si>
    <t>2018 53RD INTERNATIONAL UNIVERSITIES POWER ENGINEERING CONFERENCE (UPEC)</t>
  </si>
  <si>
    <t>53rd International Universities Power Engineering Conference (UPEC)</t>
  </si>
  <si>
    <t>SEP 04-07, 2018</t>
  </si>
  <si>
    <t>Glasgow Caledonian Univ, Sch Engn &amp; Built Environm, Dept Engn, Glasgow, SCOTLAND</t>
  </si>
  <si>
    <t>Glasgow Caledonian Univ, Sch Engn &amp; Built Environm, Dept Engn</t>
  </si>
  <si>
    <t>Microgrids; energy management; demand-side management; power generation dispatch</t>
  </si>
  <si>
    <t>SYSTEMS</t>
  </si>
  <si>
    <t>Research stations in the Antarctic have their own electrical generation facilities and are not interconnected to any grid. Scarcity of fuel and unavailability of interconnection characterize these Antarctic energy systems as mission-critical isolated microgrids. In this work, an energy management strategy has been proposed for South African Antarctic research station SANAE IV for improving fuel efficiency. The proposed strategy consists of optimal dispatch of generation and installation of a thermal load controller for the supply side, and a novel demand response scheme for the demand side. The system was simulated using HOMER Microgrid Analysis Tool. Results showed an 8.30% decrease in fuel consumption, which corresponds to 21,876 litres of diesel annually. These savings can be achieved without major capital expenditure or difficult engineering work.</t>
  </si>
  <si>
    <t>[Saner, Can Berk; Skarvelis-Kazakos, Spyros] Univ Sussex, Sch Engn &amp; Informat, Brighton, E Sussex, England</t>
  </si>
  <si>
    <t>University of Sussex</t>
  </si>
  <si>
    <t>Saner, CB (corresponding author), Univ Sussex, Sch Engn &amp; Informat, Brighton, E Sussex, England.</t>
  </si>
  <si>
    <t>canberksaner@gmail.com; S.Skarvelis-Kazakos@sussex.ac.uk</t>
  </si>
  <si>
    <t>Saner, Can Berk/AGY-7696-2022; Skarvelis-Kazakos, Spyros/ABE-1818-2021</t>
  </si>
  <si>
    <t>Saner, Can Berk/0000-0002-5149-523X; Skarvelis-Kazakos, Spyros/0000-0001-8350-800X</t>
  </si>
  <si>
    <t>978-1-5386-2910-9</t>
  </si>
  <si>
    <t>Energy &amp; Fuels; Engineering, Electrical &amp; Electronic</t>
  </si>
  <si>
    <t>Energy &amp; Fuels; Engineering</t>
  </si>
  <si>
    <t>BM8EE</t>
  </si>
  <si>
    <t>WOS:000468972100084</t>
  </si>
  <si>
    <t>Rao, X; Huang, HL; Li, LZ; Chen, S; Yang, JL</t>
  </si>
  <si>
    <t>IOP</t>
  </si>
  <si>
    <t>Rao, X.; Huang, H. L.; Li, L. Z.; Chen, S.; Yang, J. L.</t>
  </si>
  <si>
    <t>The Measurement And Comparison Of Antarctic Krill Capacity Utilization In 48.1, 48.2 And 58.4 Subareas</t>
  </si>
  <si>
    <t>2018 FIRST INTERNATIONAL CONFERENCE ON ENVIRONMENT PREVENTION AND POLLUTION CONTROL TECHNOLOGY (EPPCT 2018)</t>
  </si>
  <si>
    <t>IOP Conference Series-Earth and Environmental Science</t>
  </si>
  <si>
    <t>1st International Conference on Environment Prevention and Pollution Control Technology (EPPCT)</t>
  </si>
  <si>
    <t>NOV 09-11, 2018</t>
  </si>
  <si>
    <t>Tokyo Univ Sci, Tokyo, JAPAN</t>
  </si>
  <si>
    <t>Tokyo Univ Sci</t>
  </si>
  <si>
    <t>EFFICIENCY</t>
  </si>
  <si>
    <t>In this paper, the fishing data of Longteng vessel in 48.1, 48.2 and 58.4 subareas in 2018 are analyzed by the DEA method. Taking times of operation, operating time and wrap tension as input factors, the catch as output factor for the analysis. The capacity utilization and target input are obtained, pure technology efficiency and scale efficiency are summarized in time series, no-deflection capacity utilization are calculated, the rationality of input allocation and the input impact on capacity utilization are evaluated. It is conducted by comparison analysis: in 58.4 subarea, the pure technology efficiency fluctuates obviously and has no growth trend, the production scale is on the rise, but the capacity utilization does not increases proportional to the growth of scale efficiency. There exists a large proportion of input waste, the scale needs to be optimized continually. In 48.1 subarea, capacity utilization and the scale efficiency trend gradually decreases, and the technical efficiency also has some low value. The resources of the subarea are sufficient, and the capacity utilization is influenced by the technology level and the allocation of input. The rational allocation of input and improving the technical level is the key. In 48.2 subarea, the capacity utilization and the technical efficiency trend firstly increases then decreases, the capacity utilization is greatly influenced by the technical level. The production scale and variable input allocation are most reasonable in the three subareas, but the production input still has some room for adjustment.</t>
  </si>
  <si>
    <t>[Rao, X.; Huang, H. L.; Li, L. Z.; Chen, S.; Yang, J. L.] Minist Agr, Key Lab Ocean &amp; Polar Fisheries, Shanghai 200090, Peoples R China; [Rao, X.; Huang, H. L.; Li, L. Z.; Chen, S.; Yang, J. L.] Chinese Acad Fishery Sci, East China Sea Fisheries Res Inst, Shanghai 200090, Peoples R China; [Rao, X.; Huang, H. L.; Li, L. Z.; Chen, S.; Yang, J. L.] Chinese Acad Fishery Sci, Engn Technol Res Ctr Marine Fishing, Shanghai 200090, Peoples R China</t>
  </si>
  <si>
    <t>Ministry of Agriculture &amp; Rural Affairs; Chinese Academy of Fishery Sciences; East China Sea Fisheries Research Institute, CAFS; Chinese Academy of Fishery Sciences</t>
  </si>
  <si>
    <t>Huang, HL (corresponding author), Minist Agr, Key Lab Ocean &amp; Polar Fisheries, Shanghai 200090, Peoples R China.;Huang, HL (corresponding author), Chinese Acad Fishery Sci, East China Sea Fisheries Res Inst, Shanghai 200090, Peoples R China.;Huang, HL (corresponding author), Chinese Acad Fishery Sci, Engn Technol Res Ctr Marine Fishing, Shanghai 200090, Peoples R China.</t>
  </si>
  <si>
    <t>ecshhl@163.com</t>
  </si>
  <si>
    <t>Li, Lingzhi/K-9055-2016</t>
  </si>
  <si>
    <t>Natural Science Foundation of China project Youth fund [31402351]; Central Public-interest Scientific Institution Fundamental Research Fund [2014T01]</t>
  </si>
  <si>
    <t>Natural Science Foundation of China project Youth fund; Central Public-interest Scientific Institution Fundamental Research Fund</t>
  </si>
  <si>
    <t>The authors would like to thank the support of Natural Science Foundation of China project Youth fund (31402351); Central Public-interest Scientific Institution Fundamental Research Fund (2014T01)</t>
  </si>
  <si>
    <t>DIRAC HOUSE, TEMPLE BACK, BRISTOL BS1 6BE, ENGLAND</t>
  </si>
  <si>
    <t>1755-1307</t>
  </si>
  <si>
    <t>IOP C SER EARTH ENV</t>
  </si>
  <si>
    <t>IOP Conf. Ser. Earth Envir. Sci.</t>
  </si>
  <si>
    <t>10.1088/1755-1315/199/4/042045</t>
  </si>
  <si>
    <t>Engineering, Environmental; Engineering, Electrical &amp; Electronic; Environmental Sciences</t>
  </si>
  <si>
    <t>Engineering; Environmental Sciences &amp; Ecology</t>
  </si>
  <si>
    <t>BM7LQ</t>
  </si>
  <si>
    <t>WOS:000468045100219</t>
  </si>
  <si>
    <t>Morozov, E; Belyaev, K; Tuchkova, N; Mickailov, G</t>
  </si>
  <si>
    <t>Morozov, Eugene; Belyaev, Konstantin; Tuchkova, Natalia; Mickailov, Guriy</t>
  </si>
  <si>
    <t>Estimates of Mass Transport of the Antarctic Bottom Water with Earth System Model and Data Assimilation Technique</t>
  </si>
  <si>
    <t>2018 IVANNIKOV ISPRAS OPEN CONFERENCE (ISPRAS)</t>
  </si>
  <si>
    <t>Ivannikov Ispras Open Conference (ISPRAS)</t>
  </si>
  <si>
    <t>NOV 22-23, 2018</t>
  </si>
  <si>
    <t>Moscow, RUSSIA</t>
  </si>
  <si>
    <t>Antarctic water mass; CTD sections; mass transport; data assimilation method GKF; Supercomputer Lomonosov-2; cluster DKRZ Mistral; coupled model MPI-ESM</t>
  </si>
  <si>
    <t>Estimates of the meridional mass flow in the Antarctic bottom water, calculated from the coupled Earth Earth-atmosphere model, MPI-ESM and using original methods of observational data assimilation are presented. For the assimilation data were acquired of latitudinal CTD temperature and salinity profiles in 1991-1995 taken from the World Ocean Circulation Experiment WOCE. Estimates of the velocities of the Antarctic bottom water currents as purely model (control) and with the assimilation of observational data are given. The assimilation method previously called as the generalized Kalman Filter (GKF), was used, which coincides in a particular case with the classical Kalman method (EnKF). It is shown that the model calculations are close to estimates of the geostrophic flow transfer based on the dynamic method.</t>
  </si>
  <si>
    <t>[Morozov, Eugene; Belyaev, Konstantin] RAS, Shirshov Inst Oceanol, Lab Hydrol Proc, Moscow, Russia; [Tuchkova, Natalia; Mickailov, Guriy] RAS, Fed Res Ctr CSC, Dept Computat Syst &amp; Sci Informat, Moscow, Russia</t>
  </si>
  <si>
    <t>Russian Academy of Sciences; Shirshov Institute of Oceanology; Russian Academy of Sciences</t>
  </si>
  <si>
    <t>Morozov, E (corresponding author), RAS, Shirshov Inst Oceanol, Lab Hydrol Proc, Moscow, Russia.</t>
  </si>
  <si>
    <t>egmorozov@mail.ru; kosbel55@gmail.com; natalia_tuchkova@mail.ru; gmickail@ccas.ru</t>
  </si>
  <si>
    <t>Belayev, Konstantin/AAD-6822-2022; Tuchkova, Natalia P/M-8005-2018; Tuchkova, Natalia/M-8005-2018</t>
  </si>
  <si>
    <t>Tuchkova, Natalia P/0000-0001-5357-9640; Tuchkova, Natalia/0000-0001-6518-5817; Belyaev, Konstantin/0000-0003-2111-2709; Morozov, Eugene/0000-0002-0251-3454</t>
  </si>
  <si>
    <t>FASO Russia [0149-2018-0003, 0063-2016-0003]</t>
  </si>
  <si>
    <t>FASO Russia</t>
  </si>
  <si>
    <t>Supported in part by FASO Russia themes: #0149-2018-0003 (IO RAS), #0063-2016-0003 (FRC CSC RAS)</t>
  </si>
  <si>
    <t>978-1-7281-1275-6</t>
  </si>
  <si>
    <t>10.1109/ISPRAS.2018.00020</t>
  </si>
  <si>
    <t>Engineering, Electrical &amp; Electronic</t>
  </si>
  <si>
    <t>BM7CK</t>
  </si>
  <si>
    <t>WOS:000467732500013</t>
  </si>
  <si>
    <t>Kuttippurath, J; Kumar, P; Nair, PJ; Pandey, PC</t>
  </si>
  <si>
    <t>Kuttippurath, J.; Kumar, P.; Nair, P. J.; Pandey, P. C.</t>
  </si>
  <si>
    <t>Emergence of ozone recovery evidenced by reduction in the occurrence of Antarctic ozone loss saturation</t>
  </si>
  <si>
    <t>NPJ CLIMATE AND ATMOSPHERIC SCIENCE</t>
  </si>
  <si>
    <t>STRATOSPHERIC OZONE; SATELLITE; CHEMISTRY; TRENDS</t>
  </si>
  <si>
    <t>Industrial emissions of ozone depleting substances (ODSs) during the second half of the twentieth century have led to one of the most visible human impacts on the Earth: the Antarctic ozone hole. The ozone loss intensified in the 1980s and reached the level of saturation (i.e., complete loss of ozone) due to the high levels of ODSs in the atmosphere. Significant changes in the southern hemispheric climate have been observed in the past decades due to this unprecedented ozone loss. Although the most recent studies suggest healing in the Antarctic ozone hole, the status of ozone in the loss saturation layer (similar to 13-21 km) has not been discussed in detail. Here, a comprehensive analysis of vertical, spatial and temporal evolution of ozone loss saturation (ozone mixing ratio &lt;= 0.1 ppmv) in the Antarctic vortex using high resolution measurements for the 1979-2017 period reveals that the loss saturation began in 1987 and continued to occur in all winters thereafter, except in the major warming winters of 1988 and 2002. However, our analysis shows a clear reduction in the frequency of occurrence of ozone loss saturation over the period 2001-2017 consistently throughout various datasets (e.g., ozonesonde and satellite measurements of ozone profiles and total columns), thereby revealing the emergence of an important milestone in ozone recovery.</t>
  </si>
  <si>
    <t>[Kuttippurath, J.; Kumar, P.; Nair, P. J.; Pandey, P. C.] Indian Inst Technol Kharagpur, CORAL, Kharagpur 721302, W Bengal, India</t>
  </si>
  <si>
    <t>Indian Institute of Technology System (IIT System); Indian Institute of Technology (IIT) - Kharagpur</t>
  </si>
  <si>
    <t>Kuttippurath, J (corresponding author), Indian Inst Technol Kharagpur, CORAL, Kharagpur 721302, W Bengal, India.</t>
  </si>
  <si>
    <t>jayan@coral.iitkgp.ac.in</t>
  </si>
  <si>
    <t>Kuttippurath, Jayanarayanan/M-2878-2019; Pandey, Prem Chandra/D-4409-2011; G., Prijitha R./AGH-9999-2022</t>
  </si>
  <si>
    <t>Kuttippurath, Jayanarayanan/0000-0003-4073-8918; Pandey, Prem Chandra/0000-0002-0049-1415; G., Prijitha R./0000-0002-7768-5154</t>
  </si>
  <si>
    <t>Centre for Ocean Rivers Atmosphere and Land Sciences (CORAL), Indian Institute of Technology Khargapur</t>
  </si>
  <si>
    <t>We would like to thank all ozonesonde data teams and their respective government/funding agencies. These data are publicly available from NDACC (http://www.ndacc.org) and WOUDC (http://www.woudc.org).We are particularly grateful to the many researchers involved in the ozonesonde datasets used in this study. The data used in this publication were obtained as part of the Network for the Detection of Atmospheric Composition Change (NDACC) and are publicly available (see http://www.ndacc.org).We thank the ECMWF, TOMS, OMI, SAGE-II and MLS data providers for making them available for this study. We also appreciate the help and support provided by the Centre for Ocean Rivers Atmosphere and Land Sciences (CORAL), Indian Institute of Technology Khargapur, and the Director of the Institute.</t>
  </si>
  <si>
    <t>2397-3722</t>
  </si>
  <si>
    <t>NPJ CLIM ATMOS SCI</t>
  </si>
  <si>
    <t>npj Clim. Atmos. Sci.</t>
  </si>
  <si>
    <t>10.1038/s41612-018-0052-6</t>
  </si>
  <si>
    <t>HY3FC</t>
  </si>
  <si>
    <t>WOS:000468007700042</t>
  </si>
  <si>
    <t>Sejas, SA; Taylor, PC; Cai, M</t>
  </si>
  <si>
    <t>Sejas, Sergio A.; Taylor, Patrick C.; Cai, Ming</t>
  </si>
  <si>
    <t>Unmasking the negative greenhouse effect over the Antarctic Plateau</t>
  </si>
  <si>
    <t>RADIATION; TEMPERATURE; CO2</t>
  </si>
  <si>
    <t>A paradoxical negative greenhouse effect has been found over the Antarctic Plateau, indicating that greenhouse gases enhance energy loss to space. Using 13 years of NASA satellite observations, we verify the existence of the negative greenhouse effect and find that the magnitude and sign of the effect varies seasonally and spectrally. A previous explanation attributes this effect solely to stratospheric CO2; however, we surprisingly find that the negative greenhouse effect is predominantly caused by tropospheric water vapor. A recently developed principle-based concept is used to provide a complete account of the Antarctic Plateau's negative greenhouse effect indicating that it is controlled by the vertical variation of temperature and greenhouse gas absorption. Our findings indicate that unique climatological conditions over the Antarctic Plateau-a strong surface-based temperature inversion and scarcity of free tropospheric water vapor-cause the negative greenhouse effect.</t>
  </si>
  <si>
    <t>[Sejas, Sergio A.; Taylor, Patrick C.] NASA, Langley Res Ctr, Climate Sci Branch, Hampton, VA 23665 USA; [Cai, Ming] Florida State Univ, Dept Earth Ocean &amp; Atmospher Sci, Tallahassee, FL 32306 USA</t>
  </si>
  <si>
    <t>National Aeronautics &amp; Space Administration (NASA); NASA Langley Research Center; State University System of Florida; Florida State University</t>
  </si>
  <si>
    <t>Taylor, PC (corresponding author), NASA, Langley Res Ctr, Climate Sci Branch, Hampton, VA 23665 USA.</t>
  </si>
  <si>
    <t>patrick.c.taylor@nasa.gov</t>
  </si>
  <si>
    <t>cai, ming/HPF-1404-2023; Cai, Ming/F-2133-2017</t>
  </si>
  <si>
    <t>Cai, Ming/0000-0002-1614-1102; Sejas, Sergio/0000-0003-4139-3499</t>
  </si>
  <si>
    <t>NASA Interdisciplinary Studies Program [NNH12ZDA001N-IDS]; NASA Postdoctoral Program; NASA CERES Science Team; NASA</t>
  </si>
  <si>
    <t>NASA Interdisciplinary Studies Program; NASA Postdoctoral Program(National Aeronautics &amp; Space Administration (NASA)); NASA CERES Science Team; NASA(National Aeronautics &amp; Space Administration (NASA))</t>
  </si>
  <si>
    <t>The authors would like to thank the anonymous reviewer for they helpful comments that improved this manuscript. This work is supported in part by the NASA Interdisciplinary Studies Program grant NNH12ZDA001N-IDS, the NASA Postdoctoral Program administered by Universities Space Research Association, and the NASA CERES Science Team. Sergio Sejas' research was supported by an appointment to the NASA Postdoctoral Program at the NASA Langley Research Center, administered by Universities Space Research Association under contract with NASA. P.C.T. is supported in part as a member of the NASA CERES Science Team. P.C.T. and M.C. are supported in part by the NASA Interdisciplinary Studies Program Grant NNH12ZDA001N-IDS.</t>
  </si>
  <si>
    <t>10.1038/s41612-018-0031-y</t>
  </si>
  <si>
    <t>Green Accepted, gold</t>
  </si>
  <si>
    <t>WOS:000468007700017</t>
  </si>
  <si>
    <t>Smellie, JL</t>
  </si>
  <si>
    <t>Menzies, J; VanDerMeer, JJM</t>
  </si>
  <si>
    <t>Smellie, J. L.</t>
  </si>
  <si>
    <t>GLACIOVOLCANISM: A 21ST CENTURY PROXY FOR PALAEO-ICE</t>
  </si>
  <si>
    <t>PAST GLACIAL ENVIRONMENTS, 2ND EDITION</t>
  </si>
  <si>
    <t>JAMES-ROSS-ISLAND; NORTHERN ANTARCTIC PENINSULA; MARIE-BYRD-LAND; SUBGLACIAL VOLCANISM; ERUPTIVE HISTORY; WEST ANTARCTICA; GLACIAL HISTORY; TABLE MOUNTAINS; MIDDLE MIOCENE; VICTORIA LAND</t>
  </si>
  <si>
    <t>[Smellie, J. L.] Univ Leicester, Leicester, Leics, England</t>
  </si>
  <si>
    <t>University of Leicester</t>
  </si>
  <si>
    <t>Smellie, JL (corresponding author), Univ Leicester, Leicester, Leics, England.</t>
  </si>
  <si>
    <t>SARA BURGERHARTSTRAAT 25, PO BOX 211, 1000 AE AMSTERDAM, NETHERLANDS</t>
  </si>
  <si>
    <t>978-0-08-100525-5; 978-0-08-100524-8</t>
  </si>
  <si>
    <t>10.1016/B978-0-08-100524-8.00010-5</t>
  </si>
  <si>
    <t>BM3OC</t>
  </si>
  <si>
    <t>WOS:000462445500011</t>
  </si>
  <si>
    <t>Passchier, S</t>
  </si>
  <si>
    <t>Passchier, S.</t>
  </si>
  <si>
    <t>ICE SHEETS AND CLIMATE: THE MARINE GEOLOGICAL RECORD</t>
  </si>
  <si>
    <t>LAST GLACIAL MAXIMUM; SEA-LEVEL RISE; NORTH-ATLANTIC; ANTARCTIC GLACIATION; CONTINENTAL-MARGIN; EAST ANTARCTICA; CARBON-DIOXIDE; PRYDZ BAY; OCEAN; PLIOCENE</t>
  </si>
  <si>
    <t>[Passchier, S.] Montclair State Univ, Montclair, NJ 07043 USA</t>
  </si>
  <si>
    <t>Montclair State University</t>
  </si>
  <si>
    <t>Passchier, S (corresponding author), Montclair State Univ, Montclair, NJ 07043 USA.</t>
  </si>
  <si>
    <t>Passchier, Sandra/AAQ-2243-2021; Passchier, Sandra/GYU-2381-2022</t>
  </si>
  <si>
    <t>Passchier, Sandra/0000-0001-7204-7025;</t>
  </si>
  <si>
    <t>10.1016/B978-0-08-100524-8.00017-8</t>
  </si>
  <si>
    <t>WOS:000462445500017</t>
  </si>
  <si>
    <t>Hindmarsh, RCA</t>
  </si>
  <si>
    <t>Hindmarsh, R. C. A.</t>
  </si>
  <si>
    <t>ICE SHEET AND GLACIER MODELLING</t>
  </si>
  <si>
    <t>STREAM-B; INTERCOMPARISON PROJECT; SURGE MECHANISM; FLOW DYNAMICS; BENEATH; DEFORMATION; STABILITY; APPROXIMATION; OSCILLATIONS; INSTABILITY</t>
  </si>
  <si>
    <t>[Hindmarsh, R. C. A.] British Antarctic Survey, Cambridge, England</t>
  </si>
  <si>
    <t>UK Research &amp; Innovation (UKRI); Natural Environment Research Council (NERC); NERC British Antarctic Survey</t>
  </si>
  <si>
    <t>Hindmarsh, RCA (corresponding author), British Antarctic Survey, Cambridge, England.</t>
  </si>
  <si>
    <t>Hindmarsh, Richard/C-1405-2012</t>
  </si>
  <si>
    <t>Hindmarsh, Richard/0000-0003-1633-2416</t>
  </si>
  <si>
    <t>NERC [NE/F00446X/1, NE/F01550X/1, NE/J008087/1, NE/F015526/1, NE/J008095/1] Funding Source: UKRI</t>
  </si>
  <si>
    <t>NERC(UK Research &amp; Innovation (UKRI)Natural Environment Research Council (NERC))</t>
  </si>
  <si>
    <t>10.1016/B978-0-08-100524-8.00019-1</t>
  </si>
  <si>
    <t>WOS:000462445500019</t>
  </si>
  <si>
    <t>Mikhalevich, VI; Bozhenova, OV</t>
  </si>
  <si>
    <t>Mikhalevich, Valeria I.; Bozhenova, Olga V.</t>
  </si>
  <si>
    <t>Foraminifera from the 58th and 59th Russian Antarctic Expeditions, 2013-2014</t>
  </si>
  <si>
    <t>MICROPALEONTOLOGY</t>
  </si>
  <si>
    <t>Article; Proceedings Paper</t>
  </si>
  <si>
    <t>10th International Workshop on Agglutinated Foraminifera</t>
  </si>
  <si>
    <t>APR 19-23, 2017</t>
  </si>
  <si>
    <t>Slovak Acad Sci, Smolenice, SLOVAKIA</t>
  </si>
  <si>
    <t>Slovak Acad Sci</t>
  </si>
  <si>
    <t>foraminifera; faunal assemblages; distribution; agglutinated and calcareous forms; preservation; dissolution</t>
  </si>
  <si>
    <t>KING GEORGE ISLAND; ADMIRALTY BAY; WEDDELL SEA; OXYGEN; CARBON; SR; MG</t>
  </si>
  <si>
    <t>Foraminifera were examined in samples collected during the 58 th (2013) and 59 th Russian Antarctic Expeditions (2013-2014) in theWestern and Eastern Antarctic areas in theBellingshausen Sea, Bransfield Strait, Prydz Bay, Davis Sea, and Southern Ocean at depths between 107 and 995 meters, with the majority of samples situated in the shelf zone. In total 39 benthic and one planktonic species were found. All the benthic species are pan-Antarctic, only Neogloboquadrina pachyderma shows a bipolar distribution. The assemblages at several stations were fully or predominantly agglutinated, possibly as a consequence of dissolution processes, at some others - predominantly or fully calcareous. Calcareous forms prevailed at relatively shallow depths (70-220 m). Among the calcareous species miliolids prevail, their magnesium containing shells are obviously more resistant to dissolution processes. Foraminifera of all the sampleswere recent and living, containing cytoplasm. The new data on the distribution of the recent benthic foraminifera permits a better understanding of the paleoecological conditions of the geological past. The new data obtained are also important for the comparison of the marine biotas in the Western and Eastern parts of Antarctica.</t>
  </si>
  <si>
    <t>[Mikhalevich, Valeria I.; Bozhenova, Olga V.] Russian Acad Sci, Inst Zool, 1 Univ Skaya Nab, St Petersburg 199034, Russia</t>
  </si>
  <si>
    <t>Russian Academy of Sciences; Zoological Institute of the Russian Academy of Sciences</t>
  </si>
  <si>
    <t>Mikhalevich, VI (corresponding author), Russian Acad Sci, Inst Zool, 1 Univ Skaya Nab, St Petersburg 199034, Russia.</t>
  </si>
  <si>
    <t>mikha07@mail.ru; osheiko@mail.ru</t>
  </si>
  <si>
    <t>MICRO PRESS</t>
  </si>
  <si>
    <t>FLUSHING</t>
  </si>
  <si>
    <t>6530 KISSENA BLVD, FLUSHING, NY 11367 USA</t>
  </si>
  <si>
    <t>0026-2803</t>
  </si>
  <si>
    <t>1937-2795</t>
  </si>
  <si>
    <t>Micropaleontology</t>
  </si>
  <si>
    <t>5-6</t>
  </si>
  <si>
    <t>Science Citation Index Expanded (SCI-EXPANDED); Conference Proceedings Citation Index - Science (CPCI-S)</t>
  </si>
  <si>
    <t>HU6ID</t>
  </si>
  <si>
    <t>WOS:000465382500014</t>
  </si>
  <si>
    <t>Beron, P</t>
  </si>
  <si>
    <t>Beron, Petar</t>
  </si>
  <si>
    <t>Regional Arachnogeography</t>
  </si>
  <si>
    <t>ZOOGEOGRAPHY OF ARACHNIDA</t>
  </si>
  <si>
    <t>Monographiae Biologicae</t>
  </si>
  <si>
    <t>EUKOENENIA PALPIGRADI EUKOENENIIDAE; SPIDERS ARACHNIDA ARANEAE; GENUS TETRAGNATHA ARANEAE; HARVESTMAN FAMILY PHALANGODIDAE; 2010 SCORPIONES PSEUDOCHACTIDAE; TROGLOMORPHIC WHIP SPIDER; CAVE-DWELLING PALPIGRADES; PLATE TECTONIC EVOLUTION; SUB-ANTARCTIC ISLANDS; ORIBATID MITES ACARI</t>
  </si>
  <si>
    <t>The arachnofauna of various parts of the Earth is analyzed and the particularities, endemics, relicts, and the presumed ways of formation of the fauna are outlined. Also the northern limits of the groups in the Holarctic are indicated, and the connections in the geological time are analyzed.</t>
  </si>
  <si>
    <t>[Beron, Petar] Bulgarian Acad Sci, Natl Museum Nat Hist, Sofia, Bulgaria</t>
  </si>
  <si>
    <t>Bulgarian Academy of Sciences</t>
  </si>
  <si>
    <t>Beron, P (corresponding author), Bulgarian Acad Sci, Natl Museum Nat Hist, Sofia, Bulgaria.</t>
  </si>
  <si>
    <t>0077-0639</t>
  </si>
  <si>
    <t>978-3-319-74418-6; 978-3-319-74417-9</t>
  </si>
  <si>
    <t>MONOGR BIOL</t>
  </si>
  <si>
    <t>Monogr. Biol.</t>
  </si>
  <si>
    <t>10.1007/978-3-319-74418-6_7</t>
  </si>
  <si>
    <t>10.1007/978-3-319-74418-6</t>
  </si>
  <si>
    <t>BM4NJ</t>
  </si>
  <si>
    <t>WOS:000463597100007</t>
  </si>
  <si>
    <t>Worrall, KJ; Timoney, R; Li, X; Harkness, P; Lucas, M</t>
  </si>
  <si>
    <t>Malla, RB; Goldberg, RK; Roberts, AD</t>
  </si>
  <si>
    <t>Worrall, K. J.; Timoney, R.; Li, X.; Harkness, P.; Lucas, M.</t>
  </si>
  <si>
    <t>UPCD: Field Trial Results and Further Work</t>
  </si>
  <si>
    <t>EARTH AND SPACE 2018: ENGINEERING FOR EXTREME ENVIRONMENTS</t>
  </si>
  <si>
    <t>16th Biennial International Conference on Engineering, Science, Construction, and Operations in Challenging Environments (Earth &amp; Space)</t>
  </si>
  <si>
    <t>APR 09-12, 2018</t>
  </si>
  <si>
    <t>Cleveland, OH</t>
  </si>
  <si>
    <t>The ultrasonic planetary core drill (UPCD) project sought to develop and conduct a field trial, in an analogous Martian environment, of a space-compatible regolith-sampling tool. The project implemented a number of key technologies to achieve this aim: a drilling control loop based on ultrasonic power feedback, a bayonet interface system to allow a drillstring to be built up in situ then disassembled after use, a coring design which captured the cores drilled out, and a mechanism for caching the core samples in sealable containers. The system was demonstrated in the laboratory with results indicating low power, low weight on bit, achievement of the targeted depth, and the retrieval of still-frozen core samples. The routines to allow the system to become fully autonomous were also demonstrated. The drill was deployed to Coal Nunatak on Alexander Island, Antarctica, for analogue trials. The drill was demonstrated to work, as was the caching and drill assembly/disassembly system, but the target depth was not achieved. A review of drill depth is provided along with a laboratory solution to the problems encountered in the field. Further work using the UPCD is also discussed.</t>
  </si>
  <si>
    <t>[Worrall, K. J.; Timoney, R.; Li, X.; Harkness, P.; Lucas, M.] Univ Glasgow, Sch Engn, James Watt Bldg, Glasgow G12 8QQ, Lanark, Scotland</t>
  </si>
  <si>
    <t>University of Glasgow</t>
  </si>
  <si>
    <t>Worrall, KJ (corresponding author), Univ Glasgow, Sch Engn, James Watt Bldg, Glasgow G12 8QQ, Lanark, Scotland.</t>
  </si>
  <si>
    <t>kevin.worrall@glasgow.ac.uk</t>
  </si>
  <si>
    <t>Worrall, Kevin/U-6244-2019; Harkness, Patrick G/E-7916-2011</t>
  </si>
  <si>
    <t>Worrall, Kevin/0000-0001-9762-5274; Li, Xuan/0000-0002-5655-8631</t>
  </si>
  <si>
    <t>European Union's Seventh Framework Programme (FP7/2007-2013) [607015]; British Antarctic Survey</t>
  </si>
  <si>
    <t>European Union's Seventh Framework Programme (FP7/2007-2013)(European Union (EU)); British Antarctic Survey</t>
  </si>
  <si>
    <t>The research leading to these results has received funding from the European Union's Seventh Framework Programme (FP7/2007-2013) under Grant Agreement No. 607015. The University of Glasgow, SSF, Lidax and Magna Parva developed the UPCD. The field testing in Antarctica was supported by the British Antarctic Survey.</t>
  </si>
  <si>
    <t>AMER SOC CIVIL ENGINEERS</t>
  </si>
  <si>
    <t>UNITED ENGINEERING CENTER, 345 E 47TH ST, NEW YORK, NY 10017-2398 USA</t>
  </si>
  <si>
    <t>978-0-7844-8189-9</t>
  </si>
  <si>
    <t>Engineering, Aerospace; Engineering, Civil</t>
  </si>
  <si>
    <t>BM3JZ</t>
  </si>
  <si>
    <t>WOS:000462200100030</t>
  </si>
  <si>
    <t>Meredith, NP; Horne, RB; Kersten, T; Li, W; Bortnik, J; Sicard, A; Yearby, KH</t>
  </si>
  <si>
    <t>Meredith, Nigel P.; Horne, Richard B.; Kersten, Tobias; Li, Wen; Bortnik, Jacob; Sicard, Angelica; Yearby, Keith H.</t>
  </si>
  <si>
    <t>Global Model of Plasmaspheric Hiss from Multiple Satellite Observations</t>
  </si>
  <si>
    <t>2018 2ND URSI ATLANTIC RADIO SCIENCE MEETING (AT-RASC)</t>
  </si>
  <si>
    <t>2nd URSI Atlantic Radio Science Meeting (AT-RASC)</t>
  </si>
  <si>
    <t>MAY 28-JUN 01, 2018</t>
  </si>
  <si>
    <t>Meloneras, SPAIN</t>
  </si>
  <si>
    <t>[Meredith, Nigel P.; Horne, Richard B.; Kersten, Tobias] British Antarctic Survey, Cambridge, England; [Li, Wen] Boston Univ, Boston, MA 02215 USA; [Bortnik, Jacob] Univ Calif Los Angeles, Los Angeles, CA USA; [Sicard, Angelica] Off Natl Etud &amp; Rech Aerosp, Toulouse, France; [Yearby, Keith H.] Univ Sheffield, Sheffield, S Yorkshire, England</t>
  </si>
  <si>
    <t>UK Research &amp; Innovation (UKRI); Natural Environment Research Council (NERC); NERC British Antarctic Survey; Boston University; University of California System; University of California Los Angeles; National Office for Aerospace Studies &amp; Research (ONERA); University of Sheffield</t>
  </si>
  <si>
    <t>Meredith, NP (corresponding author), British Antarctic Survey, Cambridge, England.</t>
  </si>
  <si>
    <t>nmer@bas.ac.uk; rh@bas.ac.uk; mail@tobiaskersten.de; wenli77@bu.edu; jbortnik@gmail.com; Angelica.Sicard@onera.fr; k.h.yearby@shefffield.ac.uk</t>
  </si>
  <si>
    <t>978-9-0825-9873-5</t>
  </si>
  <si>
    <t>Optics; Telecommunications</t>
  </si>
  <si>
    <t>BM3GF</t>
  </si>
  <si>
    <t>WOS:000462069500232</t>
  </si>
  <si>
    <t>Chave, R; Buermans, J; Lemon, D; DeCollibus, C; Taylor, JC; Saba, GK; Lembke, C; Reiss, CS</t>
  </si>
  <si>
    <t>Chave, Rene; Buermans, Jan; Lemon, David; DeCollibus, Christopher; Taylor, J. Christopher; Saba, Grace K.; Lembke, Chad; Reiss, Christian S.</t>
  </si>
  <si>
    <t>Adapting Multi-Frequency Echo-sounders for Operation on Autonomous Vehicles</t>
  </si>
  <si>
    <t>OCEANS 2018 MTS/IEEE CHARLESTON</t>
  </si>
  <si>
    <t>Conference on OCEANS MTS/IEEE Charleston</t>
  </si>
  <si>
    <t>OCT 22-25, 2018</t>
  </si>
  <si>
    <t>Charleston, SC</t>
  </si>
  <si>
    <t>Low-power, internally-recording multi-frequency echo sounders can acquire continuous profiles of echoes throughout the water column over long periods of time, thus providing a low-cost method to study the behavior and abundance of fish and zooplankton in the ocean. Ocean gliders are growing in importance as components of ocean observing systems, extending measurements of physical oceanography beyond those possible with moorings and expensive oceanographic research vessels. Payloads are typically composed of conductivity, temperature and pressure along with optical measures of chlorophyll reflectance and dissolved organics. The small size and low power consumption of such echo sounders now makes it practical to install them in gliders, providing the means to simultaneously measure biological metrics through the water column over extended areas and linking physical properties and primary productivity to higher trophic levels such as zooplankton and fish. We have recently installed single-beam echo-sounders with up to four acoustic frequencies in gliders. The echo-sounder (ASL Environmental Sciences' AZFP) was designed as an autonomous, moored instrument, and several modifications, mechanical, electronic and software were required to adapt it to installation and operation in gliders. The existing lower- frequency transducers were too large and heavy for the glider; their size was reduced by increasing the beam-width, and the housings were redesigned to reduce weight and improve their profile to reduce drag. The transducer housings are designed to be mounted at an angle on the vehicle body so that they are aimed vertically down during the dive phase. Several modifications were also made to the electronics chassis and shrouds to reduce weight, and the power connection was altered to operate from the vehicle battery rather than its own dedicated supply. Examples of these design alterations will be discussed. The instrument operating software was modified to allow communication and control from the vehicle, although data storage remained in the AZFP itself. In the initial case, a 200 kHz, single-beam echo-sounder was integrated and calibrated in a Slocum Webb electric ocean glider. Calibration and controlled field tests demonstrated reasonable signal-to-noise ratio, allowing for detection of plankton and fishes to greater than 75m range. The noise background was higher than that found when the AZFP is used as an autonomous unit, so improvements to noise isolation in the glider should be able to improve the signal to noise ratio in future. A data analysis workflow was developed that estimates glider position and orientation underwater to correct for depth and range of targets. Trial missions in the eastern Gulf of Mexico traveled over a submerged pipeline and a rocky reef. Acoustic backscatter signals attributed to mid-water plankton layers were co-located with oceanographic features and peaks in chlorophyll. Schools of pelagic and demersal fishes were detected and mapped over charted seafloor features. To date, three multiple frequency versions have been built and integrated into Slocum Webb G2 gliders. Several 3-frequency AZFP (38, 70 and 125 kHz) will be used to assess the spatial and temporal distribution of krill biomass in the Antarctic. Several 4-frequency instruments (125, 200, 455 and 769 kHz) have been built to study whales. A glider with a 3-frequency AZFP (38, 125 and 200 kHz) combination was deployed in Terra Nova Bay (western Ross Sea) and mapped the vertical and horizontal distribution and abundance of zooplankton and pelagic silverfish. Future developments will be aimed at adapting the AZFP to other autonomous vehicles and to reducing the effects of the vehicle's internal noise environment. Ultimately, this glider-based acoustic technology will pave the way for cost-effective, automated examination of food webs and ecosystems in regions throughout the global ocean.</t>
  </si>
  <si>
    <t>[Chave, Rene; Buermans, Jan; Lemon, David] ASL Environm Sci Inc, Victoria, BC V8M 1Z5, Canada; [DeCollibus, Christopher] Teledyne Webb Res, N Falmouth, MA 02566 USA; [Taylor, J. Christopher] NOAA, Natl Ctr Coastal Ocean Sci, Beaufort Lab, Beaufort, NC 28516 USA; [Saba, Grace K.] Rutgers State Univ, COOL, Dept Marine &amp; Coastal Sci, New Brunswick, NJ 08901 USA; [Lembke, Chad] Univ S Florida, Ctr Ocean Technol, Coll Marine Sci, St Petersburg, FL 33701 USA; [Reiss, Christian S.] NOAA Fisheries, Antarctic Ecosyst Res Div, La Jolla, CA 92037 USA</t>
  </si>
  <si>
    <t>National Oceanic Atmospheric Admin (NOAA) - USA; National Ocean Service, NOAA; National Centers for Coastal Ocean Science (NOOCS); Rutgers University System; Rutgers University New Brunswick; State University System of Florida; University of South Florida; National Oceanic Atmospheric Admin (NOAA) - USA</t>
  </si>
  <si>
    <t>Chave, R (corresponding author), ASL Environm Sci Inc, Victoria, BC V8M 1Z5, Canada.</t>
  </si>
  <si>
    <t>rchave@aslenv.com</t>
  </si>
  <si>
    <t>978-1-5386-4814-8</t>
  </si>
  <si>
    <t>Engineering, Marine</t>
  </si>
  <si>
    <t>BM2QP</t>
  </si>
  <si>
    <t>WOS:000461320201151</t>
  </si>
  <si>
    <t>Meister, M; Dichek, D; Spears, A; Hurwitz, B; Ramey, C; Lawrence, J; Philleo, K; Lutz, J; Lawrence, J; Schmidt, BE</t>
  </si>
  <si>
    <t>Meister, Matthew; Dichek, Daniel; Spears, Anthony; Hurwitz, Ben; Ramey, Charles; Lawrence, Justin; Philleo, Kit; Lutz, Josh; lawrence, JaDe; Schmidt, Britney E.</t>
  </si>
  <si>
    <t>Icefin: Redesign and 2017 Antarctic Field Deployment</t>
  </si>
  <si>
    <t>under-ice; unmanned; autonomous; underwater; ROV; AUV; UUV; Antarctica</t>
  </si>
  <si>
    <t>Icefin is a custom remotely or autonomously operated vehicle (ROV/AUV) designed for sub-ice deployments in Antarctica with a focus on portability for remote field deployments and modularity to accommodate various payloads to characterize the under-ice environment. A prototype iteration of the vehicle was deployed in McMurdo, Antarctica in 2014 and provided data as well as valuable lessons learned. Since then the vehicle has been refined significantly into a more capable and reliable platform that was deployed during the 2017 austral summer Antarctic season (October 2017 - December 2017). Presented here is an overview of the design updates, including mechanical, electrical and software changes that were incorporated in developing the baseline [can platform. Also presented are lessons learned and early results from the 2017 deployment of the redesigned vehicle, as well as changes integrated into the vehicle for its 2018 field season.</t>
  </si>
  <si>
    <t>[Meister, Matthew; Dichek, Daniel; Spears, Anthony; Hurwitz, Ben; Ramey, Charles; Lawrence, Justin; Philleo, Kit; Lutz, Josh; lawrence, JaDe; Schmidt, Britney E.] Georgia Inst Technol, Earth &amp; Atmospher Sci Dept, Atlanta, GA 30332 USA</t>
  </si>
  <si>
    <t>University System of Georgia; Georgia Institute of Technology</t>
  </si>
  <si>
    <t>Meister, M (corresponding author), Georgia Inst Technol, Earth &amp; Atmospher Sci Dept, Atlanta, GA 30332 USA.</t>
  </si>
  <si>
    <t>Hurwitz, Benjamin/M-8158-2016</t>
  </si>
  <si>
    <t>Hurwitz, Benjamin/0000-0003-2670-6514</t>
  </si>
  <si>
    <t>NASA PSTAR grant [NNX16AL07G]; RISEUP project; United States Antarctic Program (USAP) Event [B-041M]</t>
  </si>
  <si>
    <t>NASA PSTAR grant; RISEUP project; United States Antarctic Program (USAP) Event</t>
  </si>
  <si>
    <t>The authors would like to thank the School of Earth and Atmospheric Sciences for the resources provided to conduct this work, including funds for the development of the 2014 prototype and recent updates. Deployment was funded under the RISEUP project, NASA PSTAR grant NNX16AL07G, with principal investigator B.E. Schmidt. RISEUP deployed under the National Science Foundation (NSF) and the United States Antarctic Program (USAP) Event B-041M.</t>
  </si>
  <si>
    <t>WOS:000461320201069</t>
  </si>
  <si>
    <t>Nau, AW; Lucieer, V; Schimel, ACG</t>
  </si>
  <si>
    <t>Nau, Amy W.; Lucieer, Vanessa; Schimel, Alexandre C. G.</t>
  </si>
  <si>
    <t>Modeling the along-track sidelobe interference artifact in multibeam sonar water-column data</t>
  </si>
  <si>
    <t>Multibeam echosounder; water-column; sidelobe interference</t>
  </si>
  <si>
    <t>Sidelobe interference artefacts are a common occurrence in multibeam echosounder water-column data. They are very commonly observed in the across-track dimension, where they appear as a semi-circular noise pattern, affecting in particular the data at a range beyond the minimum depth range. However, they also occur in the along-track dimension, where they affect data just above the seafloor near prominent features rising above the seabed. Here, we present a simple model for estimating the probable location of sidelobe interference artefacts in the along-track dimension. We test the accuracy of the model by comparing average energy levels at set distances from the seafloor both within and outside of the modeled location. We discuss how such models have the potential to identify the extent of useable water-column data acquired over complex bathymetry such as rocky reefs, so as to improve analysis of water-column data for the detection of near-benthic features, such as marine vegetation.</t>
  </si>
  <si>
    <t>[Nau, Amy W.] CSIRO, Oceans &amp; Atmosphere, Hobart, Tas, Australia; [Nau, Amy W.; Lucieer, Vanessa] Univ Tasmania, Inst Marine &amp; Antarctic Studies, Hobart, Tas, Australia; [Schimel, Alexandre C. G.] NIWA, Fisheries Monitoring &amp; Acoust, Wellington, New Zealand</t>
  </si>
  <si>
    <t>Commonwealth Scientific &amp; Industrial Research Organisation (CSIRO); University of Tasmania; National Institute of Water &amp; Atmospheric Research (NIWA) - New Zealand</t>
  </si>
  <si>
    <t>Nau, AW (corresponding author), CSIRO, Oceans &amp; Atmosphere, Hobart, Tas, Australia.;Nau, AW (corresponding author), Univ Tasmania, Inst Marine &amp; Antarctic Studies, Hobart, Tas, Australia.</t>
  </si>
  <si>
    <t>amy.nau@csiro.au</t>
  </si>
  <si>
    <t>lucieer, vanessa l/D-1697-2009; Schimel, Alexandre CG/C-9273-2013</t>
  </si>
  <si>
    <t>UTAS/CSIRO Quantitative Marine Science Program; Marine Biodiversity Hub through Australian Government's National Environmental Science Programme</t>
  </si>
  <si>
    <t>A. Nau is supported by the UTAS/CSIRO Quantitative Marine Science Program. V. Lucieer is supported by the Marine Biodiversity Hub through funding from the Australian Government's National Environmental Science Programme. Field surveys were supported by S. Edwards from the Geophysical Survey and Mapping group at CSIRO.</t>
  </si>
  <si>
    <t>WOS:000461320202044</t>
  </si>
  <si>
    <t>Ramey, C; Meister, M; Spears, A; Lutz, J; Dichek, D; Hurwitz, B; Lawrence, J; Lawrence, J; Philleo, M; Schmidt, BE</t>
  </si>
  <si>
    <t>Ramey, Charles; Meister, Matthew; Spears, Anthony; Lutz, Josh; Dichek, Daniel; Hurwitz, Ben; Lawrence, Justin; lawrence, Jade; Philleo, Margaret; Schmidt, Britney E.</t>
  </si>
  <si>
    <t>Modular Controls and Instrumentation Software for Icefin ROV</t>
  </si>
  <si>
    <t>AUV; ROV; UUV; LCM; Software; controls; Antarctica</t>
  </si>
  <si>
    <t>Icefin is a hybrid ROV/AUV, designed to function as a robotic oceanographer in Antarctic under-ice waters. Autonomous command, control, and navigation of robotic platforms in remote sub-ice environments is highly challenging, as well as a sufficiently specialized application such that it does not benefit from the foundation of a wide community of open-source research. Here we present our approach and lessons learned in addressing this challenge through the integration of commercial off-the-shelf and open-source tool sets while working inside a framework that supports rapid, modular expansion of the vehicle's command and control software.</t>
  </si>
  <si>
    <t>[Ramey, Charles; Meister, Matthew; Spears, Anthony; Lutz, Josh; Dichek, Daniel; Hurwitz, Ben; Lawrence, Justin; lawrence, Jade; Philleo, Margaret; Schmidt, Britney E.] Georgia Inst Technol, Sch Earth &amp; Atmospher Sci Dept, Atlanta, GA 30332 USA; [Ramey, Charles] Georgia Inst Technol, Coll Comp, Atlanta, GA 30332 USA</t>
  </si>
  <si>
    <t>University System of Georgia; Georgia Institute of Technology; University System of Georgia; Georgia Institute of Technology</t>
  </si>
  <si>
    <t>Ramey, C (corresponding author), Georgia Inst Technol, Sch Earth &amp; Atmospher Sci Dept, Atlanta, GA 30332 USA.;Ramey, C (corresponding author), Georgia Inst Technol, Coll Comp, Atlanta, GA 30332 USA.</t>
  </si>
  <si>
    <t>cramey7@gatech.edu</t>
  </si>
  <si>
    <t>NASA PSTAR RISE-UP program [NNX16AL07G]; EAS department and Georgia Tech; NASA; NSF under USAP [B-041-M]</t>
  </si>
  <si>
    <t>NASA PSTAR RISE-UP program; EAS department and Georgia Tech; NASA(National Aeronautics &amp; Space Administration (NASA)); NSF under USAP</t>
  </si>
  <si>
    <t>This work was supported by NASA PSTAR RISE-UP program grant NNX16AL07G, PI B. E. Schmidt as well as funds from the EAS department and Georgia Tech. Field work in Antarctica was supported by NASA and NSF under USAP project number B-041-M. The authors thank the USAP McMurdo Station staff for their assistance in the success of this program.</t>
  </si>
  <si>
    <t>WOS:000461320202024</t>
  </si>
  <si>
    <t>Zurita, MDM; Thomsen, DC; Holbrook, NJ; Smith, TF; Lyth, A; Munro, PG; de Bruin, A; Seddaiu, G; Roggero, PP; Baird, J; Plummer, R; Bullock, R; Collins, K; Powell, N</t>
  </si>
  <si>
    <t>Melo Zurita, Maria de Lourdes; Thomsen, Dana C.; Holbrook, Neil J.; Smith, Timothy F.; Lyth, Anna; Munro, Paul G.; de Bruin, Annemarieke; Seddaiu, Giovanna; Roggero, Pier Paolo; Baird, Julia; Plummer, Ryan; Bullock, Ryan; Collins, Kevin; Powell, Neil</t>
  </si>
  <si>
    <t>Global Water Governance and Climate Change: Identifying Innovative Arrangements for Adaptive Transformation</t>
  </si>
  <si>
    <t>WATER</t>
  </si>
  <si>
    <t>adaptive transformation; global environmental governance; water governance; institutional analysis; innovative arrangements</t>
  </si>
  <si>
    <t>SUSTAINABLE DEVELOPMENT; KNOWLEDGE PRODUCTION; POLITICAL ECOLOGY; ADAPTATION; POLICY; MANAGEMENT; PARTICIPATION; DEFORESTATION; COMANAGEMENT; TERRITORY</t>
  </si>
  <si>
    <t>A convoluted network of different water governance systems exists around the world. Collectively, these systems provide insight into how to build sustainable regimes of water use and management. We argue that the challenge is not to make the system less convoluted, but rather to support positive and promising trends in governance, creating a vision for future environmental outcomes. In this paper, we analyse nine water case studies from around the world to help identify potential innovative arrangements' for addressing existing dilemmas. We argue that such arrangements can be used as a catalyst for crafting new global water governance futures. The nine case studies were selected for their diversity in terms of location, scale and water dilemma, and through an examination of their contexts, structures and processes we identify key themes to consider in the milieu of adaptive transformation. These themes include the importance of acknowledging socio-ecological entanglements, understanding the political dimensions of environmental dilemmas, the recognition of different constructions of the dillema, and the importance of democratized processes.</t>
  </si>
  <si>
    <t>[Melo Zurita, Maria de Lourdes] Univ Sydney, Sch Geosci, Camperdown, NSW 2006, Australia; [Thomsen, Dana C.; Smith, Timothy F.; Lyth, Anna; Plummer, Ryan; Powell, Neil] Univ Sunshine Coast, Sustainabil Res Ctr, Sippy Downs, Qld 4556, Australia; [Thomsen, Dana C.; Smith, Timothy F.; Powell, Neil] Uppsala Univ, Swedish Ctr Educ Sustainable Dev, S-362157 Carmegatan, Visby, Sweden; [Thomsen, Dana C.; Smith, Timothy F.; Baird, Julia; Plummer, Ryan] Brock Univ, Environm Sustainabil Res Ctr, St Catharines, ON L2S 3A1, Canada; [Holbrook, Neil J.] Univ Tasmania, Inst Marine &amp; Antarctic Studies, Battery Point 7004, Australia; [Munro, Paul G.] Univ New South Wales, Sch Humanities &amp; Languages, Kensington, NSW 2052, Australia; [de Bruin, Annemarieke] Univ York, Stockholm Environm Inst, York YO10 5NG, N Yorkshire, England; [Seddaiu, Giovanna; Roggero, Pier Paolo] Univ Sassari, Desertificat Res Ctr, Viale Italia 39, I-07100 Sassari, Italy; [Seddaiu, Giovanna; Roggero, Pier Paolo] Univ Sassari, Dept Agr Sci, Viale Italia 39, I-07100 Sassari, Italy; [Plummer, Ryan] Stockholm Univ, Stockholm Resilience Ctr, S-10691 Stockholm, Sweden; [Bullock, Ryan] Univ Winnipeg, Dept Environm Studies &amp; Sci, Winnipeg, MB R3B 2E9, Canada; [Collins, Kevin] Open Univ, Dept Engn &amp; Innovat, Walton Hall, Milton Keynes MK7 6AA, Bucks, England</t>
  </si>
  <si>
    <t>University of Sydney; University of the Sunshine Coast; Uppsala University; Brock University; University of Tasmania; University of New South Wales Sydney; University of York - UK; University of Sassari; University of Sassari; Stockholm University; University of Winnipeg; Open University - UK</t>
  </si>
  <si>
    <t>Zurita, MDM (corresponding author), Univ Sydney, Sch Geosci, Camperdown, NSW 2006, Australia.</t>
  </si>
  <si>
    <t>marilu.melo@sydney.edu.au; dthomsen@usc.edu.au; neil.holbrook@utas.edu.au; tsmith5@usc.edu.au; anna@red-sustainability.com.au; paul.munro@unsw.edu.au; annemarieke.debruin@york.ac.uk; gseddaiu@uniss.it; pproggero@uniss.it; jbaird@brocku.ca; rplummer@brocku.ca; r.bullock@uwinnipeg.ca; kevin.collins@open.ac.uk; npowell@usc.edu.au</t>
  </si>
  <si>
    <t>Munro, Paul/AAJ-5532-2020; Powell, Neil/AAN-1961-2021; Roggero, Pier Paolo/D-2580-2012; Holbrook, Neil/M-7544-2013</t>
  </si>
  <si>
    <t>Roggero, Pier Paolo/0000-0002-7269-4334; Munro, Paul George/0000-0003-3768-0006; Collins, Kevin/0000-0002-5716-7536; Powell, Neil/0000-0002-8665-2370; Holbrook, Neil/0000-0002-3523-6254; Seddaiu, Giovanna/0000-0001-6043-1134; Melo Zurita, Maria de Lourdes/0000-0002-8842-5542; Smith, Timothy/0000-0002-3991-5211</t>
  </si>
  <si>
    <t>Europe and Global Challenges programme by Compagnia di San Paolo; VolkswagenStiftung; Riksbankens Jubileumsfond</t>
  </si>
  <si>
    <t>Europe and Global Challenges programme by Compagnia di San Paolo(Compagnia di San Paolo); VolkswagenStiftung(Volkswagen); Riksbankens Jubileumsfond(Swedish Foundation for Humanities &amp; Social Sciences)</t>
  </si>
  <si>
    <t>The research for this paper is a part of the CADWAGO: Climate change adaptation and water governance-reconciling food security, renewable energy and the provision of multiple ecosystem services project funded as part of the Europe and Global Challenges programme by Compagnia di San Paolo, VolkswagenStiftung and Riksbankens Jubileumsfond. We would also like to acknowledge the valuable critical feedback provided by three anonymous reviewers.</t>
  </si>
  <si>
    <t>MDPI</t>
  </si>
  <si>
    <t>BASEL</t>
  </si>
  <si>
    <t>ST ALBAN-ANLAGE 66, CH-4052 BASEL, SWITZERLAND</t>
  </si>
  <si>
    <t>2073-4441</t>
  </si>
  <si>
    <t>WATER-SUI</t>
  </si>
  <si>
    <t>Water</t>
  </si>
  <si>
    <t>JAN</t>
  </si>
  <si>
    <t>10.3390/w10010029</t>
  </si>
  <si>
    <t>Environmental Sciences; Water Resources</t>
  </si>
  <si>
    <t>Science Citation Index Expanded (SCI-EXPANDED); Social Science Citation Index (SSCI)</t>
  </si>
  <si>
    <t>Environmental Sciences &amp; Ecology; Water Resources</t>
  </si>
  <si>
    <t>FV2LE</t>
  </si>
  <si>
    <t>gold, Green Accepted, Green Published</t>
  </si>
  <si>
    <t>WOS:000424397400028</t>
  </si>
  <si>
    <t>Ricciardelli, A; Casillo, A; Papa, R; Monti, DM; Imbimbo, P; Vrenna, G; Artini, M; Selan, L; Corsaro, MM; Tutino, ML; Parrilli, E</t>
  </si>
  <si>
    <t>Ricciardelli, Annarita; Casillo, Angela; Papa, Rosanna; Monti, Daria Maria; Imbimbo, Paola; Vrenna, Gianluca; Artini, Marco; Selan, Laura; Corsaro, Maria Michela; Tutino, Maria Luisa; Parrilli, Ermenegilda</t>
  </si>
  <si>
    <t>Pentadecanal inspired molecules as new anti-biofilm agents against Staphylococcus epidermidis</t>
  </si>
  <si>
    <t>BIOFOULING</t>
  </si>
  <si>
    <t>Anti-biofilm; pentadecanal; Pseudoalteromonas haloplanktis TAC125; vancomycin; pentadecanoic acid; pentadecanoic acid methyl ester; 1,1-dimethoxypentadecane</t>
  </si>
  <si>
    <t>IN-VITRO; VANCOMYCIN; MECHANISMS</t>
  </si>
  <si>
    <t>Staphylococcus epidermidis, a harmless human skin colonizer, is a significant nosocomial pathogen in predisposed hosts because of its capability to form a biofilm on indwelling medical devices. In a recent paper, the purification and identification of the pentadecanal produced by the Antarctic bacterium Pseudoalteromonas haloplanktis TAC125, able to impair S. epidermidis biofilm formation, were reported. Here the authors report on the chemical synthesis of pentadecanal derivatives, their anti-biofilm activity on S. epidermidis, and their action in combination with antibiotics. The results clearly indicate that the pentadecanal derivatives were able to prevent, to a different extent, biofilm formation and that pentadecanoic acid positively modulated the antimicrobial activity of the vancomycin. The cytotoxicity of these new anti-biofilm molecules was tested on two different immortalized eukaryotic cell lines in view of their potential applications.</t>
  </si>
  <si>
    <t>[Ricciardelli, Annarita; Casillo, Angela; Monti, Daria Maria; Imbimbo, Paola; Corsaro, Maria Michela; Tutino, Maria Luisa; Parrilli, Ermenegilda] Univ Naples Federico II, Chem Sci, Naples, Italy; [Papa, Rosanna; Vrenna, Gianluca; Artini, Marco; Selan, Laura] Sapienza Univ, Dept Publ Hlth &amp; Infect Dis, Rome, Italy</t>
  </si>
  <si>
    <t>University of Naples Federico II; Sapienza University Rome</t>
  </si>
  <si>
    <t>Parrilli, E (corresponding author), Univ Naples Federico II, Chem Sci, Naples, Italy.</t>
  </si>
  <si>
    <t>erparril@unina.it</t>
  </si>
  <si>
    <t>Corsaro, Maria Michela/T-6190-2019; Ricciardelli, Annarita/AAF-3219-2021; Imbimbo, Paola/ABY-9450-2022; parrilli, ermenegilda/JAZ-0586-2023; TUTINO, MARIA LUISA/L-1834-2013; parrilli, ermenegilda/K-4616-2016</t>
  </si>
  <si>
    <t>Corsaro, Maria Michela/0000-0002-6834-8682; Ricciardelli, Annarita/0000-0003-2084-0579; Imbimbo, Paola/0000-0002-5491-2297; parrilli, ermenegilda/0000-0002-9002-5409; MONTI, Daria Maria/0000-0002-1136-0576</t>
  </si>
  <si>
    <t>0892-7014</t>
  </si>
  <si>
    <t>1029-2454</t>
  </si>
  <si>
    <t>Biofouling</t>
  </si>
  <si>
    <t>10.1080/08927014.2018.1544246</t>
  </si>
  <si>
    <t>Biotechnology &amp; Applied Microbiology; Marine &amp; Freshwater Biology</t>
  </si>
  <si>
    <t>HP8YT</t>
  </si>
  <si>
    <t>WOS:000461979400003</t>
  </si>
  <si>
    <t>Carnat, G; Said-Ahmad, W; Fripiat, F; Wittek, B; Tison, JL; Uhlig, C; Amrani, A</t>
  </si>
  <si>
    <t>Carnat, Gauthier; Said-Ahmad, Ward; Fripiat, Francois; Wittek, Boris; Tison, Jean-Louis; Uhlig, Christiane; Amrani, Alon</t>
  </si>
  <si>
    <t>Variability in sulfur isotope composition suggests unique dimethylsulfoniopropionate cycling and microalgae metabolism in Antarctic sea ice</t>
  </si>
  <si>
    <t>COMMUNICATIONS BIOLOGY</t>
  </si>
  <si>
    <t>ENVIRONMENTAL CONSTRAINTS; BIOGENIC SULFUR; OCEANIC DMSP; DIMETHYLSULFIDE; PHYTOPLANKTON; SALINITY; DYNAMICS; SULFATE; IMPACT; DEPTH</t>
  </si>
  <si>
    <t>Sea ice microbial communities produce large amounts of the sulfur metabolite dimethylsulfoniopropionate (DMSP), a precursor of the climate cooling gas dimethylsulfide. Despite their importance to the polar sulfur cycle, drivers and metabolic pathways of sea ice DMSP are uncertain. Here we report the first measurements of sea ice DMSP sulfur isotopic composition (S-34/S-32 ratio, delta S-34). delta S-34 values in ice cores from the Ross Sea and Weddell Sea reveal considerable variability across seasons and between ice horizons (from +10.6 to +23.6%). We discuss how the most extreme delta S-34 values observed could be related to unique DMSP cycling in the seasonally extreme physiochemical conditions of isolated brine inclusions in winter-spring. Using cell cultures, we show that part of the DMSP delta S-34 variability could be explained by distinct DMSP metabolism in sea ice microalgae. These findings advance our understanding of the sea ice sulfur cycle and metabolic adaptations of microbes in extreme environments.</t>
  </si>
  <si>
    <t>[Carnat, Gauthier; Wittek, Boris; Tison, Jean-Louis] Univ Libre Bruxelles, Lab Glaciol, B-1050 Brussels, Belgium; [Said-Ahmad, Ward; Amrani, Alon] Hebrew Univ Jerusalem, Inst Earth Sci, IL-91904 Jerusalem, Israel; [Fripiat, Francois] Max Planck Inst Chem, Climate Geochem Dept, D-55128 Mainz, Germany; [Uhlig, Christiane] Alfred Wegener Inst, Helmholtz Ctr Polar &amp; Marine Res, Sect Marine Geochem, D-27570 Bremerhaven, Germany</t>
  </si>
  <si>
    <t>Universite Libre de Bruxelles; Hebrew University of Jerusalem; Max Planck Society; Helmholtz Association; Alfred Wegener Institute, Helmholtz Centre for Polar &amp; Marine Research</t>
  </si>
  <si>
    <t>Carnat, G (corresponding author), Univ Libre Bruxelles, Lab Glaciol, B-1050 Brussels, Belgium.</t>
  </si>
  <si>
    <t>gcarnat@ulb.ac.be</t>
  </si>
  <si>
    <t>Fripiat, François/ABB-8918-2021; Uhlig, Christiane/Q-4019-2017</t>
  </si>
  <si>
    <t>Fripiat, Francois/0000-0002-2591-6301</t>
  </si>
  <si>
    <t>Belgian FNRS research grant [A 4/5 - MCF/DM - 2657]</t>
  </si>
  <si>
    <t>Belgian FNRS research grant(Fonds de la Recherche Scientifique - FNRS)</t>
  </si>
  <si>
    <t>The authors thank the captain and crew of the RV Polarstern and Nathaniel B. Palmer as well as Chief Scientist Dr. Peter Lemke, and Dr. Steve Ackley for their unconditional logistic and scientific support during the AWECS and PIPERS cruise. The authors would also like to thank the Scott Base crew, Antarctica New-Zealand, and Dr. Tim Haskell for their logistic and scientific support during the YROSIAE study, and Alex Meshoulam (HUJI) for the S isotope analysis of the sulfate samples. G.C. benefited from a Belgian FNRS research grant (contract A 4/5 - MCF/DM - 2657). This paper is a contribution to the BIGSOUTH BELSPO (Belgian Science Policy Office) project. Ocean data view (ODV) 4.7.10 free software was used for mapping in this study (Schlitzer, R., http://odv.awi.de, 2016).</t>
  </si>
  <si>
    <t>75 VARICK ST, 9TH FLR, NEW YORK, NY 10013-1917 USA</t>
  </si>
  <si>
    <t>2399-3642</t>
  </si>
  <si>
    <t>COMMUN BIOL</t>
  </si>
  <si>
    <t>Commun. Biol.</t>
  </si>
  <si>
    <t>10.1038/s42003-018-0228-y</t>
  </si>
  <si>
    <t>Biology; Multidisciplinary Sciences</t>
  </si>
  <si>
    <t>Life Sciences &amp; Biomedicine - Other Topics; Science &amp; Technology - Other Topics</t>
  </si>
  <si>
    <t>HO7LC</t>
  </si>
  <si>
    <t>WOS:000461126500211</t>
  </si>
  <si>
    <t>Ericson, JA; Hellessey, N; Kawaguchi, S; Nicol, S; Nichols, PD; Hoem, N; Virtue, P</t>
  </si>
  <si>
    <t>Ericson, Jessica A.; Hellessey, Nicole; Kawaguchi, So; Nicol, Stephen; Nichols, Peter D.; Hoem, Nils; Virtue, Patti</t>
  </si>
  <si>
    <t>Adult Antarctic krill proves resilient in a simulated high CO2 ocean</t>
  </si>
  <si>
    <t>EUPHAUSIA-SUPERBA DANA; SEASONAL CYCLE; CHANGING OCEAN; LIFE STAGES; ACIDIFICATION; METABOLISM; RESPONSES; IMPACT; LIGHT; RESPIRATION</t>
  </si>
  <si>
    <t>Antarctic krill (Euphausia superba) have a keystone role in the Southern Ocean, as the primary prey of Antarctic predators. Decreases in krill abundance could result in a major ecological regime shift, but there is limited information on how climate change may affect krill. Increasing anthropogenic carbon dioxide (CO2) emissions are causing ocean acidification, as absorption of atmospheric CO2 in seawater alters ocean chemistry. Ocean acidification increases mortality and negatively affects physiological functioning in some marine invertebrates, and is predicted to occur most rapidly at high latitudes. Here we show that, in the laboratory, adult krill are able to survive, grow, store fat, mature, and maintain respiration rates when exposed to near-future ocean acidification (1000-2000 mu atm pCO(2)) for one year. Despite differences in seawater pCO(2) incubation conditions, adult krill are able to actively maintain the acid-base balance of their body fluids in near-future pCO(2), which enhances their resilience to ocean acidification.</t>
  </si>
  <si>
    <t>[Ericson, Jessica A.; Hellessey, Nicole; Nicol, Stephen; Nichols, Peter D.; Virtue, Patti] Univ Tasmania, Inst Marine &amp; Antarctic Studies, 20 Castray Esplanade, Battery Point, Tas 7004, Australia; [Ericson, Jessica A.; Hellessey, Nicole; Kawaguchi, So; Virtue, Patti] Antarctic Climate &amp; Ecosyst Cooperat Res Ctr, 20 Castray Esplanade, Battery Point, Tas 7004, Australia; [Ericson, Jessica A.; Hellessey, Nicole; Nichols, Peter D.; Virtue, Patti] CSIRO Oceans &amp; Atmosphere, Battery Point, Tas 7004, Australia; [Kawaguchi, So] Australian Antarctic Div, 203 Channel Highway, Kingston, Tas 7050, Australia; [Hoem, Nils] Aker Biomarine, Okseneryveien 10,POB 496, NO-1327 Lysaker, Norway</t>
  </si>
  <si>
    <t>University of Tasmania; Antarctic Climate &amp; Ecosystems Cooperative Research Centre (ACE CRC); Commonwealth Scientific &amp; Industrial Research Organisation (CSIRO); Australian Antarctic Division</t>
  </si>
  <si>
    <t>Ericson, JA (corresponding author), Univ Tasmania, Inst Marine &amp; Antarctic Studies, 20 Castray Esplanade, Battery Point, Tas 7004, Australia.;Ericson, JA (corresponding author), Antarctic Climate &amp; Ecosyst Cooperat Res Ctr, 20 Castray Esplanade, Battery Point, Tas 7004, Australia.;Ericson, JA (corresponding author), CSIRO Oceans &amp; Atmosphere, Battery Point, Tas 7004, Australia.</t>
  </si>
  <si>
    <t>jessica.ericson@utas.edu.au</t>
  </si>
  <si>
    <t>Hellessey, Nicole/B-1695-2016; Nichols, Peter D/C-5128-2011; Ericson, Jessica/AAP-1976-2020; Hellessey, Nicole G/E-6511-2013</t>
  </si>
  <si>
    <t>Hellessey, Nicole/0000-0002-3053-8720; Ericson, Jessica/0000-0001-5220-8493; Hoem, Nils/0000-0002-3124-8290</t>
  </si>
  <si>
    <t>Australian Research Council [LP140100412]; Australian Research Council [LP140100412] Funding Source: Australian Research Council</t>
  </si>
  <si>
    <t>Australian Research Council(Australian Research Council); Australian Research Council(Australian Research Council)</t>
  </si>
  <si>
    <t>We thank Tasha Waller, Ashley Cooper, Rob King and Blair Smith for technical support in the Krill Aquarium, and Guang Yang for assistance with daily experimental monitoring. We thank Simon Wotherspoon for statistical advice. This research was funded by an Australian Research Council Linkage Grant LP140100412 between the Australian Antarctic Division, Commonwealth Scientific and Industrial Research Organisation, Institute for Marine and Antarctic Studies (University of Tasmania), Aker Biomarine and Griffith University.</t>
  </si>
  <si>
    <t>10.1038/s42003-018-0195-3</t>
  </si>
  <si>
    <t>WOS:000461126500190</t>
  </si>
  <si>
    <t>Whittle, RJ; Hunter, AW; Cantrill, DJ; McNamara, KJ</t>
  </si>
  <si>
    <t>Whittle, Rowan J.; Hunter, Aaron W.; Cantrill, David J.; McNamara, Kenneth J.</t>
  </si>
  <si>
    <t>Globally discordant Isocrinida (Crinoidea) migration confirms asynchronous Marine Mesozoic Revolution</t>
  </si>
  <si>
    <t>SEYMOUR-ISLAND; LATE EOCENE; PALEOENVIRONMENTAL CONTROL; STALKED CRINOIDS; EARLY OLIGOCENE; CLIMATE-CHANGE; SOUTH-ISLAND; MIDDLE; ECHINODERMATA; PREDATION</t>
  </si>
  <si>
    <t>The Marine Mesozoic Revolution (MMR, starting similar to 200 million years ago) changed the ecological structure of sea floor communities due to increased predation pressure. It was thought to have caused the migration of less mobile invertebrates, such as stalked isocrinid crinoids, into deeper marine environments by the end of the Mesozoic. Recent studies questioned this hypothesis, suggesting the MMR was globally asynchronous. Alternatively, Cenozoic occurrences from Antarctica and South America were described as retrograde reversions to Palaeozoic type communities in cool water. Our results provide conclusive evidence that isocrinid migration from shallow to deep water did not occur at the same time all over the world. The description of a substantial new fauna from Antarctica and Australia, from often-overlooked isolated columnals and articulated crinoids, in addition to the first compilation to our knowledge of Cenozoic Southern Hemisphere isocrinid data, demonstrates a continuous record of shallow marine isocrinids from the Cretaceous-Paleogene to the Eocene/Oligocene boundary.</t>
  </si>
  <si>
    <t>[Whittle, Rowan J.] British Antarctic Survey, Madingley Rd, Cambridge CB3 0ET, England; [Hunter, Aaron W.; McNamara, Kenneth J.] Univ Cambridge, Dept Earth Sci, Downing St, Cambridge CB2 3EQ, England; [Hunter, Aaron W.; McNamara, Kenneth J.] Univ Western Australia, Sch Earth Sci, 35 Stirling Highway, Crawley, WA 6009, Australia; [Cantrill, David J.] Royal Bot Gardens Victoria, Birdwood Ave, Melbourne, Vic 3004, Australia</t>
  </si>
  <si>
    <t>UK Research &amp; Innovation (UKRI); Natural Environment Research Council (NERC); NERC British Antarctic Survey; University of Cambridge; University of Western Australia; Melbourne Genomics Health Alliance</t>
  </si>
  <si>
    <t>Whittle, RJ (corresponding author), British Antarctic Survey, Madingley Rd, Cambridge CB3 0ET, England.;Hunter, AW (corresponding author), Univ Cambridge, Dept Earth Sci, Downing St, Cambridge CB2 3EQ, England.;Hunter, AW (corresponding author), Univ Western Australia, Sch Earth Sci, 35 Stirling Highway, Crawley, WA 6009, Australia.</t>
  </si>
  <si>
    <t>roit@bas.ac.uk; awh31@cam.ac.uk</t>
  </si>
  <si>
    <t>Cantrill, David/R-1415-2019; Hunter, Aaron/A-3958-2016</t>
  </si>
  <si>
    <t>Cantrill, David/0000-0002-1185-4015; Hunter, Aaron/0000-0002-3527-5835</t>
  </si>
  <si>
    <t>NERC (UK) [NE/I00582X/1]; NERC [bas0100030] Funding Source: UKRI</t>
  </si>
  <si>
    <t>NERC (UK)(UK Research &amp; Innovation (UKRI)Natural Environment Research Council (NERC)); NERC(UK Research &amp; Innovation (UKRI)Natural Environment Research Council (NERC))</t>
  </si>
  <si>
    <t>This study is a part of the BAS Palaeoenvironments, Ice-sheets and Climate Change Programme. This work was funded by NERC (UK) grant NE/I00582X/1. The authors thank the PALEOPOLAR team and Dr J.D. Witts from the American Museum of Natural History. H. Blagbrough assisted with access to BAS collections and technical support, and P. Bucktrout with photography. Dr. D. Hodgson provided critical feedback. BAS provided Antarctic field logistics. We thank A. Cabrinovic and T. Ewin for access to specimens at the Natural History Museum, London. M. Siversson (WAM) and M-A. Binnie (SAM) provided access to Australian collections. The management of Giralia Station allowed access to their land. L.E. Young and R. Nicholls provided Australian field assistance. M.K. Eagle provided discussion. K.J.M. thanks those who helped collect the Australian material now housed in the WAM.</t>
  </si>
  <si>
    <t>10.1038/s42003-018-0048-0</t>
  </si>
  <si>
    <t>WOS:000461126500046</t>
  </si>
  <si>
    <t>Verland, N; Kaarsholm, HM; Norregaard, RD; Bach, L; Dietz, R; Leifsson, PS; Dang, M; Nowak, B; Sonne, C</t>
  </si>
  <si>
    <t>Verland, Ninna; Kaarsholm, Henrik M.; Norregaard, Rasmus D.; Bach, Lis; Dietz, Rune; Leifsson, Pall S.; Dang, Mai; Nowak, Barbara; Sonne, Christian</t>
  </si>
  <si>
    <t>Histology of Sculpin spp. in east Greenland. I. Histological measures</t>
  </si>
  <si>
    <t>Arctic; Greenland; fish; gills; liver; histology</t>
  </si>
  <si>
    <t>LEAD-ZINC MINE; MYOXOCEPHALUS-SCORPIUS; LIVER HISTOPATHOLOGY; FISH; GILLS; BIOMARKERS; EXPOSURE; WATER; PARASITES; INDEXES</t>
  </si>
  <si>
    <t>There is inadequate morphological nomenclature and definition of organ pathology when using wild fish in biomonitoring of environmental pollution. The aim of this investigation was to provide a guide that assesses histology of Shorthorn (Myoxocephalus scorpius) and Fourhorn (Myoxocephalus quadricornis) sculpins obtained from a study using these two fish species as bioindicator organisms to evaluate environmental impact attributed to a dumpsite located in East Greenland. Specific histopathological lesions were quantified on the basis of Bernet etal. and all lesions were photomicrographed, evaluated, and placed into specific categories of five reaction patterns. These were circulatory disturbances, regressive changes, progressive alterations, inflammation, and tumors based on anatomical location, type, and severity. This method is postulated to enable an objective assessment of the histological integrity of fish gills and liver; thus, making it possible to compare sculpin pathology and reaction patterns at different locations. Data suggest that this updated histological guide might be used for identification and quantification of histological lesions when applying sculpins in biomonitoring programs in Greenland and other Arctic regions.</t>
  </si>
  <si>
    <t>[Verland, Ninna; Kaarsholm, Henrik M.; Bach, Lis; Dietz, Rune; Leifsson, Pall S.; Sonne, Christian] Aarhus Univ, Arctic Res Ctr, Fac Sci &amp; Technol, Dept Biosci, Frederiksborgvej 399,POB 358, DK-4000 Roskilde, Denmark; [Verland, Ninna; Kaarsholm, Henrik M.; Norregaard, Rasmus D.; Nowak, Barbara] Univ Copenhagen, Fac Hlth &amp; Med Sci, Dept Vet Dis Biol, Frederiksberg, Denmark; [Dang, Mai; Nowak, Barbara] Univ Tasmania, Inst Marine Ad Antarctic Studies, Newnham, Tas, Australia</t>
  </si>
  <si>
    <t>Aarhus University; University of Copenhagen; University of Tasmania</t>
  </si>
  <si>
    <t>Sonne, C (corresponding author), Aarhus Univ, Arctic Res Ctr, Fac Sci &amp; Technol, Dept Biosci, Frederiksborgvej 399,POB 358, DK-4000 Roskilde, Denmark.</t>
  </si>
  <si>
    <t>Sonne, Christian/I-7532-2013; Dietz, Rune/F-9154-2015; Bach, Lis/J-6567-2013; Nowak, Barbara/J-7261-2014</t>
  </si>
  <si>
    <t>Sonne, Christian/0000-0001-5723-5263; Dietz, Rune/0000-0001-9652-317X; Bach, Lis/0000-0003-2891-4202; Leifsson, Pall S/0000-0003-1539-9491; Nowak, Barbara/0000-0002-0347-643X; Dang, Mai T. S./0000-0003-2542-120X</t>
  </si>
  <si>
    <t>Velux Foundations; Carlsberg Foundation; Ministry of Environment and Food of Denmark; Environmental Agency for Mineral Resource Activities, Government of Greenland [771020]</t>
  </si>
  <si>
    <t>Velux Foundations(Velux Fonden); Carlsberg Foundation(Carlsberg Foundation); Ministry of Environment and Food of Denmark; Environmental Agency for Mineral Resource Activities, Government of Greenland</t>
  </si>
  <si>
    <t>The Danish Cooperation for Environment in the Arctic (DANCEA) and the Arctic Research Centre (ARC) at Aarhus University supported sampling, analyses, and writing of this study as well as the Velux Foundations and the Carlsberg Foundation for funding The North Water Project (NOW) supporting part of the writing process of this work. Financial support was also given from The Ministry of Environment and Food of Denmark and The Environmental Agency for Mineral Resource Activities [project 771020], Government of Greenland.</t>
  </si>
  <si>
    <t>5-7</t>
  </si>
  <si>
    <t>10.1080/02772248.2019.1572162</t>
  </si>
  <si>
    <t>HP1TB</t>
  </si>
  <si>
    <t>WOS:000461449200009</t>
  </si>
  <si>
    <t>Pant, NC; Ravindra, R; Srivastava, D; Thompson, L</t>
  </si>
  <si>
    <t>Pant, NC; Ravindra, R; Srivastava, D; Thompson, LG</t>
  </si>
  <si>
    <t>Pant, N. C.; Ravindra, Rasik; Srivastava, Deepak; Thompson, Lonnie</t>
  </si>
  <si>
    <t>The Himalayan cryosphere: past and present variability of the 'third pole'</t>
  </si>
  <si>
    <t>HIMALAYAN CRYOSPHERE: PAST AND PRESENT</t>
  </si>
  <si>
    <t>Geological Society Special Publication</t>
  </si>
  <si>
    <t>13th International Symposium on Antarctic Earth Sciences</t>
  </si>
  <si>
    <t>JUL, 2015</t>
  </si>
  <si>
    <t>INDIA</t>
  </si>
  <si>
    <t>SOUTH ASIAN MONSOON; ASYNCHRONOUS GLACIATION; ICE-AGE; CLIMATE; TRENDS; KARAKORAM; EVOLUTION; PLATEAU; IMPACTS; EVEREST</t>
  </si>
  <si>
    <t>[Pant, N. C.] Univ Delhi, Dept Geol, Delhi 110007, India; [Ravindra, Rasik] Natl Ctr Antarctic &amp; Ocean Res, Vasco Da Gama, Goa, India; [Srivastava, Deepak] Geol Survey India, Lucknow, Uttar Pradesh, India; [Thompson, Lonnie] Ohio State Univ, Byrd Polar &amp; Climate Res Ctr, Columbus, OH 43210 USA; [Thompson, Lonnie] Ohio State Univ, Sch Earth Sci, Columbus, OH 43210 USA</t>
  </si>
  <si>
    <t>University of Delhi; Ministry of Earth Sciences (MoES) - India; National Centre for Polar and Ocean Research (NCPOR); Geological Survey India; University System of Ohio; Ohio State University; University System of Ohio; Ohio State University</t>
  </si>
  <si>
    <t>Pant, NC (corresponding author), Univ Delhi, Dept Geol, Delhi 110007, India.</t>
  </si>
  <si>
    <t>pantnc@gmail.com</t>
  </si>
  <si>
    <t>GEOLOGICAL SOC PUBLISHING HOUSE</t>
  </si>
  <si>
    <t>BATH</t>
  </si>
  <si>
    <t>UNIT 7, BRASSMILL ENTERPRISE CTR, BRASSMILL LANE, BATH BA1 3JN, AVON, ENGLAND</t>
  </si>
  <si>
    <t>0305-8719</t>
  </si>
  <si>
    <t>978-1-78620-324-3</t>
  </si>
  <si>
    <t>GEOL SOC SPEC PUBL</t>
  </si>
  <si>
    <t>Geol. Soc. Spec. Publ.</t>
  </si>
  <si>
    <t>10.1144/SP462.13</t>
  </si>
  <si>
    <t>Geology; Geosciences, Multidisciplinary</t>
  </si>
  <si>
    <t>BM1MN</t>
  </si>
  <si>
    <t>WOS:000460278200001</t>
  </si>
  <si>
    <t>Thompson, LG; Mosley-Thompson, E; Davis, ME; Porter, SE; Kenny, DV; Lin, PN</t>
  </si>
  <si>
    <t>Thompson, Lonnie G.; Mosley-Thompson, Ellen; Davis, Mary E.; Porter, Stacy E.; Kenny, Donald V.; Lin, Ping-Nan</t>
  </si>
  <si>
    <t>Global-scale abrupt climate events and black swans: an ice-core-derived palaeoclimate perspective from Earth's highest mountains</t>
  </si>
  <si>
    <t>INTERTROPICAL CONVERGENCE ZONE; EL-NINO/SOUTHERN-OSCILLATION; MAJOR ION CHEMISTRY; CIRCULATION FEATURES; TROPICAL PACIFIC; CO2 CONSUMPTION; MONSOON FAILURE; INDIAN MONSOON; ASIAN MONSOON; RECORDS</t>
  </si>
  <si>
    <t>High-elevation tropical glaciers provide records of past climate from which current changes can be assessed. Comparisons among three ice-core records from tropical mountains on opposite sides of the Pacific Ocean reveal how climatic events are linked through large-scale processes such as El Nino-Southern Oscillation. Two distinctive trans-Pacific events in the mid-fourteenth and late-eighteenth centuries are distinguished by elevated aerosol concentrations in cores from the Peruvian Andes and the Tibetan Himalaya. Today aerosol sources for these areas are enhanced by droughts accompanying El Ninos. In both locations, large-scale atmospheric circulation supports aerosol transport from likely source regions. Oxygen isotopic ratios from the ice cores are significantly linked with tropical Pacific sea-surface temperatures, especially in the NINO3.4 region. The arid periods in the fourteenth and eighteenth centuries reflect droughts that were possibly connected to strong and/or persistent El Nino conditions and Intertropical Convergence Zone migration. These 'black swans' are contemporaneous with climate-related population disruptions. Recent warming, particularly at high elevations, is posing a threat to tropical glaciers, many of which have been retreating at unprecedented rates over the last several thousand years. The diminishing ice in these alpine regions endangers water resources for populations in South Asia and South America.</t>
  </si>
  <si>
    <t>[Thompson, Lonnie G.; Mosley-Thompson, Ellen; Davis, Mary E.; Porter, Stacy E.; Kenny, Donald V.; Lin, Ping-Nan] Ohio State Univ, Byrd Polar &amp; Climate Res Ctr, Columbus, OH 43210 USA; [Thompson, Lonnie G.] Ohio State Univ, Sch Earth Sci, Columbus, OH 43210 USA; [Mosley-Thompson, Ellen] Ohio State Univ, Dept Geog, Columbus, OH 43210 USA</t>
  </si>
  <si>
    <t>University System of Ohio; Ohio State University; University System of Ohio; Ohio State University; University System of Ohio; Ohio State University</t>
  </si>
  <si>
    <t>Thompson, LG (corresponding author), Ohio State Univ, Byrd Polar &amp; Climate Res Ctr, Columbus, OH 43210 USA.;Thompson, LG (corresponding author), Ohio State Univ, Sch Earth Sci, Columbus, OH 43210 USA.</t>
  </si>
  <si>
    <t>thompson.3@osu.edu</t>
  </si>
  <si>
    <t>Mosley-Thompson, Ellen S/Z-2100-2018</t>
  </si>
  <si>
    <t>Porter, Stacy/0000-0002-9585-1523</t>
  </si>
  <si>
    <t>NSF [ATM-0318430, ATM-0823586, AGS-0443988]; Ohio State University's Climate, Water and Carbon Program</t>
  </si>
  <si>
    <t>NSF(National Science Foundation (NSF)); Ohio State University's Climate, Water and Carbon Program</t>
  </si>
  <si>
    <t>Funding was provided by NSF Awards ATM-0318430, ATM-0823586 and AGS-0443988, and The Ohio State University's Climate, Water and Carbon Program. We thank all the field and laboratory team members, many from BPCRC, who have worked over the years to acquire these ice cores and extract their preserved climate histories. We acknowledge the efforts of our Peruvian colleagues from the Servicio National de Meteorologia e Hidrologia, also C. Portocarrero, and our mountaineers led by B. Vicencio. We thank T. Yao and all our colleagues at the Institute of Tibetan Plateau Research and Cold and Arid Regions Environmental and Engineering Research Institute, Chinese Academy of Sciences without whose long-term collaboration the Dasuopu program could not have been accomplished. U. Schotterer at the University of Bern, Climate and Environment Physics Group conducted the tritium measurements on the Coropuna core. This is Byrd Polar and Climate Research Center Contribution Number 1565.</t>
  </si>
  <si>
    <t>10.1144/SP462.6</t>
  </si>
  <si>
    <t>WOS:000460278200002</t>
  </si>
  <si>
    <t>Mujtaba, SAI; Lal, R; Saini, HS; Kumar, P; Pant, NC</t>
  </si>
  <si>
    <t>Mujtaba, S. A. I.; Lal, Ravish; Saini, H. S.; Kumar, Pawan; Pant, N. C.</t>
  </si>
  <si>
    <t>Formation and breaching of two palaeolakes around Leh, Indus valley, during the late Quaternary</t>
  </si>
  <si>
    <t>LADAKH HIMALAYA; GPS MEASUREMENTS; KARAKORAM FAULT; BASIN; RIVER; EVOLUTION; DEPOSITS; LAKE; SEDIMENTATION; DEFORMATION</t>
  </si>
  <si>
    <t>Of the several types of Quaternary deposits formed by glacial, alluvial and mass-wasting processes, with vast climatic and tectonic significance lake deposits stand out prominently in the Indus valley around the town of Leh. We studied a number of palaeolake deposits between the Zin-chan-Indus confluence and Shey village and carried out optically stimulated luminescence (OSL) quartz dating of samples from critical sections. Our results indicate that, during the late Quaternary, the Indus River was dammed at least twice in the narrow gorge downstream of Spituk Gompa, forming a reservoir up to 35 km long in which 20-68 m thick sediments were deposited under fluvial and lacustrine environments. During the older phase, the Indus was blocked by debris of moraines/landslides in the narrow zone near the Zinchan-Indus confluence. The resulting lake existed between c. 125 +/- 11 and 87 +/- 8 ka during marine isotopic stage (MIS) 5. No evidence of damming material is preserved. Present-day elevations of lake deposits suggest a possible extension of the lake up to Ranbirpura upstream. After the lake breach, the Indus River was again dammed near Phey village by the advancing alluvial fan of the Phyang River. This lake, extending up to Karu, formed at c. 79 +/- ka. The lake existed in this phase during c. 72-49 ka, during cold-stage MIS-4. The lake was breached after c. 46 +/- 3 ka, however.</t>
  </si>
  <si>
    <t>[Mujtaba, S. A. I.; Saini, H. S.; Kumar, Pawan] Geol Survey India, Nit Faridabad 121001, India; [Lal, Ravish; Pant, N. C.] Univ Delhi, Dept Geol, Delhi 11007, India; [Saini, H. S.] Lingayas Univ, Faridabad 121002, India</t>
  </si>
  <si>
    <t>Geological Survey India; University of Delhi; Lingaya's Vidyapeeth</t>
  </si>
  <si>
    <t>Pant, NC (corresponding author), Univ Delhi, Dept Geol, Delhi 11007, India.</t>
  </si>
  <si>
    <t>10.1144/SP462.3</t>
  </si>
  <si>
    <t>WOS:000460278200003</t>
  </si>
  <si>
    <t>Swain, AK; Mukhtar, MA; Majeed, Z; Shukla, SP</t>
  </si>
  <si>
    <t>Swain, A. K.; Mukhtar, M. A.; Majeed, Z.; Shukla, S. P.</t>
  </si>
  <si>
    <t>Depth profiling and recessional history of the Hamtah and Parang glaciers in Lahaul and Spiti, Himachal Pradesh, Indian Himalaya</t>
  </si>
  <si>
    <t>GROUND-PENETRATING RADAR; CLIMATE-CHANGE; ICE; RESOLUTION; REGION</t>
  </si>
  <si>
    <t>The Himalaya are often referred to as the third pole of the Earth because they host the largest areal extent of glaciation outside the polar regions. Estimating the volume of these glaciers is challenging because the ice thickness of most of the glaciers is not accurately known. Depth profiling of the north-facing Hamtah and Parang glaciers was carried out using ground-penetrating radar surveys. The 6 km long Hamtah glacier and the 2.5 km long Parang glacier, with average widths of 350 and 250 m, respectively, are located in different U-shaped valleys. The depth of the ice-bedrock interface varied from 35 to 95 m in the Hamtah glacier and from 40 to 140 m in the Parang glacier. The valley profiles and ground-penetrating radar data were combined to obtain the volumes of the glaciers. The total volumes of ice in the Parang and Hamtah glaciers were estimated to be 0.179 and 0.375 km(3), respectively. Shape analyses of different parts of these glaciers suggest that mathematical equations can be used to describe their sequential development. The retreat rates of the Parang and Hamtah glaciers were estimated to be 11.04 and 16.10 m a(-1), respectively.</t>
  </si>
  <si>
    <t>[Swain, A. K.] Geol Survey India, Polar Studies Div, Faridabad, India; [Swain, A. K.] Geol Survey India, Gangtok, Sikkim, India; [Mukhtar, M. A.; Majeed, Z.] Geol Survey India, Srinagar, Jammu &amp; Kashmir, India; [Shukla, S. P.] Geol Survey India, Glaciol Div, Lucknow, Uttar Pradesh, India</t>
  </si>
  <si>
    <t>Geological Survey India; Geological Survey India; Geological Survey India; Geological Survey India</t>
  </si>
  <si>
    <t>Swain, AK (corresponding author), Geol Survey India, Polar Studies Div, Faridabad, India.;Swain, AK (corresponding author), Geol Survey India, Gangtok, Sikkim, India.</t>
  </si>
  <si>
    <t>swain21@gmail.com</t>
  </si>
  <si>
    <t>Majeed, Zahid/AAW-4163-2021</t>
  </si>
  <si>
    <t>10.1144/SP462.11</t>
  </si>
  <si>
    <t>WOS:000460278200004</t>
  </si>
  <si>
    <t>Dutta, S; Mujtaba, SAI; Saini, HS; Chunchekar, R; Kumar, P</t>
  </si>
  <si>
    <t>Dutta, S.; Mujtaba, S. A. I.; Saini, H. S.; Chunchekar, R.; Kumar, P.</t>
  </si>
  <si>
    <t>Geomorphic evolution of glacier-fed Baspa Valley, NW Himalaya: record of Late Quaternary climate change, monsoon dynamics and glacial fluctuations</t>
  </si>
  <si>
    <t>PARAGLACIAL SEDIMENTATION; LANDSCAPE EVOLUTION; LAHUL-HIMALAYA; ALLUVIAL FANS; HOLOCENE; PLEISTOCENE; TERRACES; INDIA; RIVER; SOUTH</t>
  </si>
  <si>
    <t>In glacier-fed Baspa River valley, Late Quaternary climatic changes are archived in the terraces, fan and landslide deposits. An initial optically stimulated luminescence (OSL) based stratigraphy of these deposits is developed to deduce geomorphic evolution and palaeoclimatic changes. The data show large alluvial fan progradation around Sangla till c. 45 ka (middle of marine isotope stage 3 or MIS-3) due to glacial retreat and readjustment of glacigenic sediment under warm and humid conditions followed by incision. During the end phase of MIS-3 (&gt;23 ka), intensified precipitation blocked the river course near Sangla and Kharogla by rock avalanches and imposed lacustrine conditions which recorded sedimentation until the beginning of Holocene (c. 11.4 ka). Reduced sedimentation in these lakes during the last glacial maximum (LGM) c. 23-18 ka suggests a cold and arid climate, whereas increased sedimentation during c. 18-11.5 ka indicates a warm and humid climate post-LGM. A palaeolake breach occurred during early Holocene and incision continued throughout the Holocene, with a pulse of fluvial aggradation during c. 9.1-6.5 ka over lacustrine remnant. In the upper reach of the valley (Chitkul area), coeval aggradation continued from &gt;28 ka until c. 19 ka (MIS-3 to LGM) under cold and relatively arid conditions. This study emphasizes that Late Quaternary geomorphic evolution of Baspa valley is well synchronous with glacial fluctuations and the rapid response of the glacifluvial system to Indian summer monsoon (ISM) dynamics.</t>
  </si>
  <si>
    <t>[Dutta, S.; Mujtaba, S. A. I.; Saini, H. S.; Chunchekar, R.; Kumar, P.] Geol Survey India, Nit Faridabad 121001, India; [Saini, H. S.] Lingayas Univ, Faridabad 121002, India</t>
  </si>
  <si>
    <t>Geological Survey India; Lingaya's Vidyapeeth</t>
  </si>
  <si>
    <t>Dutta, S (corresponding author), Geol Survey India, Nit Faridabad 121001, India.</t>
  </si>
  <si>
    <t>sharatdutta@gmail.com</t>
  </si>
  <si>
    <t>10.1144/SP462.5</t>
  </si>
  <si>
    <t>WOS:000460278200005</t>
  </si>
  <si>
    <t>Khan, AA; Pant, NC; Ravindra, R; Alok, A; Gupta, M; Gupta, S</t>
  </si>
  <si>
    <t>Khan, Abul Amir; Pant, N. C.; Ravindra, Rasik; Alok, Apurva; Gupta, Manika; Gupta, Shikha</t>
  </si>
  <si>
    <t>A precipitation perspective of the Hydrosphere-cryosphere interaction in the Himalaya</t>
  </si>
  <si>
    <t>RAINFALL; PATTERNS; GLACIERS; BALANCE; TRMM</t>
  </si>
  <si>
    <t>The hydrological budget of the three major Asian rivers, namely the Indus, the Ganga and the Brahmaputra, is controlled by the Indian monsoon and Westerlies but their contribution in these basins are highly variable. Widely varying average annual precipitation has been reported within these basins. A poor network of in situ rain gauges, particularly in mountainous regions, inaccessible terrain, high variations in altitude and the significantly large size of basins forces adaption of satellite-based average annual precipitation. We investigate precipitation patterns for these three basins by using satellite-based Tropical Rainfall Measuring Mission (TRMM-3B42) data and compare and validate it with Asian Precipitation Highly Resolved Data Integration Towards Evaluation (APHRODITE) and India Meteorological Department (IMD) interpolated gridded precipitation data. The entire basins as well as basinal areas within the geographic limits of India have been considered. Our study shows that the precipitation broadly follows an east-west and north-south gradient control. The easternmost Brahmaputra Basin has the highest amount of precipitation followed by the Ganga Basin, and the westernmost Indus Basin has the least precipitation; precipitation is highest on the higher elevations than compared to lower elevations of the basins. A seasonal- and elevation-based approach is adapted to estimate snow precipitation and is discussed in terms of overall precipitation.</t>
  </si>
  <si>
    <t>[Khan, Abul Amir; Pant, N. C.; Alok, Apurva; Gupta, Manika; Gupta, Shikha] Univ Delhi, Dept Geol, 34 Chhatra Marg, Delhi 110007, India; [Ravindra, Rasik] Minist Earth Sci, Lodhi Rd, New Delhi 110003, India</t>
  </si>
  <si>
    <t>University of Delhi; Ministry of Earth Sciences (MoES) - India</t>
  </si>
  <si>
    <t>Pant, NC (corresponding author), Univ Delhi, Dept Geol, 34 Chhatra Marg, Delhi 110007, India.</t>
  </si>
  <si>
    <t>Khan, Abul Amir/AAD-4032-2020</t>
  </si>
  <si>
    <t>Khan, Abul Amir/0009-0008-8822-7109</t>
  </si>
  <si>
    <t>Science and Engineering Research Board, Department of Science and Technology; project 'Fingerprinting of glacial melt water in the Ganga basin: Implications for modeling of hydrological cycle in a Himalayan river system' [NO.SR/DGH-46/2012]</t>
  </si>
  <si>
    <t>Science and Engineering Research Board, Department of Science and Technology; project 'Fingerprinting of glacial melt water in the Ganga basin: Implications for modeling of hydrological cycle in a Himalayan river system'</t>
  </si>
  <si>
    <t>This work was supported by the Science and Engineering Research Board, Department of Science and Technology, and was funded by the project 'Fingerprinting of glacial melt water in the Ganga basin: Implications for modeling of hydrological cycle in a Himalayan river system' (grant no. NO.SR/DGH-46/2012). The authors are grateful to the India Meteorological Department, (IMD) Pune for providing the high-resolution gridded daily rainfall data.</t>
  </si>
  <si>
    <t>10.1144/SP462.2</t>
  </si>
  <si>
    <t>WOS:000460278200006</t>
  </si>
  <si>
    <t>Mitkari, KV; Arora, MK; Mishra, VD; Gusain, HS; Gupta, NK</t>
  </si>
  <si>
    <t>Mitkari, K. V.; Arora, M. K.; Mishra, V. D.; Gusain, H. S.; Gupta, N. K.</t>
  </si>
  <si>
    <t>Development of an operational algorithm for estimating snow-cover fraction</t>
  </si>
  <si>
    <t>LANDSAT-TM DATA; RESOLUTION; MODIS; CLASSIFICATION</t>
  </si>
  <si>
    <t>This article describes an attempt to map snow cover accurately from other land covers using Moderate Resolution Imaging Spectrometer (MODIS) data of 500 m spatial resolution. The workflow includes reflectance modelling, computing snow-cover fraction (SCF) and establishing an empirical relationship between the SCF and normalized difference snow index (NDSI) to map snow cover at operational level. Regression relationships have been developed between the SCF derived from the linear mixture model (LMM) and snow obtained from the NDSI based on two criteria, namely: SCF greater than 0.0 and SCF greater than 0.1. The best regression equation has been selected by examining respective graph plots using statistical measures of mean absolute error, correlation coefficient, root mean square error (RMSE) and uncertainty analysis. The results have been validated against the actual SCF obtained from a high-resolution 15 m Advanced Spaceborne Thermal Emission and Reflection Radiometer (ASTER) visible and near infrared (VNIR) scene and covering a substantial range of snow cover of the same area. The selected regression model SCF = 0.25 + 0.35 x NDSI has been tested on other areas and validation efforts show that the pixel-level SCF relationship provides useful results as measured in independent tests against actual SCF obtained from ASTER scene.</t>
  </si>
  <si>
    <t>[Mitkari, K. V.; Arora, M. K.] PEC Univ Technol, Chandigarh 160012, India; [Arora, M. K.; Gupta, N. K.] Indian Inst Technol Roorkee, Roorkee 247667, Uttar Pradesh, India; [Mishra, V. D.; Gusain, H. S.] Snow &amp; Avalanche Study Estab RDC DRDO, Chandigarh 160037, India</t>
  </si>
  <si>
    <t>Punjab Engineering College (Deemed University); Indian Institute of Technology System (IIT System); Indian Institute of Technology (IIT) - Roorkee; Defence Research &amp; Development Organisation (DRDO); Snow &amp; Avalanche Study Establishment (SASE)</t>
  </si>
  <si>
    <t>Mitkari, KV (corresponding author), PEC Univ Technol, Chandigarh 160012, India.</t>
  </si>
  <si>
    <t>mitkari.kavita@gmail.com</t>
  </si>
  <si>
    <t>Mitkari, Kavita/ABG-8268-2021</t>
  </si>
  <si>
    <t>Mitkari, Kavita/0000-0001-5061-0147</t>
  </si>
  <si>
    <t>10.1144/SP462.7</t>
  </si>
  <si>
    <t>WOS:000460278200007</t>
  </si>
  <si>
    <t>Agrawal, A; Thayyen, RJ; Dimri, AP</t>
  </si>
  <si>
    <t>Agrawal, A.; Thayyen, R. J.; Dimri, A. P.</t>
  </si>
  <si>
    <t>Mass-balance modelling of Gangotri glacier</t>
  </si>
  <si>
    <t>SUSPENDED SEDIMENT; GARHWAL HIMALAYA; TERMINUS RETREAT; WESTERN HIMALAYA; DISCHARGE; RECESSION; THICKNESS; CLIMATE; REGION; VOLUME</t>
  </si>
  <si>
    <t>The sensitivity of glacier mass balance (MB) in response to climatic perturbations has made it an important parameter of study from hydrological, climatological and glaciological point of view. To monitor the health of any glacier system, long-term MB observations are required. These observations among Himalayan glaciers are not available consistently and large glaciers are not often monitored for mass balance due to logistical challenges. One such glacier is the Gangotri, situated in the western Himalaya. In the present study an attempt is made to model the MB over the Gangotri glacier, the biggest glacier in the Ganga basin and also the point of origin of the River Ganges. The mass balance of the Gangotri glacier is estimated during the time period 1985-2014 using two different methods: ice-flow velocity; and energy balance modelling using regional model (REMO) outputs and in situ automatic weather station (AWS) data. The geodetic method is used for the nearby Dokriani glacier, where field-based MB measurements are available. MB of Gangotri glacier estimated for 2001-14 using the ice-flow velocity method is -0.92 +/- 0.36 m w.e. a(-1); for 2006-07, MB using AWS and Tropical Rainfall Monitoring Mission (TRMM) data with the energy balance modelling approach is -0.82 m w.e. a(-1); and for 1985-2005, MB using REMO data with the energy balance modelling approach is -0.98 +/- 0.23 m w.e. a(-1). Using the surface velocity method, it is estimated that the glacier lost 9% of its volume during the period 2001-14. The glacier vacated an area of 0.152 km(2) from the snout region, and retreated by 200 m in the last 14 years. MB values estimated for the Gangotri glacier from different methodologies are remarkably close, suggesting them to be suitable methods of MB estimation. TRMM, High Asia Refined (HAR-10) and Asian Precipitation Highly Resolved Observational Data Integration Towards Evaluation of water resources (APHRODITE) data are used to estimate the precipitation over the glacier. The study suggests that the glacier-wide estimation of weather parameters needs to be improved for more accurate estimation of glacier mass balance.</t>
  </si>
  <si>
    <t>[Agrawal, A.; Dimri, A. P.] Jawaharlal Nehru Univ, Sch Environm Sci, New Delhi, India; [Thayyen, R. J.] Natl Inst Hydrol, Roorkee, Uttarakhand, India</t>
  </si>
  <si>
    <t>Jawaharlal Nehru University, New Delhi</t>
  </si>
  <si>
    <t>Dimri, AP (corresponding author), Jawaharlal Nehru Univ, Sch Environm Sci, New Delhi, India.</t>
  </si>
  <si>
    <t>apdimri@hotmail.com</t>
  </si>
  <si>
    <t>Thayyen, Renoj J/AAR-8636-2020; Aggarwal, Anubha/AAB-9815-2021</t>
  </si>
  <si>
    <t>Dimri, A P/0000-0002-7832-8669</t>
  </si>
  <si>
    <t>Science Engineering Research Board (SERB), Department of Science and Technology [SB/DGH-50/2013]</t>
  </si>
  <si>
    <t>Science Engineering Research Board (SERB), Department of Science and Technology</t>
  </si>
  <si>
    <t>The authors acknowledge the financial assistance received from Science Engineering Research Board (SERB), Department of Science and Technology, under Project No. SB/DGH-50/2013.</t>
  </si>
  <si>
    <t>10.1144/SP462.1</t>
  </si>
  <si>
    <t>WOS:000460278200008</t>
  </si>
  <si>
    <t>Tiwari, S; Kar, SC; Bhatla, R; Bansal, R</t>
  </si>
  <si>
    <t>Tiwari, Sarita; Kar, Sarat C.; Bhatla, R.; Bansal, R.</t>
  </si>
  <si>
    <t>Annual cycle of temperature and snowmelt runoff in Satluj River Basin using in situ data</t>
  </si>
  <si>
    <t>GRIDDED PRECIPITATION DATASET; INTERANNUAL VARIABILITY; CLIMATE-CHANGE; DENSE NETWORK; GLACIER MELT; BHAKRA DAM; WESTERN; DYNAMICS; INFLOW; IMPACT</t>
  </si>
  <si>
    <t>Melting of snow and ice contributes a large amount of water to the streamflow in the Satluj River. During the winter season, there is low base flow in the river as compared to spring and summer. Temperature is one of the key factors which directly impacts snow and ice melting throughout the year. A substantial amount of snowmelt only occurs when all the snow in a pack reaches isothermal condition. It is therefore very important to know the duration of impact of temperature on snowmelt runoff. Since the Himalayas have very few stations observing hydrological as well as meteorological conditions, it is difficult to validate the snowmelt models and examine changes in small-scale features in river basins of the region. The present study examines the annual cycle and interannual variability of runoff in the Satluj Basin in the western Himalayas and documents the impact of temperature on snowmelt runoff of Satluj River using daily in situ data for the period 1982-2005. A multivariate regression model using precipitation and surface temperature has been developed to predict the discharge of Satluj River at a daily scale. It is seen that after every warm phase and cold phase of temperature, the impact persists for around one month and affects the snowmelt runoff during January, February and March at lower- and higher-elevation stations such as Bhakra and Kasol, respectively. The effect of a large fall and rise in temperature is noticed on snowmelt runoff measured at all the discharge stations, while a small temperature change does not affect the observed discharge at all the stations. The remote sensing and reanalysis data are consistent with in situ data in the basin, and there is no major change in peak month of discharge or the amplitude during two different periods at Rampur gauge station.</t>
  </si>
  <si>
    <t>[Tiwari, Sarita; Kar, Sarat C.] Natl Ctr Medium Range Weather Forecasting, Noida, India; [Bhatla, R.] Banaras Hindu Univ, Dept Geophys, Varanasi, Uttar Pradesh, India; [Bansal, R.] Govt Haryana, Dept Irrigat, Chandigarh, India</t>
  </si>
  <si>
    <t>Ministry of Earth Sciences (MoES) - India; National Centre for Medium Range Weather Forecasting (NCMRWF); Banaras Hindu University (BHU)</t>
  </si>
  <si>
    <t>Kar, SC (corresponding author), Natl Ctr Medium Range Weather Forecasting, Noida, India.</t>
  </si>
  <si>
    <t>sckar@ncmrwf.gov.in</t>
  </si>
  <si>
    <t>Kar, Sarat C/Q-1886-2015</t>
  </si>
  <si>
    <t>Bhatla, R/0000-0002-8031-8857</t>
  </si>
  <si>
    <t>10.1144/SP462.4</t>
  </si>
  <si>
    <t>WOS:000460278200009</t>
  </si>
  <si>
    <t>Chiphang, N; Mishra, P; Bandyopadhyay, A; Bhadra, A</t>
  </si>
  <si>
    <t>Chiphang, N.; Mishra, P.; Bandyopadhyay, A.; Bhadra, A.</t>
  </si>
  <si>
    <t>Temporal variations in snow albedo at glaciated upper elevation zone of an Eastern Himalayan river basin</t>
  </si>
  <si>
    <t>SURFACE ALBEDO; GLACIER; RETRIEVAL; PRODUCT; ICE</t>
  </si>
  <si>
    <t>Snow albedo is an important climate parameter as it governs the amount of solar energy absorbed by the snow and can be considered a major contributor to the surface radiation budget. The present study deals with the estimation of temporal variation of snow albedo at the upper elevation zone of glaciated Mago Basin of Arunachal Pradesh in eastern Himalaya. Moderate Resolution Imaging Spectroradiometer (MODIS) Daily Snow Products (MOD10A1 and MYD10A1) at 500 m spatial resolution were used. Both the MODIS data for ten years (2003-13) and the Advanced Spaceborne Thermal Emission and Reflection (ASTER) digital elevation model (DEM) of the study area were downloaded from NASA DAAC of NSIDC. The percentage area under different snow types (dry snow, wet snow, firn and ice) was determined by masking the upper elevation zone of the DEM into the albedo images. The average monthly slopes show a decreasing trend in area (%) of dry snow and wet snow and an increasing trend for firn and ice. Dry snow and wet snow cover percentages were observed to be decreasing, whereas firn and ice cover showed an increasing trend for most of the months. Firn dominated the type of snow, followed by ice then wet snow; the smallest area (%) was that of dry snow for the study period.</t>
  </si>
  <si>
    <t>[Chiphang, N.; Mishra, P.; Bandyopadhyay, A.; Bhadra, A.] North Eastern Reg Inst Sci &amp; Technol, Dept Agr Engn, Itanagar 791109, Arunachal Prade, India</t>
  </si>
  <si>
    <t>North Eastern Regional Institute of Science &amp; Technology (NERIST)</t>
  </si>
  <si>
    <t>Bandyopadhyay, A (corresponding author), North Eastern Reg Inst Sci &amp; Technol, Dept Agr Engn, Itanagar 791109, Arunachal Prade, India.</t>
  </si>
  <si>
    <t>arnabbandyo@yahoo.co.in</t>
  </si>
  <si>
    <t>Bhadra, Aditi/M-7893-2015; Bandyopadhyay, Arnab/M-7887-2015</t>
  </si>
  <si>
    <t>Bhadra, Aditi/0000-0001-8403-0976; Bandyopadhyay, Arnab/0000-0001-6653-250X</t>
  </si>
  <si>
    <t>10.1144/SP462.8</t>
  </si>
  <si>
    <t>WOS:000460278200010</t>
  </si>
  <si>
    <t>Soheb, M; Ramanathan, A; Mandal, A; Angchuk, T; Pandey, N; Mishra, SD</t>
  </si>
  <si>
    <t>Soheb, Mohd; Ramanathan, Alagappan; Mandal, Arindan; Angchuk, Thupstan; Pandey, Naveen; Mishra, Som Dutta</t>
  </si>
  <si>
    <t>Wintertime surface energy balance of a high-altitude seasonal snow surface in Chhota Shigri glacier basin, Western Himalaya</t>
  </si>
  <si>
    <t>MASS-BALANCE; ZHADANG GLACIER; TIBETAN PLATEAU; INDIA; MELT</t>
  </si>
  <si>
    <t>We describe a time series of meteorological parameters and surface energy balance components of a seasonal snow cover from an automatic weather station (4863 m a.s.l., 32.28 degrees N, 77.58 degrees E), for a winter season from 1 December 2012 to 30 March 2013, located on a moraine close to the equilibrium line altitude of Chhota Shigri glacier, Himachal Pradesh, India. The analysis shows that for over 80% of the time in winter, the snow surface was at a cooling phase. During late winter however, the surface had some positive residual energy which induced some melt during peak hours of the day. The net all-wave radiation was mostly negative during winter because of the high reflective property of snow and reduced incoming longwave radiation due to low cloud. The sensible heat flux heats the surface at night and enhances the cooling during day. The latent heat flux is always negative, showing that the surface is losing mass through sublimation processes (-0.83 mm w.e./day). A correlation between the energy fluxes and temperature shows a distinct relationship between fluxes. A comparison between the two studies performed on- and off-glacier reveals a significant difference in some parameters. A higher value (-1.08 mm/day) of sublimation rate at 4863 m a. s.l. shows that a large amount of energy available at the surface was used in sublimation processes. A comparatively lower albedo, relative humidity and net longwave radiation and higher latent heat flux, wind speed and net shortwave radiation yield a distinctive surface energy balance, highlighting the need for a large number of stations at different zones to achieve a coherent picture of energy balance in the region.</t>
  </si>
  <si>
    <t>[Soheb, Mohd; Ramanathan, Alagappan; Mandal, Arindan; Angchuk, Thupstan; Pandey, Naveen; Mishra, Som Dutta] Jawaharlal Nehru Univ, Sch Environm Sci, New Delhi 110067, India</t>
  </si>
  <si>
    <t>Ramanathan, A (corresponding author), Jawaharlal Nehru Univ, Sch Environm Sci, New Delhi 110067, India.</t>
  </si>
  <si>
    <t>alrjnu@gmail.com</t>
  </si>
  <si>
    <t>AL, Ramanathan -/E-7217-2012; Soheb, Mohd/HNB-6516-2023; Mandal, Arindan/AHB-6408-2022</t>
  </si>
  <si>
    <t>AL, Ramanathan -/0000-0002-3491-2273; Soheb, Mohd/0000-0001-7788-8894; Mandal, Arindan/0000-0003-1616-6032</t>
  </si>
  <si>
    <t>Jawaharlal Nehru University, Government of India; Department of Science and Technology, Government of India</t>
  </si>
  <si>
    <t>Jawaharlal Nehru University, Government of India; Department of Science and Technology, Government of India(Department of Science &amp; Technology (India))</t>
  </si>
  <si>
    <t>The authors are grateful to Jawaharlal Nehru University and the Department of Science and Technology, Government of India for the support extended throughout the study period. We are also grateful to the School of Environmental Sciences, Jawaharlal Nehru University. Sincere thanks are due to Miss Prerna Joshi and Dr Pratima Pandey for their comments and proofreading of the article. We are also grateful to all our colleagues working with us and the porters who helped us throughout the field trips, sometimes in extreme conditions.</t>
  </si>
  <si>
    <t>10.1144/SP462.10</t>
  </si>
  <si>
    <t>WOS:000460278200011</t>
  </si>
  <si>
    <t>Owen, LA</t>
  </si>
  <si>
    <t>Owen, Lewis A.</t>
  </si>
  <si>
    <t>Earth surface processes and landscape evolution in the Himalaya: a framework for sustainable development and geohazard mitigation</t>
  </si>
  <si>
    <t>LATE QUATERNARY GLACIATION; 2005 KASHMIR EARTHQUAKE; GARHWAL HIMALAYA; TIBETAN PLATEAU; CLIMATE-CHANGE; KARAKORAM FAULT; NORTHERN INDIA; LAHUL-HIMALAYA; ROCK UPLIFT; FLUVIAL AGGRADATION</t>
  </si>
  <si>
    <t>Successful sustainable development and geohazard mitigation in the Himalaya requires an understanding of the nature and dynamics of Earth surface processes and landscape evolution. In recent years, geoscience studies of Himalayan environments have been increasing due to better accessibility, modern technologies and the understanding that there is a necessity to determine the nature and predict likely environmental changes that are occurring due to natural and human influences. The Himalaya is one of the most dynamically active tectonic and geomorphic regions on our planet, and it is the most glaciated mountain area outside of the polar realms. The high mountains and deep valleys are a consequence of the continued collision of the Indian and Eurasian continental plates, rapid uplift and intense denudation by glacial, fluvial, landsliding, aeolian and weathering processes. These processes change over time, influenced by topographic development, climate change and humans. Defining the rates and magnitudes of these processes and their interactions is fundamental in developing a framework to quantify, model and predict future changes for geohazard mitigation and sustainable development.</t>
  </si>
  <si>
    <t>[Owen, Lewis A.] Univ Cincinnati, Dept Geol, Cincinnati, OH 45221 USA</t>
  </si>
  <si>
    <t>University System of Ohio; University of Cincinnati</t>
  </si>
  <si>
    <t>Owen, LA (corresponding author), Univ Cincinnati, Dept Geol, Cincinnati, OH 45221 USA.</t>
  </si>
  <si>
    <t>Lewis.Owen@uc.edu</t>
  </si>
  <si>
    <t>Owen, Lewis/0000-0002-2525-5160</t>
  </si>
  <si>
    <t>10.1144/SP462.9</t>
  </si>
  <si>
    <t>WOS:000460278200012</t>
  </si>
  <si>
    <t>Rowan, AV; Quincey, DJ; Gibson, MJ; Glasser, NF; Westoby, MJ; Irvine-Fynn, TDL; Porter, PR; Hambrey, MJ</t>
  </si>
  <si>
    <t>Rowan, Ann V.; Quincey, Duncan J.; Gibson, Morgan J.; Glasser, Neil F.; Westoby, Matthew J.; Irvine-Fynn, Tristram D. L.; Porter, Phillip R.; Hambrey, Michael J.</t>
  </si>
  <si>
    <t>The sustainability of water resources in High Mountain Asia in the context of recent and future glacier change</t>
  </si>
  <si>
    <t>DEBRIS-COVERED GLACIERS; EQUILIBRIUM-LINE ALTITUDES; EVEREST REGION; ENERGY-BALANCE; CLIMATE-CHANGE; MASS-BALANCE; QUATERNARY GLACIATION; SUPRAGLACIAL DEBRIS; NEPAL HIMALAYA; ICE-AGE</t>
  </si>
  <si>
    <t>High Mountain Asia contains the largest volume of glacier ice outside the polar regions, and contain the headwaters of some of the largest rivers in central Asia. These glaciers are losing mass at a mean rate of between -0.18 and -0.5 m water equivalent per year. While glaciers in the Himalaya are generally shrinking, those in the Karakoram have experienced a slight mass gain. Both changes have occurred in response to rising air temperatures due to Northern Hemisphere climate change. In the westerly influenced Indus catchment, glacier meltwater makes up a large proportion of the hydrological budget, and loss of glacier mass will ultimately lead to a decrease in water supplies. In the monsoon-influenced Ganges and Brahmaputra catchments, the contribution of glacial meltwater is relatively small compared to the Indus, and the decrease in annual water supplies will be less dramatic. Therefore, enhanced glacier melt will increase river flows until the middle of the twenty-first century, but in the longer term, into the latter part of this century, river flows will decline as glaciers shrink. Declining meltwater supplies may be compensated by increases in precipitation, but this could exacerbate the risk of flooding.</t>
  </si>
  <si>
    <t>[Rowan, Ann V.] Univ Sheffield, Dept Geog, Winter St, Sheffield S10 2TN, S Yorkshire, England; [Quincey, Duncan J.] Univ Leeds, Sch Geog, Leeds LS2 9JT, W Yorkshire, England; [Gibson, Morgan J.; Glasser, Neil F.; Irvine-Fynn, Tristram D. L.; Hambrey, Michael J.] Aberystwyth Univ, Dept Geog &amp; Earth Sci, Ctr Glaciol, Llandinam Bldg,Penglais Campus, Aberystwyth SY23 3DB, Dyfed, Wales; [Westoby, Matthew J.] Northumbria Univ, Sch Engn &amp; Environm, Ellison Pl, Newcastle Upon Tyne NE1 8ST, Tyne &amp; Wear, England; [Porter, Phillip R.] Univ Hertfordshire, Div Geog &amp; Environm Sci, Hatfield AL10 9AB, Herts, England</t>
  </si>
  <si>
    <t>University of Sheffield; University of Leeds; Aberystwyth University; Northumbria University; University of Hertfordshire</t>
  </si>
  <si>
    <t>Rowan, AV (corresponding author), Univ Sheffield, Dept Geog, Winter St, Sheffield S10 2TN, S Yorkshire, England.</t>
  </si>
  <si>
    <t>a.rowan@sheffield.ac.uk</t>
  </si>
  <si>
    <t>Westoby, Matthew/JNE-9260-2023; Rowan, Ann/AAF-1033-2019; Westoby, Matthew/D-3880-2016</t>
  </si>
  <si>
    <t>Rowan, Ann/0000-0002-3715-5554; Irvine-Fynn, Tristram/0000-0003-3157-6646; Quincey, Duncan/0000-0002-7602-7926; Westoby, Matthew/0000-0002-2070-5580; Jones, Morgan/0000-0002-5281-524X</t>
  </si>
  <si>
    <t>10.1144/SP462.12</t>
  </si>
  <si>
    <t>WOS:000460278200013</t>
  </si>
  <si>
    <t>Zou, F; Jin, SG</t>
  </si>
  <si>
    <t>Hu, S; Ye, X; Yang, K; Fan, H</t>
  </si>
  <si>
    <t>Zou, Fang; Jin, Shuanggen</t>
  </si>
  <si>
    <t>Re-estimation of the Greenland ice sheet changes from ICESat measurements with slope correction</t>
  </si>
  <si>
    <t>2018 26TH INTERNATIONAL CONFERENCE ON GEOINFORMATICS (GEOINFORMATICS 2018)</t>
  </si>
  <si>
    <t>International Conference on Geoinformatics</t>
  </si>
  <si>
    <t>26th International Conference on Geoinformatics (Geoinformatics)</t>
  </si>
  <si>
    <t>JUN 28-30, 2018</t>
  </si>
  <si>
    <t>Yunnan Normal Univ, Kunming, PEOPLES R CHINA</t>
  </si>
  <si>
    <t>Yunnan Normal Univ</t>
  </si>
  <si>
    <t>Greenland ice sheet; ICESat; ice melting; elevation changes; mass change</t>
  </si>
  <si>
    <t>ELEVATION CHANGES; LASER; GLACIERS; VOLUME; OCEAN</t>
  </si>
  <si>
    <t>The Greenland ice sheet, the second largest glacier in the world after the Antarctic ice sheet, is losing its mass significantly since the 21st century. Although Ice, Cloud, and land Elevation Satellite (ICESat) has been successfully applied to detect changes in the elevation of the Greenland ice sheet since its launch in 2003, there are larger uncertainty to retrieve the glacier height in the altimetry data processing. In this paper, we use repeat-tracks method with slope correction to re-process ICESat data from 2003-2008 and estimate the mass changes of Greenland ice sheet. The elevation change results varies from about -2 m/yr up to 1.5 m/yr. The well-pronounced height decrease are clearly visible in the catchment area of Jakobshavn Isbrae glacier (northwestern), the Helheim and Kangerdlugssuaq glaciers (southeastern), where the elevation change rate reaches a remarkable amount of more than -2 m/yr. The elevation change rate is around zero in the northern area of the Greenland ice sheet. The elevation change rates in most of the inland arears are slightly positive with about 0.02m/yr, indicating that there are small amount of ice mass accumulation. The volume change rate of the whole Greenland ice sheet is -237.65km(3)/yr by the repeat-track plane fitting method from the ICESat elevation measurements. The volume change rate of the whole Greenland ice sheet is -198.54km(3)/r by the repeat-track with slope correction, which has a good agreement with GRACE measurements.</t>
  </si>
  <si>
    <t>[Zou, Fang; Jin, Shuanggen] Chinese Acad Sci, Shanghai Astron Observ, Shanghai 200030, Peoples R China; [Zou, Fang] Univ Chinese Acad Sci, Beijing 100049, Peoples R China</t>
  </si>
  <si>
    <t>Chinese Academy of Sciences; Shanghai Astronomical Observatory, CAS; Chinese Academy of Sciences; University of Chinese Academy of Sciences, CAS</t>
  </si>
  <si>
    <t>Zou, F (corresponding author), Chinese Acad Sci, Shanghai Astron Observ, Shanghai 200030, Peoples R China.;Zou, F (corresponding author), Univ Chinese Acad Sci, Beijing 100049, Peoples R China.</t>
  </si>
  <si>
    <t>fzou@shao.ac.cn</t>
  </si>
  <si>
    <t>Jin, Shuanggen/B-8094-2008</t>
  </si>
  <si>
    <t>Jin, Shuanggen/0000-0002-5108-4828</t>
  </si>
  <si>
    <t>Shanghai Science and Technology Commission Project [12DZ2273300]; National Natural Science Foundation of China (NSFC) Project [11373059]</t>
  </si>
  <si>
    <t>Shanghai Science and Technology Commission Project; National Natural Science Foundation of China (NSFC) Project(National Natural Science Foundation of China (NSFC))</t>
  </si>
  <si>
    <t>We thank the NSIDC for providing the ICESat data. This research is supported by the Shanghai Science and Technology Commission Project (Grant No. 12DZ2273300) and National Natural Science Foundation of China (NSFC) Project (Grant Nos. 11373059).</t>
  </si>
  <si>
    <t>2161-024X</t>
  </si>
  <si>
    <t>978-1-5386-7619-6</t>
  </si>
  <si>
    <t>INT CONF GEOINFORM</t>
  </si>
  <si>
    <t>BM1HW</t>
  </si>
  <si>
    <t>WOS:000459847200124</t>
  </si>
  <si>
    <t>van der Watt, LM; Roberts, P</t>
  </si>
  <si>
    <t>Wormbs, N</t>
  </si>
  <si>
    <t>van der Watt, Lize-Marie; Roberts, Peder</t>
  </si>
  <si>
    <t>Voicing Bipolar Futures: The Antarctic Treaty System and Arctic Governance in Historical Perspective</t>
  </si>
  <si>
    <t>COMPETING ARCTIC FUTURES: HISTORICAL AND CONTEMPORARY PERSPECTIVES</t>
  </si>
  <si>
    <t>Palgrave Studies in the History of Science and Technology</t>
  </si>
  <si>
    <t>SCIENCE</t>
  </si>
  <si>
    <t>[van der Watt, Lize-Marie; Roberts, Peder] KTH Royal Inst Technol, Div Hist Sci Technol &amp; Environm, Stockholm, Sweden</t>
  </si>
  <si>
    <t>Royal Institute of Technology</t>
  </si>
  <si>
    <t>van der Watt, LM (corresponding author), KTH Royal Inst Technol, Div Hist Sci Technol &amp; Environm, Stockholm, Sweden.</t>
  </si>
  <si>
    <t>PALGRAVE</t>
  </si>
  <si>
    <t>BASINGSTOKE</t>
  </si>
  <si>
    <t>HOUNDMILLS, BASINGSTOKE RG21 6XS, ENGLAND</t>
  </si>
  <si>
    <t>978-3-319-91617-0; 978-3-319-91616-3</t>
  </si>
  <si>
    <t>PALGR STUD HIST SCI</t>
  </si>
  <si>
    <t>10.1007/978-3-319-91617-0_7</t>
  </si>
  <si>
    <t>10.1007/978-3-319-91617-0</t>
  </si>
  <si>
    <t>Area Studies; Environmental Sciences; Environmental Studies; History &amp; Philosophy Of Science</t>
  </si>
  <si>
    <t>Book Citation Index – Social Sciences &amp; Humanities (BKCI-SSH); Book Citation Index – Science (BKCI-S)</t>
  </si>
  <si>
    <t>Area Studies; Environmental Sciences &amp; Ecology; History &amp; Philosophy of Science</t>
  </si>
  <si>
    <t>BL9EH</t>
  </si>
  <si>
    <t>WOS:000457316100007</t>
  </si>
  <si>
    <t>Kabanov, DM; Pol'kin, VV; Sakerin, SM; Turchinovich, YS; Radionov, VF; Zenkova, PN</t>
  </si>
  <si>
    <t>Matvienko, GG; Romanovskii, OA</t>
  </si>
  <si>
    <t>Kabanov, Dmitry M.; Pol'kin, Viktor V.; Sakerin, Sergey M.; Turchinovich, Yury S.; Radionov, Vladimir F.; Zenkova, Polina N.</t>
  </si>
  <si>
    <t>Influence of continents on spatial distribution of aerosol characteristics in the southern part of the World Ocean</t>
  </si>
  <si>
    <t>24TH INTERNATIONAL SYMPOSIUM ON ATMOSPHERIC AND OCEAN OPTICS: ATMOSPHERIC PHYSICS</t>
  </si>
  <si>
    <t>Proceedings of SPIE</t>
  </si>
  <si>
    <t>24th International Symposium on Atmospheric and Ocean Optics - Atmospheric Physics</t>
  </si>
  <si>
    <t>JUL 02-05, 2018</t>
  </si>
  <si>
    <t>Tomsk, RUSSIA</t>
  </si>
  <si>
    <t>aerosol; optical and microphysical characteristics; Southern Ocean</t>
  </si>
  <si>
    <t>OPTICAL-PROPERTIES</t>
  </si>
  <si>
    <t>Based on multiyear studies in the Russian Antarctic Expeditions (51st-62nd RAE), we discuss the specific features of the spatial distribution of atmospheric aerosol characteristics (aerosol optical depth and aerosol and black carbon concentrations) in the southern part of the World Ocean. It is shown that, with the growing separation (up to 170350 km) from Africa in the southern direction, a general regularity is a factor of 1.3-4.2 decrease in the average aerosol characteristics. At higher latitudes (40-55 degrees S), the aerosol characteristics saturate to a quasi-constant level, followed by a decrease in the average values toward Antarctic coasts.</t>
  </si>
  <si>
    <t>[Kabanov, Dmitry M.; Pol'kin, Viktor V.; Sakerin, Sergey M.; Turchinovich, Yury S.; Zenkova, Polina N.] Russian Acad Sci, Siberian Branch, VE Zuev Inst Atmospher Opt, Academician Zuev Sq 1, Tomsk 634021, Russia; [Radionov, Vladimir F.] Arctic &amp; Antarctic Res Inst, 38 Bering Str, St Petersburg 199397, Russia</t>
  </si>
  <si>
    <t>Russian Academy of Sciences; Zuev Institute of Atmospheric Optics, Siberian Branch of the Russian Academy of Sciences; Arctic &amp; Antarctic Research Institute</t>
  </si>
  <si>
    <t>Kabanov, DM (corresponding author), Russian Acad Sci, Siberian Branch, VE Zuev Inst Atmospher Opt, Academician Zuev Sq 1, Tomsk 634021, Russia.</t>
  </si>
  <si>
    <t>dkab@iao.ru</t>
  </si>
  <si>
    <t>Kabanov, Dmitry M./A-5805-2014; Radionov, Vladimir F./O-3038-2017; Kabanov, Dmitry/A-4871-2014; Polina, Zenkova/AAZ-3429-2020; Sakerin, Sergey/A-6508-2014</t>
  </si>
  <si>
    <t>Zenkova, Polina/0009-0008-4294-7274</t>
  </si>
  <si>
    <t>SPIE-INT SOC OPTICAL ENGINEERING</t>
  </si>
  <si>
    <t>BELLINGHAM</t>
  </si>
  <si>
    <t>1000 20TH ST, PO BOX 10, BELLINGHAM, WA 98227-0010 USA</t>
  </si>
  <si>
    <t>0277-786X</t>
  </si>
  <si>
    <t>1996-756X</t>
  </si>
  <si>
    <t>978-1-5106-2292-0</t>
  </si>
  <si>
    <t>PROC SPIE</t>
  </si>
  <si>
    <t>UNSP 1083335</t>
  </si>
  <si>
    <t>10.1117/12.2501847</t>
  </si>
  <si>
    <t>Oceanography; Remote Sensing; Optics</t>
  </si>
  <si>
    <t>BM1FI</t>
  </si>
  <si>
    <t>WOS:000459714100111</t>
  </si>
  <si>
    <t>Poliukhov, AA; Chubarova, HE; Shatunova, MV; Rivin, GS; Tarasova, TA; Makshtas, AP; Muskatel, H</t>
  </si>
  <si>
    <t>Poliukhov, A. A.; Chubarova, H. E.; Shatunova, M., V; Rivin, G. S.; Tarasova, T. A.; Makshtas, A. P.; Muskatel, H.</t>
  </si>
  <si>
    <t>Radiative effect of different aerosol types in clear sky conditions according to COSMO-Ru model</t>
  </si>
  <si>
    <t>aerosol; radiation transfer; model COSMO</t>
  </si>
  <si>
    <t>OPTICAL-THICKNESS; AERONET</t>
  </si>
  <si>
    <t>The radiation effects of aerosol in clear sky under continental aerosol (Meteorological Observatory of MSU (Russia), Lindenberg Observatory (Germany)), over semi-desert areas (Israel) and Arctic district at the Tiksi International Hydrometeorological (Russia) observatory were estimated using the mesoscale COSMO-Ru model. The effect of aerosol on the surface air temperature is also was investigated. For the present study we use the aerosol dataset from CIMEL (AERONET) sun photometer measurements and the data of shortwave radiation components based on reliable instruments Kipp&amp;Zonen. The application of the new MACv2 climatology radiation model provides the annual average relative error of the total global radiation which does not exceed 25 W/m(2). We suggest that in clear sky conditions the sensitivity of air temperature at 2 meters to aerosol in all considered geographical areas lie within 0.9 degrees C per 100 W/m(2) change in shortwave net radiation changes.</t>
  </si>
  <si>
    <t>[Poliukhov, A. A.; Chubarova, H. E.; Rivin, G. S.] Lomonosov Moscow State Univ, Moscow, Russia; [Poliukhov, A. A.; Chubarova, H. E.; Shatunova, M., V; Rivin, G. S.] Hydromet Ctr Russia, Moscow, Russia; [Tarasova, T. A.] Inst Nacl Pesquisas Espaciais, Ctr Previsao Tempo &amp; Estudos Climat, Cachoeira Paulista, Brazil; [Makshtas, A. P.] Arctic &amp; Antarctic Res Inst, St Petersburg, Russia; [Muskatel, H.] Israel Meteorol Serv, Bet Dagan, Israel</t>
  </si>
  <si>
    <t>Lomonosov Moscow State University; Instituto Nacional de Pesquisas Espaciais (INPE); Arctic &amp; Antarctic Research Institute</t>
  </si>
  <si>
    <t>Poliukhov, AA (corresponding author), Lomonosov Moscow State Univ, Moscow, Russia.;Poliukhov, AA (corresponding author), Hydromet Ctr Russia, Moscow, Russia.</t>
  </si>
  <si>
    <t>aeromsu@gmail.com</t>
  </si>
  <si>
    <t>Shatunova, Marina/AAG-2253-2020; Rivin, Gdaliy/AAN-3930-2020; Poliukhov, Aleksei/F-2771-2014; Полюхов, Алексей/AAC-4342-2019</t>
  </si>
  <si>
    <t>Полюхов, Алексей/0000-0001-6336-3376</t>
  </si>
  <si>
    <t>Russian Science Foundation [18-17-00149]; Russian Science Foundation [18-17-00149] Funding Source: Russian Science Foundation</t>
  </si>
  <si>
    <t>Russian Science Foundation(Russian Science Foundation (RSF)); Russian Science Foundation(Russian Science Foundation (RSF))</t>
  </si>
  <si>
    <t>This work is supported by the Russian Science Foundation under grant # 18-17-00149.</t>
  </si>
  <si>
    <t>UNSP 1083308</t>
  </si>
  <si>
    <t>10.1117/12.2504299</t>
  </si>
  <si>
    <t>WOS:000459714100007</t>
  </si>
  <si>
    <t>Sakerin, SM; Kabanov, DM; Polkin, VV; Golobokova, LP; Zenkova, PN; Kessel, AS; Polkin, VV; Radionov, VF; Terpugova, SA; Urazgildeeva, AV; Khodzher, TV; Khuriganowa, OI</t>
  </si>
  <si>
    <t>Sakerin, Sergey M.; Kabanov, Dmitry M.; Polkin, Viktor V.; Golobokova, Liudmila P.; Zenkova, Polina N.; Kessel, Anastasia S.; Polkin, Vasiliy V.; Radionov, Vladimir F.; Terpugova, Svetlana A.; Urazgildeeva, Alexandra V.; Khodzher, Tamara V.; Khuriganowa, Olga I.</t>
  </si>
  <si>
    <t>Features of spatial distribution of aerosol characteristics over Arctic seas</t>
  </si>
  <si>
    <t>aerosol; physicochemical characteristics; Arctic seas</t>
  </si>
  <si>
    <t>Based on data of seven expeditions, we considered the specific features of the spatial distribution of aerosol physical-chemical characteristics over Arctic seas in Russia. It is shown that the average aerosol and black carbon concentrations and aerosol optical depth of the atmosphere decrease by a factor of 2-2.5 in the direction from west to east. A more detailed analysis in the sectors of the Barents and Kara Seas revealed a tendency toward a decrease in aerosol characteristics in the northeast direction. We noted that the average ion concentrations in aerosol composition are close in value over the Barents and Kara Seas. Continental and maritime sources make nearly identical contributions to ion composition of aerosol over these seas.</t>
  </si>
  <si>
    <t>[Sakerin, Sergey M.; Kabanov, Dmitry M.; Polkin, Viktor V.; Zenkova, Polina N.; Polkin, Vasiliy V.; Terpugova, Svetlana A.] Russian Acad Sci, Siberian Branch, VE Zuev Inst Atmospher Opt, Academician Zuev Sq 1, Tomsk 634021, Russia; [Golobokova, Liudmila P.; Khodzher, Tamara V.; Khuriganowa, Olga I.] Russian Acad Sci, Siberian Branch, Limnol Inst, Irkutsk 664033, Russia; [Kessel, Anastasia S.; Radionov, Vladimir F.; Urazgildeeva, Alexandra V.] Arctic &amp; Antarctic Res Inst, 38 Bering Str, St Petersburg 199397, Russia</t>
  </si>
  <si>
    <t>Zuev Institute of Atmospheric Optics, Siberian Branch of the Russian Academy of Sciences; Russian Academy of Sciences; Irkutsk Science Centre of the Russian Academy of Sciences; Russian Academy of Sciences; Limnological Institute SB RAS; Arctic &amp; Antarctic Research Institute</t>
  </si>
  <si>
    <t>Sakerin, SM (corresponding author), Russian Acad Sci, Siberian Branch, VE Zuev Inst Atmospher Opt, Academician Zuev Sq 1, Tomsk 634021, Russia.</t>
  </si>
  <si>
    <t>sms@iao.ru</t>
  </si>
  <si>
    <t>Sakerin, Sergey/A-6508-2014; Polina, Zenkova/AAZ-3429-2020; Terpugova, Svetlana/A-5054-2014; Kabanov, Dmitry M./A-5805-2014; Kabanov, Dmitry/A-4871-2014; Radionov, Vladimir F./O-3038-2017</t>
  </si>
  <si>
    <t>Terpugova, Svetlana/0000-0003-4468-9455; Zenkova, Polina/0009-0008-4294-7274</t>
  </si>
  <si>
    <t>Complex Program II.1 of Basic Research, Siberian Branch, Russian Academy of Sciences [0368-2018-0014, 0345-2018-0002]</t>
  </si>
  <si>
    <t>Complex Program II.1 of Basic Research, Siberian Branch, Russian Academy of Sciences(Russian Academy of Sciences)</t>
  </si>
  <si>
    <t>These studies were supported by the Complex Program II.1 of Basic Research, Siberian Branch, Russian Academy of Sciences (through projects nos. 0368-2018-0014 and 0345-2018-0002).</t>
  </si>
  <si>
    <t>UNSP 1083339</t>
  </si>
  <si>
    <t>10.1117/12.2502013</t>
  </si>
  <si>
    <t>WOS:000459714100115</t>
  </si>
  <si>
    <t>Sakerin, SM; Kabanov, DM; Pol'kin, VV; Radionov, VF; Turchinovich, YS</t>
  </si>
  <si>
    <t>Sakerin, Sergey M.; Kabanov, Dmitry M.; Pol'kin, Viktor V.; Radionov, Vladimir F.; Turchinovich, Yu. S.</t>
  </si>
  <si>
    <t>Average aerosol characteristics in three sectors of the Southern Ocean and the effect of Antarctic islands</t>
  </si>
  <si>
    <t>aerosol; optical and microphysical characteristics; Southern Ocean; islands</t>
  </si>
  <si>
    <t>Data of measurements in Russian Antarctic expeditions (51st-62nd RAE) are used to analyze the specific features of the spatial distribution of the atmospheric aerosol optical depth, concentrations of aerosol and absorbing substance (black carbon) in the southern part of the World Ocean. We found no statistically significant differences in the average aerosol characteristics between three sectors of the Southern Ocean. Near Antarctic islands, we revealed the specific features in the spatial variations of aerosol characteristics: when the separation distance from islands increases to 250 km, the particle concentrations become two times larger, and black carbon concentrations become 26% smaller, primarily because of the redistribution between contributions of island (local) and maritime sources of aerosol, differing by the concentrations of aerosol and content of absorbing substance in it.</t>
  </si>
  <si>
    <t>[Sakerin, Sergey M.; Kabanov, Dmitry M.; Pol'kin, Viktor V.; Turchinovich, Yu. S.] Russian Acad Sci, Siberian Branch, VE Zuev Inst Atmospher Opt, Academician Zuev Sq 1, Tomsk 634021, Russia; [Radionov, Vladimir F.] Arctic &amp; Antarctic Res Inst, 38 Bering Str, St Petersburg 199397, Russia</t>
  </si>
  <si>
    <t>Kabanov, Dmitry/A-4871-2014; Sakerin, Sergey/A-6508-2014; Radionov, Vladimir F./O-3038-2017; Kabanov, Dmitry M./A-5805-2014</t>
  </si>
  <si>
    <t>UNSP 108333B</t>
  </si>
  <si>
    <t>10.1117/12.2502032</t>
  </si>
  <si>
    <t>WOS:000459714100117</t>
  </si>
  <si>
    <t>Sakerin, SM; Chernov, DG; Golobokova, LP; Kabanov, DM; Khodzher, TV; Khuriganowa, OI; Kozlov, VS; Radionov, VF; Sidorova, OR; Turchinovich, YS</t>
  </si>
  <si>
    <t>Sakerin, Sergey M.; Chernov, Dmitry G.; Golobokova, Liudmila P.; Kabanov, Dmitry M.; Khodzher, Tamara V.; Khuriganowa, Olga I.; Kozlov, Valery S.; Radionov, Vladimir F.; Sidorova, Olga R.; Turchinovich, Yury S.</t>
  </si>
  <si>
    <t>Seasonal and interannual variations of aerosol characteristics in the Arctic settlement Barentsburg (Spitsbergen archipelago, 2011-2017)</t>
  </si>
  <si>
    <t>aerosol; black carbon; ionic composition; Svalbard</t>
  </si>
  <si>
    <t>NY-ALESUND; SVALBARD; TRENDS</t>
  </si>
  <si>
    <t>Based on data of 7-year (2011-2017) measurements in the Arctic settlement Barentsburg (Spitsbergen archipelago), we discuss the seasonal and interannual variations in aerosol characteristics: atmospheric aerosol optical depth and near-ground concentrations of aerosol, absorbing substance (black carbon), ions, as well as gas-phase species. For certain aerosol characteristics (especially in 2011 and 2012) we noted an anthropogenic effect of settlement, i.e., dust, black carbon, and pollutants from heat and power plant.</t>
  </si>
  <si>
    <t>[Sakerin, Sergey M.; Chernov, Dmitry G.; Kabanov, Dmitry M.; Kozlov, Valery S.; Turchinovich, Yury S.] Russian Acad Sci, Siberian Branch, VE Zuev Inst Atmospher Opt, Academician Zuev Sq 1, Tomsk 634021, Russia; [Golobokova, Liudmila P.; Khodzher, Tamara V.; Khuriganowa, Olga I.] Russian Acad Sci, Siberian Branch, Limnol Inst, Irkutsk 664033, Russia; [Radionov, Vladimir F.; Sidorova, Olga R.] Arctic &amp; Antarctic Res Inst, 38 Bering Str, St Petersburg 199397, Russia</t>
  </si>
  <si>
    <t>Radionov, Vladimir F./O-3038-2017; Kabanov, Dmitry/A-4871-2014; Sakerin, Sergey/A-6508-2014; Sidorova, Olga/ABH-1841-2020; Kabanov, Dmitry M./A-5805-2014</t>
  </si>
  <si>
    <t>Chernov, Dmitriy/0000-0003-1877-6678</t>
  </si>
  <si>
    <t>The authors thank A.P. Rostov, S.A. Turchinovich, and V.P. Shmargunov for development of instruments. This study was performed in the framework of the program of the Russian scientific Arctic expedition on Spitsbergen archipelago (RAE-Sh) of Arctic and Antarctic Research Institute under the support the Complex Program II.1 of Basic Research, Siberian Branch, Russian Academy of Sciences (through projects nos. 0368-2018-0014 and 0345-2018-0002). The chemical analysis was performed at the instrumental Center for Collective Use in physical-chemical ultramicroanalysis at Limnological Institute, Siberian Branch, Russian Academy of Sciences.</t>
  </si>
  <si>
    <t>UNSP 1083338</t>
  </si>
  <si>
    <t>10.1117/12.2502011</t>
  </si>
  <si>
    <t>WOS:000459714100114</t>
  </si>
  <si>
    <t>Zuev, VV</t>
  </si>
  <si>
    <t>Zuev, V. V.</t>
  </si>
  <si>
    <t>The causes of the large-scale ozone depletion over Antarctica in October 2015</t>
  </si>
  <si>
    <t>Antarctic ozone hole; Calbuco eruption; south polar vortex; polar stratospheric clouds; NOAA HYSPLIT model</t>
  </si>
  <si>
    <t>ERUPTION; AEROSOLS</t>
  </si>
  <si>
    <t>The southern stratospheric polar vortex usually reaches its peak intensity in early September, and the size of the Antarctic ozone hole reaches its maximum in the second half of September. However, in 2015 the maximum values of the ozone hole area were observed in October and November and reached record values for these months for the last 39 years. An unusual increase in the ozone hole area in 2015 initially was explained by the influence of volcanic plume from the Calbuco eruption which occurred in April 2015 with a maximum plume altitude of 17 km. This conclusion is investigated in this study using the NOAA HYSPLIT trajectory model. It is shown that eruption plume from this Chilean volcano could not get inside the stratospheric polar vortex. The cause of the Antarctic ozone hole increase was an unusual strengthening of the polar vortex in October and November.</t>
  </si>
  <si>
    <t>[Zuev, V. V.] RAS, SB, Inst Monitoring Climat &amp; Ecol Syst, Acad Sky Ave 10-3, Tomsk 634055, Russia; [Zuev, V. V.] Natl Res Tomsk State Univ, Lenin Ave 36, Tomsk 634050, Russia</t>
  </si>
  <si>
    <t>Institute of Monitoring of Climatic &amp; Ecological Systems of the Siberian Branch of the RAS; Russian Academy of Sciences; Tomsk State University</t>
  </si>
  <si>
    <t>Zuev, VV (corresponding author), RAS, SB, Inst Monitoring Climat &amp; Ecol Syst, Acad Sky Ave 10-3, Tomsk 634055, Russia.;Zuev, VV (corresponding author), Natl Res Tomsk State Univ, Lenin Ave 36, Tomsk 634050, Russia.</t>
  </si>
  <si>
    <t>Zuev, Vladimir/E-5470-2014</t>
  </si>
  <si>
    <t>Zuev, Vladimir/0000-0002-2351-8924</t>
  </si>
  <si>
    <t>UNSP 1083394</t>
  </si>
  <si>
    <t>10.1117/12.2500158</t>
  </si>
  <si>
    <t>WOS:000459714100326</t>
  </si>
  <si>
    <t>Richardson, BJ</t>
  </si>
  <si>
    <t>Richardson, Benjamin J.</t>
  </si>
  <si>
    <t>Aesthetics and environmental law: valuing Tasmania's 'ordinary' nature</t>
  </si>
  <si>
    <t>GRIFFITH LAW REVIEW</t>
  </si>
  <si>
    <t>MANAGEMENT; AUSTRALIA; LAND</t>
  </si>
  <si>
    <t>This article evaluates how aesthetic appreciation of the environment, such as perception of beautiful scenery, interacts with environmental law. While nature is tangible and real, its aesthetic properties are culturally embedded and continually evolving as societies change. Because art often mediates how people experience environmental aesthetics, such as through film, paintings and music, the arts also have a role in environmental decision-making. The article assesses the opportunities and obstacles to an aesthetics-based environmental law, with primary emphasis on the 'specialness' bias in many aesthetic judgements. These themes are explored through a Tasmanian case study. Law reform should facilitate the 'curating' of environmental aesthetics in conjunction with greater involvement of the arts community.</t>
  </si>
  <si>
    <t>[Richardson, Benjamin J.] Univ Tasmania, Fac Law, Hobart, Tas, Australia; [Richardson, Benjamin J.] Inst Marine &amp; Antarctic Studies, Hobart, Tas, Australia</t>
  </si>
  <si>
    <t>University of Tasmania; University of Tasmania</t>
  </si>
  <si>
    <t>Richardson, BJ (corresponding author), Univ Tasmania, Fac Law, Hobart, Tas, Australia.</t>
  </si>
  <si>
    <t>b.j.richardson@utas.edu.au</t>
  </si>
  <si>
    <t>Richardson, Benjamin/J-7340-2014</t>
  </si>
  <si>
    <t>Richardson, Benjamin/0000-0002-3249-5648</t>
  </si>
  <si>
    <t>ROUTLEDGE JOURNALS, TAYLOR &amp; FRANCIS LTD</t>
  </si>
  <si>
    <t>2-4 PARK SQUARE, MILTON PARK, ABINGDON OX14 4RN, OXON, ENGLAND</t>
  </si>
  <si>
    <t>1038-3441</t>
  </si>
  <si>
    <t>1839-4205</t>
  </si>
  <si>
    <t>GRIFFITH LAW REV</t>
  </si>
  <si>
    <t>Griffith Law Rev.</t>
  </si>
  <si>
    <t>10.1080/10383441.2018.1477364</t>
  </si>
  <si>
    <t>Law</t>
  </si>
  <si>
    <t>Government &amp; Law</t>
  </si>
  <si>
    <t>HM7RQ</t>
  </si>
  <si>
    <t>WOS:000459677300001</t>
  </si>
  <si>
    <t>Ncube, S; Beevers, L; Adeloye, AJ; Visser, A</t>
  </si>
  <si>
    <t>Xu, Z; Peng, D; Sun, W; Pang, B; Zuo, D; Schumann, A; Chen, Y</t>
  </si>
  <si>
    <t>Ncube, Sikhululekile; Beevers, Lindsay; Adeloye, Adebayo J.; Visser, Annie</t>
  </si>
  <si>
    <t>Assessment of freshwater ecosystem services in the Beas River Basin, Himalayas region, India</t>
  </si>
  <si>
    <t>INNOVATIVE WATER RESOURCES MANAGEMENT - UNDERSTANDING AND BALANCING INTERACTIONS BETWEEN HUMANKIND AND NATURE</t>
  </si>
  <si>
    <t>Proceedings of the International Association of Hydrological Sciences (IAHS)</t>
  </si>
  <si>
    <t>8th International Water Resources Management Conference of ICWRS</t>
  </si>
  <si>
    <t>JUN 13-15, 2018</t>
  </si>
  <si>
    <t>Beijing Normal Univ, Beijing, PEOPLES R CHINA</t>
  </si>
  <si>
    <t>Beijing Normal Univ</t>
  </si>
  <si>
    <t>MACROINVERTEBRATE COMMUNITY RESPONSE; FAUNA</t>
  </si>
  <si>
    <t>River systems provide a diverse range of ecosystem services, examples include: flood regulation (regulating), fish (provisioning), nutrient cycling (supporting) and recreation (cultural). Developing water resources through the construction of dams (hydropower or irrigation) can enhance the delivery of provisioning ecosystem services. However, these hydrologic alterations result in reductions in less tangible regulating, cultural and supporting ecosystem services. This study seeks to understand how multiple impoundments, abstractions and transfers within the upper Beas River Basin, Western Himalayas, India, are affecting the delivery of supporting ecosystem services. Whilst approaches for assessing supporting ecosystem services are under development, the immediate aim of this paper is to set out a framework for their quantification, using the macroinvertebrate index Lotic-Invertebrate Index for Flow Evaluation (LIFE). LIFE is a weighted measure of the flow velocity preferences of the macroinvertebrate community. Flow records from multiple gauging stations within the basin were used to investigate flow variability at seasonal, inter-annual and decadal time scales. The findings show that both mean monthly and seasonal cumulative flows have decreased over time in the Beas River Basin. A positive hydroecological relationship between LIFE and flow was also identified, indicative of macroinvertebrate response to seasonal changes in the flow regime. For example, high LIFE scores (7.7-9.3) in the winter and summer seasons indicate an abundance of macroinvertebrates with a preference for high flows; this represents a high potential for instream supporting ecosystem services delivery. However, further analysis is required to understand these hydroecological interactions in the study basin and the impact on instream supporting ecosystem services delivery.</t>
  </si>
  <si>
    <t>[Ncube, Sikhululekile; Beevers, Lindsay; Adeloye, Adebayo J.; Visser, Annie] Heriot Watt Univ, Sch Energy GeoSci Infrastruct &amp; Soc, Inst Infrastruct &amp; Environm, Edinburgh EH14 4AS, Midlothian, Scotland</t>
  </si>
  <si>
    <t>Heriot Watt University</t>
  </si>
  <si>
    <t>Ncube, S (corresponding author), Heriot Watt Univ, Sch Energy GeoSci Infrastruct &amp; Soc, Inst Infrastruct &amp; Environm, Edinburgh EH14 4AS, Midlothian, Scotland.</t>
  </si>
  <si>
    <t>s.ncube@hw.ac.uk</t>
  </si>
  <si>
    <t>Beevers, Lindsay/GOP-1006-2022</t>
  </si>
  <si>
    <t>Beevers, Lindsay/0000-0002-1597-273X; Adeloye, Adebayo/0000-0002-2820-4596</t>
  </si>
  <si>
    <t>UK Natural Environment Research Council (NERC) [NE/N016394/1]; Indian Ministry of Earth Sciences (MoES)</t>
  </si>
  <si>
    <t>UK Natural Environment Research Council (NERC)(UK Research &amp; Innovation (UKRI)Natural Environment Research Council (NERC)); Indian Ministry of Earth Sciences (MoES)</t>
  </si>
  <si>
    <t>This work is part of an ongoing Sustaining Himalayan Water Resources in a changing climate (SusHi-Wat) research project and we acknowledge funding support from the UK Natural Environment Research Council (NERC; Project NE/N016394/1) and the Indian Ministry of Earth Sciences (MoES) under the aegis of the Newton-Bhabha scheme. We are also grateful to our project partners i.e. IITRoorkee, NIT-Hamirpur, NIH-Roorkee and IISc-Bangalore, Cranfield University, the British Antarctic Survey and the Bhakra-Beas Management Board.</t>
  </si>
  <si>
    <t>BAHNHOFSALLE 1E, GOTTINGEN, 37081, GERMANY</t>
  </si>
  <si>
    <t>2199-899X</t>
  </si>
  <si>
    <t>P INT ASS HYDROL SCI</t>
  </si>
  <si>
    <t>10.5194/piahs-379-67-2018</t>
  </si>
  <si>
    <t>Water Resources</t>
  </si>
  <si>
    <t>BM0WK</t>
  </si>
  <si>
    <t>WOS:000459240300010</t>
  </si>
  <si>
    <t>Kasran, FAM; Jusoh, MH; Rahim, SAEA; Abdullah, N</t>
  </si>
  <si>
    <t>Kasran, Farah Adilah Mohd.; Jusoh, Mohamad Huzaimy; Rahim, Siti Amalina Enche Abdul; Abdullah, Noradlina</t>
  </si>
  <si>
    <t>Geomagnetically Induced Currents (GICs) in Equatorial Region</t>
  </si>
  <si>
    <t>2018 IEEE 8TH INTERNATIONAL CONFERENCE ON SYSTEM ENGINEERING AND TECHNOLOGY (ICSET)</t>
  </si>
  <si>
    <t>International Conference on System Engineering and Technology</t>
  </si>
  <si>
    <t>8th IEEE International Conference on System Engineering and Technology (ICSET)</t>
  </si>
  <si>
    <t>OCT 15-16, 2018</t>
  </si>
  <si>
    <t>Bandung, INDONESIA</t>
  </si>
  <si>
    <t>Equatorial Region; Geomagnetically Induced Currents (GICs); Space Weather; Ground Magnetic Field; Temporal Variation of Magnetic Field dB/dt</t>
  </si>
  <si>
    <t>HYDRO-QUEBEC; ELECTROJET; SQ</t>
  </si>
  <si>
    <t>GICs is a ground end manifestation associated with the space weather perturbations that should be greatly taken into account by the society. Even though the GICs implication to the power system is not regularly happened, it can cause large scale of system failure. In equatorial, the power system is considered safe since the most intense of geomagnetic storm happened in high latitude. However, the internal damage due to GICs which finally led to the South African power system failure has totally changed the normal perception. Therefore, a preliminary investigation on the GICs activity in equatorial region is performed to understand the space weather impact to the power system. Time derivative of the horizontal magnetic field component (dB/dt) is done to indicate the GICs activity value based on Faraday's law. All the reported power failures are compiled to produce the threshold value of dB/dt, which possibly cause the harmful effect to the system. Then, dB/dt analysis is extended to show the pattern of GICs activity in function of magnetic latitude and local time. The results reveal that power network in equatorial region has possibly suffered by GIC. Plus, high number of intense GIC activity in this region occurred during dayside.</t>
  </si>
  <si>
    <t>[Kasran, Farah Adilah Mohd.; Jusoh, Mohamad Huzaimy; Rahim, Siti Amalina Enche Abdul] Univ Teknol MARA, Fac Elect Engn, Shah Alam, Malaysia; [Kasran, Farah Adilah Mohd.; Jusoh, Mohamad Huzaimy] Univ Teknol MARA, Appl Electromagnet Res Ctr, Shah Alam, Malaysia; [Abdullah, Noradlina] TNB Res Sdn Bhd, Lightning Detect &amp; Earthing, Kuala Lumpur, Malaysia</t>
  </si>
  <si>
    <t>Universiti Teknologi MARA; Universiti Teknologi MARA</t>
  </si>
  <si>
    <t>Kasran, FAM (corresponding author), Univ Teknol MARA, Fac Elect Engn, Shah Alam, Malaysia.;Kasran, FAM (corresponding author), Univ Teknol MARA, Appl Electromagnet Res Ctr, Shah Alam, Malaysia.</t>
  </si>
  <si>
    <t>JUSOH, MOHAMAD HUZAIMY/AAL-9610-2021; Rahim, Siti Aqilah Nadhirah Md./AAH-5001-2020</t>
  </si>
  <si>
    <t>Rahim, Siti Aqilah Nadhirah Md./0000-0002-2514-2289</t>
  </si>
  <si>
    <t>Ministry of Higher Education Malaysia</t>
  </si>
  <si>
    <t>Ministry of Higher Education Malaysia(Ministry of Education, Malaysia)</t>
  </si>
  <si>
    <t>For the ground magnetometer data, authors gratefully acknowledge: Intermagnet; USGS, CARISMA, PI Ian Mann; CANMOS; The S-RAMP Database, the SPIDR database, MACCS, GIMA, MEASURE, SAMBA, 210 Chain, SAMNET, the institutes that maintain the IMAGE magnetometer array, PENGUIN, AUTUMN, DTU Space, South Pole and McMurdo Magnetometer, ICESTAR; RAPIDMAG, PENGUIn, British Antarctic Survey, BGS, Pushkov Institute of Terrestrial Magnetism, Ionosphere and Radio Wave Propagation (IZMIRAN), and SuperMAG. This project is financially supported by Ministry of Higher Education Malaysia. Authors would like to thank Universiti Teknologi MARA for the management support and consideration throughout the project.</t>
  </si>
  <si>
    <t>2470-640X</t>
  </si>
  <si>
    <t>978-1-5386-9180-9</t>
  </si>
  <si>
    <t>INT CONF SYST ENG</t>
  </si>
  <si>
    <t>Computer Science, Information Systems; Engineering, Electrical &amp; Electronic</t>
  </si>
  <si>
    <t>Computer Science; Engineering</t>
  </si>
  <si>
    <t>BM0PN</t>
  </si>
  <si>
    <t>WOS:000458982900021</t>
  </si>
  <si>
    <t>Okuneva, O</t>
  </si>
  <si>
    <t>Okuneva, O.</t>
  </si>
  <si>
    <t>To Bluff and to Stay Deceived in French Brazil (16th - Beginnings of 17th Century)</t>
  </si>
  <si>
    <t>ISTORIYA-ELEKTRONNYI NAUCHNO-OBRAZOVATELNYI ZHURNAL</t>
  </si>
  <si>
    <t>Russian</t>
  </si>
  <si>
    <t>France; Brazil; New World; Antarctic France; Equinoxial France; lies</t>
  </si>
  <si>
    <t>The paper deals with some episodes of the French settlers and travelers' everyday life in Brazil of the 16th century where they were forced to bluff in order to save their lives or to please to their Amerindian allies. The cases of such a white lie are analyzed in the first part; the second one examines the situations when the Frenchmen imitated some emotions in order to fit the situation and to observe local etiquette. The third part studies the French settlers' ideas about life conditions in Brazilian colony and examines the cases where they stayed deceived.</t>
  </si>
  <si>
    <t>[Okuneva, O.] Inst World Hist RAS, Moscow, Russia</t>
  </si>
  <si>
    <t>Okuneva, O (corresponding author), Inst World Hist RAS, Moscow, Russia.</t>
  </si>
  <si>
    <t>STATE ACAD UNIV HUMANITIES</t>
  </si>
  <si>
    <t>MOSCOW</t>
  </si>
  <si>
    <t>LENINSKII PR-KT 32A, MOSCOW, 119334, RUSSIA</t>
  </si>
  <si>
    <t>2079-8784</t>
  </si>
  <si>
    <t>ISTORIYA-ELEKTRON</t>
  </si>
  <si>
    <t>Istoriya</t>
  </si>
  <si>
    <t>10.18254/S0002471-7-1</t>
  </si>
  <si>
    <t>History</t>
  </si>
  <si>
    <t>HL2YT</t>
  </si>
  <si>
    <t>WOS:000458577500024</t>
  </si>
  <si>
    <t>Fraass, AJ; Leckie, RM; DeConto, RM; McQuaid, C; Burns, S; Zachos, JC</t>
  </si>
  <si>
    <t>Fraass, Andrew J.; Leckie, R. Mark; DeConto, Robert M.; McQuaid, Chelsea; Burns, Stephen; Zachos, James C.</t>
  </si>
  <si>
    <t>Reappraisal of Oligocene-Miocene chronostratigraphy and the Mi-1 event: Ocean Drilling Program Site 744, Kerguelen Plateau, southern Indian Ocean</t>
  </si>
  <si>
    <t>STRATIGRAPHY</t>
  </si>
  <si>
    <t>Oligocene; Miocene; Stable Isotopes; Hiatus; ODP</t>
  </si>
  <si>
    <t>ANTARCTIC ICE-SHEET; CLIMATE; SEA; CALIBRATION; SECTION; EOCENE</t>
  </si>
  <si>
    <t>The Oligocene-Miocene Transition (OMT) is an important interval in Earth's history, with substantial changes in Antarctic ice volume and mean temperature. The OMT is complicated in paleoclimatology, chronostratigraphy, and terminology, and there is a need for additional sites outside of the tropic/subtropics or Atlantic Basin to better understand the cause(s) and consequences of the OMT. Ocean Drilling Program Hole 744A sits on the southern edge of the Kerguelen Plateau, and is thus a sensitive recorder of changes on Antarctica and in the Indian Ocean sector of the Southern Ocean. Previous stratigraphic studies have concluded that the Oligocene/Miocene boundary is contained within a short coring gap (1 m) between Cores 744A-11 and 12. A new benthic foraminiferal stable isotope curve is at odds with the existing age model for the upper similar to 0.5 m of Core 12. A number of different explanations for age models arc discussed, and we find there is only one plausible explanation for the chronostratigraphy through Core 12. We suggest there was a short (similar to 150-200 kyr) hiatus, encompassing the peak Mi-1 excursion, based on interpreted magnetostratigraphy. This hiatus has no obvious lithologic expression.</t>
  </si>
  <si>
    <t>[Fraass, Andrew J.] Univ Bristol, Sch Earth Sci, Willis Mem Bldg,Queens Rd, Bristol BS8 1RJ, Avon, England; [Fraass, Andrew J.; Leckie, R. Mark; DeConto, Robert M.; McQuaid, Chelsea; Burns, Stephen] Univ Massachusetts, Dept Geosci, 627 North Pleast St,233 Morrill Sci Ctr, Amherst, MA 01003 USA; [Zachos, James C.] Univ Calif Santa Cruz, Earth &amp; Planetary Sci, 1156 High St, Santa Cruz, CA 95064 USA</t>
  </si>
  <si>
    <t>University of Bristol; University of Massachusetts System; University of Massachusetts Amherst; University of California System; University of California Santa Cruz</t>
  </si>
  <si>
    <t>Fraass, AJ (corresponding author), Univ Bristol, Sch Earth Sci, Willis Mem Bldg,Queens Rd, Bristol BS8 1RJ, Avon, England.;Fraass, AJ (corresponding author), Univ Massachusetts, Dept Geosci, 627 North Pleast St,233 Morrill Sci Ctr, Amherst, MA 01003 USA.</t>
  </si>
  <si>
    <t>andy.fraass@bristol.ac.uk; mleckie@geo.umass.edu; deconto@geo.umass.edu; c.mcquaid5793@gmail.com; sburns@geo.umass.edu; jzachos@ucsc.edu</t>
  </si>
  <si>
    <t>Zachos, James C/A-7674-2008</t>
  </si>
  <si>
    <t>United States of America National Science Foundation [NSF-P2C2 1203910]</t>
  </si>
  <si>
    <t>United States of America National Science Foundation</t>
  </si>
  <si>
    <t>The authors would like to thank the technical, support, and ship crew of the JOIDES Resolution and scientific participants of ODP Leg 119, as well as the shore-based support. This work was supported by a United States of America National Science Foundation grant (NSF-P2C2 1203910). Susanna Fraass is thanked for editorial suggestions, and the members of the Leckie Micropaleontology lab (Ali Alibrahim, Emily Browning, Raquel Bryant, Kendra Clark, Serena Dameron, Khalifa Elderbak, Adriane Lam, Christopher Lowery, Renata Moura de Mello, Steven Nathan, and Linnae Rondeau) are thanked for their fruitful discussions of this work. The authors declare no conflict of interest. Most importantly, the authors thank the reviewers of this work for their salient and insightful criticism.</t>
  </si>
  <si>
    <t>1547-139X</t>
  </si>
  <si>
    <t>Stratigraphy</t>
  </si>
  <si>
    <t>10.29041/strat.15.4.265-278</t>
  </si>
  <si>
    <t>Geology; Paleontology</t>
  </si>
  <si>
    <t>HL5GZ</t>
  </si>
  <si>
    <t>WOS:000458756000003</t>
  </si>
  <si>
    <t>Chernogor, LF; Lazorenko, OV; Onishchenko, AA</t>
  </si>
  <si>
    <t>Antyufeyeva, M; Butrym, A</t>
  </si>
  <si>
    <t>Chernogor, Leonid F.; Lazorenko, Oleg V.; Onishchenko, Andriy A.</t>
  </si>
  <si>
    <t>Multi-Fractal Analysis of the Acoustic Ultra-Wideband Signal Caused by the Chelyabinsk Meteoroid</t>
  </si>
  <si>
    <t>2018 9TH INTERNATIONAL CONFERENCE ON ULTRAWIDEBAND AND ULTRASHORT IMPULSE SIGNALS (UWBUSIS)</t>
  </si>
  <si>
    <t>9th International Conference on Ultrawideband and Ultrashort Impulse Signals (UWBUSIS)</t>
  </si>
  <si>
    <t>Odessa, UKRAINE</t>
  </si>
  <si>
    <t>Chelyabinsk meteoroid; ultra-wideband process; multi-fractal analysis; non-linear paradigm; multi-fractal structure</t>
  </si>
  <si>
    <t>According the non-linear paradigm, all processes in open, non-linear, dynamical systems are appeared to be very complex, non-linear, ultra-wideband or fractal. Powerful ultra-wideband acoustic signal generated by the Chelyabinsk meteoroid fall and registered by the Antarctic infra-sound station is namely one of them. Having strictly non-linear nature, this signal may have mono-fractal or multi-fractal properties. To investigate them, some modern methods of mono-fractal and multi-fractal analyzes are applied. Being the rare natural ultra-wideband process, the acoustic signal generated by the Chelyabinsk meteoroid fall was found to be complex, non-stationary multi-fractal. The set of the corresponding numerical parameters for this signal is estimated and discussed.</t>
  </si>
  <si>
    <t>[Chernogor, Leonid F.] Kharkov Natl Univ, Space Radio Phys Dept, Kharkov, Ukraine; [Lazorenko, Oleg V.] Kharkov Natl Univ, Gen Phys Dept, Kharkov, Ukraine; [Onishchenko, Andriy A.] Kharkiv Natl Univ Radioelect, Dept Phys, Kharkov, Ukraine</t>
  </si>
  <si>
    <t>Ministry of Education &amp; Science of Ukraine; VN Karazin Kharkiv National University; Ministry of Education &amp; Science of Ukraine; VN Karazin Kharkiv National University; Ministry of Education &amp; Science of Ukraine; Kharkiv National University of Radio Electronics</t>
  </si>
  <si>
    <t>Chernogor, LF (corresponding author), Kharkov Natl Univ, Space Radio Phys Dept, Kharkov, Ukraine.</t>
  </si>
  <si>
    <t>Leonid.F.Chernogor@univer.kharkov.ua; Oleg.V.Lazorenko@karazin.ua; Andrey.Onishchenko@nure.ua</t>
  </si>
  <si>
    <t>Lazorenko, Oleg V./K-4662-2012</t>
  </si>
  <si>
    <t>Lazorenko, Oleg V./0000-0002-0250-8671; Onishchenko, Andriy/0000-0002-2118-9119</t>
  </si>
  <si>
    <t>978-1-5386-2468-5</t>
  </si>
  <si>
    <t>BL9TE</t>
  </si>
  <si>
    <t>WOS:000458304300022</t>
  </si>
  <si>
    <t>Pour, AB; Hashim, M; Park, Y</t>
  </si>
  <si>
    <t>Wasowski, J; Giordan, D; Lollino, P</t>
  </si>
  <si>
    <t>Pour, Amin Beiranvand; Hashim, Mazlan; Park, Yongcheol</t>
  </si>
  <si>
    <t>Geology and Remote Sensing Investigations in Antarctic Environments</t>
  </si>
  <si>
    <t>ENGINEERING GEOLOGY AND GEOLOGICAL ENGINEERING FOR SUSTAINABLE USE OF THE EARTH'S RESOURCES, URBANIZATION AND INFRASTRUCTURE PROTECTION FROM GEOHAZARDS</t>
  </si>
  <si>
    <t>Sustainable Civil Infrastructures</t>
  </si>
  <si>
    <t>1st GeoMEast International Congress and Exhibition on Sustainable Civil Infrastructures</t>
  </si>
  <si>
    <t>JUL 15-19, 2017</t>
  </si>
  <si>
    <t>Sharm El Sheikh, EGYPT</t>
  </si>
  <si>
    <t>PALSAR DATA</t>
  </si>
  <si>
    <t>Antarctica remains a remote and logistically difficult region in which to conduct geological fieldwork, making the data collected there of significant value. Actually, many parts of the continent still remain poorly known in regional geological scale and structural architecture. Remote sensing imagery is capable to provide a solution to overcome the difficulties associated with field mapping in the Antarctic. Advanced optical and radar satellite imagery is the most applicable tool for mapping and identification of inaccessible and un-exposed regions in Antarctic. Consequently, an improved scientific research using remote sensing technology would be essential to provide new and more complete lithological and structural data to fill the numerous knowledge gaps on Antarctica's geology. In this study, the Antarctic Peninsula (AP) is selected to conduct a regional remote sensing investigations. The Antarctic Peninsula (AP) is the northernmost part of the continent of Antarctica. Despite more than 50 years of geological mapping of the Antarctic Peninsula there are still significant gaps in the coverage in difficult to access areas and many regions where mapping is based upon sparse or inferred field observations. Recent generation of multi-platform satellite sensors could be investigated to extract geological information for Antarctic environments. Landsat-7 Thematic Mapper (TM), Landsat-8 and the Advanced Spaceborne Thermal Emission and Reflection Radiometer (ASTER) data were used in this study for regional geological mapping. The improvised image processing algorithms and Systematic GIS techniques were implemented to detect structural elements and geological features for producing regional image maps of the Antarctic Peninsula especially for Oscar II coast area, north-eastern Graham Land. The outcomes of the investigation demonstrated the applicability of satellite remote sensing data to produce new revisions of geological maps with high accuracy for the regions with exposed rocks in the Antarctica.</t>
  </si>
  <si>
    <t>[Pour, Amin Beiranvand; Hashim, Mazlan] UTM, RISE, Geosci &amp; Digital Earth Ctr Geo DEC, Utm Skudai 81310, Johor Bahru, Malaysia; [Park, Yongcheol] Korea Polar Res Inst KOPRI, Incheon 21990, South Korea</t>
  </si>
  <si>
    <t>Universiti Teknologi Malaysia; Korea Polar Research Institute (KOPRI)</t>
  </si>
  <si>
    <t>Pour, AB (corresponding author), UTM, RISE, Geosci &amp; Digital Earth Ctr Geo DEC, Utm Skudai 81310, Johor Bahru, Malaysia.</t>
  </si>
  <si>
    <t>beiranvand.amin80@gmail.com</t>
  </si>
  <si>
    <t>Hashim, Mazlan/J-7291-2012; Beiranvand Pour, Amin/E-1723-2013</t>
  </si>
  <si>
    <t>Hashim, Mazlan/0000-0001-8284-3332; Beiranvand Pour, Amin/0000-0001-8783-5120</t>
  </si>
  <si>
    <t>Yayasan Penyelidikan Antartika Sultan Mizan (YPASM) research grant, Sultan Mizan Antarctic Research Foundation, Malaysia [R.J130000.7309.4B221]</t>
  </si>
  <si>
    <t>Yayasan Penyelidikan Antartika Sultan Mizan (YPASM) research grant, Sultan Mizan Antarctic Research Foundation, Malaysia</t>
  </si>
  <si>
    <t>This study was conducted as a part of Yayasan Penyelidikan Antartika Sultan Mizan (YPASM) research grant (Vote no: R.J130000.7309.4B221), Sultan Mizan Antarctic Research Foundation, Malaysia. We also would like to express our great appreciation to KOPRI (Korea Polar Research Institute) Asian Polar Science Fellowship Program 2016 for their great support during this research. We are thankful to the Universiti Teknologi Malaysia for providing the facilities for this investigation.</t>
  </si>
  <si>
    <t>2366-3405</t>
  </si>
  <si>
    <t>2366-3413</t>
  </si>
  <si>
    <t>978-3-319-61648-3; 978-3-319-61647-6</t>
  </si>
  <si>
    <t>SUSTAIN CIV INFRASTR</t>
  </si>
  <si>
    <t>10.1007/978-3-319-61648-3_19</t>
  </si>
  <si>
    <t>Engineering, Civil; Engineering, Geological</t>
  </si>
  <si>
    <t>BL8OE</t>
  </si>
  <si>
    <t>WOS:000456832700019</t>
  </si>
  <si>
    <t>Van de Vuver, B; Wetzel, CE; Ector, L</t>
  </si>
  <si>
    <t>Van de Vuver, Bart; Wetzel, Carlos E.; Ector, Luc</t>
  </si>
  <si>
    <t>Analysis of the type material of Planothidium delicatulum (Bacillariophyta ) with the description of two new Planothidium species from the sub-Antarctic Region</t>
  </si>
  <si>
    <t>FOTTEA</t>
  </si>
  <si>
    <t>Bacillariophyta; Planothidium; Antarctica; morphology; type material; lectotypification</t>
  </si>
  <si>
    <t>DIATOM COMMUNITIES; ISLANDS; FLORA; NOV.</t>
  </si>
  <si>
    <t>During a survey of the freshwater diatom flora on the sub-Antarctic islands of the southern Indian Ocean, two new Planothidium species were observed, showing some resemblance to Planothidium delicatulum. Therefore, the type material of Achnanthidium delicatulum Kutzing was analysed, a common species in northern hemisphere waterbodies that was later transferred to the genus Planothidium. Additionally the material of Types du Synopsis des Diatomees de Belgique n degrees 234, designated in 1980 as neotype for Achnanthes delicatula was investigated. This analysis showed that the population in Types n degrees 234 is not conspecific with Achnanthidium delicatulum but in fact is a population of Planothidium galaicum. Both Planothidium species in the investigated Antarctic material are described as new to science: P lilianeanum Van de Vijver sp. nov. and P. australodelicatulum Van de Vijver, C.E.Wetzel et Ector sp. nov. The new species can be differentiated based on differences in valve outline, presence of ridges and silica outgrowths on the rapheless valve, the structure of the raphe and the shape and size of the central area. Notes on the ecology and distribution of the new Antarctic species are added. Achnanthidium delicatulum is formally lectotypified.</t>
  </si>
  <si>
    <t>[Van de Vuver, Bart] Bot Garden Meise, Res Dept, Nieuwelaan 38, B-1860 Meise, Belgium; [Van de Vuver, Bart] Univ Antwerp, Dept Biol, ECOBE, Univ Pl 1, B-2610 Antwerp, Belgium; [Wetzel, Carlos E.; Ector, Luc] LIST, Environm Res &amp; Innovat Dept ERIN, 41 Rue Brill, L-4422 Belvaux, Luxembourg</t>
  </si>
  <si>
    <t>University of Antwerp; Luxembourg Institute of Science &amp; Technology</t>
  </si>
  <si>
    <t>Van de Vuver, B (corresponding author), Bot Garden Meise, Res Dept, Nieuwelaan 38, B-1860 Meise, Belgium.;Van de Vuver, B (corresponding author), Univ Antwerp, Dept Biol, ECOBE, Univ Pl 1, B-2610 Antwerp, Belgium.</t>
  </si>
  <si>
    <t>Wetzel, Carlos Eduardo/A-2839-2015</t>
  </si>
  <si>
    <t>Wetzel, Carlos Eduardo/0000-0001-5330-0494</t>
  </si>
  <si>
    <t>Institut Polaire Francais - Paul-Emile Victor (IPEV)</t>
  </si>
  <si>
    <t>Dr. N.J.M. Gremmen is thanked for providing the samples of Marion Island. Sampling on Iles Crozet and Iles Kerguelen was made possible with the logistic and financial support of the Institut Polaire Francais - Paul-Emile Victor (IPEV) in the frame of the Terrestrial Ecology program 136 (Yves Frenot &amp; Marc Lebouvier). This study was further supported by the BELSPO MICROBIAN project to visit the National History Museum in London, UK. Alex Ball, Tomasz Goral and the staff of the IAC laboratory at the Natural History Museum are thanked for their help with the scanning electron microscopy.</t>
  </si>
  <si>
    <t>CZECH PHYCOLOGICAL SOC</t>
  </si>
  <si>
    <t>PRAHA 2</t>
  </si>
  <si>
    <t>BENATSKA 2,, PRAHA 2, CZ-128 01, CZECH REPUBLIC</t>
  </si>
  <si>
    <t>1802-5439</t>
  </si>
  <si>
    <t>Fottea</t>
  </si>
  <si>
    <t>10.5507/fot.2018.006</t>
  </si>
  <si>
    <t>HJ2UN</t>
  </si>
  <si>
    <t>WOS:000457025500008</t>
  </si>
  <si>
    <t>Yamashita, Y; Naoe, H; Inoue, M; Takahashi, M</t>
  </si>
  <si>
    <t>Yamashita, Yousuke; Naoe, Hiroaki; Inoue, Makoto; Takahashi, Masaaki</t>
  </si>
  <si>
    <t>Response of the Southern Hemisphere Atmosphere to the Stratospheric Equatorial Quasi-Biennial Oscillation (QBO) from Winter to Early Summer</t>
  </si>
  <si>
    <t>JOURNAL OF THE METEOROLOGICAL SOCIETY OF JAPAN</t>
  </si>
  <si>
    <t>quasi-biennial oscillation; Southern Hemisphere polar vortex; multiple linear regression</t>
  </si>
  <si>
    <t>INTERANNUAL VARIABILITY; NORTHERN-HEMISPHERE; ANTARCTIC OZONE; CIRCULATION; MODEL; HOLE; JET</t>
  </si>
  <si>
    <t>We investigate the effects of the stratospheric equatorial quasi-biennial oscillation (QBO) on the extratropical circulation in the Southern Hemisphere (SH) from SH winter to early summer. The Japanese 55-year Reanalysis (JRA-55) dataset is used for 1960-2010. The factors important for the variation of zonal wind of the SH polar vortex are identified via multiple linear regression, using equivalent effective stratospheric chlorine (EESC), middle-and lower-stratospheric QBO, solar cycle, El Nino-Southern Oscillation (ENSO), and volcanic aerosol terms as explanatory variables. The results show that the contributions to the SH polar vortex variability of ENSO are important in SH early winter (June) to mid-winter (July), while that of middle-stratospheric QBO is important from spring (September to November) to early summer (December). Analyses of the regression coefficients associated with both middle-and lower-stratospheric QBO suggest an influence on the SH polar vortex from SH winter through early summer in the seasonal evolution. One possible pathway is that the middle-stratospheric QBO results in the SH low latitudes stratospheric response through the QBO-induced mean meridional circulation, leading to a high-latitude response. This favors delayed downward evolution of the polar-night jet (PNJ) at high latitudes (around 60 degrees S) from late winter (August) to spring (September-November) during the westerly phase of the QBO, consequently tending to strengthen westerly winds from stratosphere to troposphere in the SH spring. The other possible pathway involves the response to lower-stratospheric QBO that induces the SH late winter increase in upward propagation of planetary waves from the extratropical troposphere to stratosphere, which is consistent with weakening of the PNJ.</t>
  </si>
  <si>
    <t>[Yamashita, Yousuke] Japan Agcy Marine Earth Sci &amp; Technol, Yokohama, Kanagawa, Japan; [Yamashita, Yousuke; Takahashi, Masaaki] Natl Inst Environm Studies, Tsukuba, Ibaraki, Japan; [Naoe, Hiroaki] Meteorol Res Inst, Tsukuba, Ibaraki, Japan; [Inoue, Makoto] Akita Prefectural Univ, Dept Biol Environm, Akita, Japan</t>
  </si>
  <si>
    <t>Japan Agency for Marine-Earth Science &amp; Technology (JAMSTEC); National Institute for Environmental Studies - Japan; Meteorological Research Institute - Japan; Akita Prefectural University</t>
  </si>
  <si>
    <t>Yamashita, Y (corresponding author), Japan Agcy Marine Earth Sci &amp; Technol, Kanazawa Ku, 3173-25 Showa Machi, Yokohama, Kanagawa 2360001, Japan.</t>
  </si>
  <si>
    <t>yyousuke@jamstec.go.jp</t>
  </si>
  <si>
    <t>Yamashita, Yousuke/AAB-4754-2019; Inoue, Makoto/M-8505-2014</t>
  </si>
  <si>
    <t>Yamashita, Yousuke/0000-0002-6813-4668; Inoue, Makoto/0000-0002-6826-5334</t>
  </si>
  <si>
    <t>Japan Society for the Promotion of Science (JSPS) KAKENHI [JP16K16186, JP18K03748]</t>
  </si>
  <si>
    <t>Japan Society for the Promotion of Science (JSPS) KAKENHI(Ministry of Education, Culture, Sports, Science and Technology, Japan (MEXT)Japan Society for the Promotion of ScienceGrants-in-Aid for Scientific Research (KAKENHI))</t>
  </si>
  <si>
    <t>The authors thank anonymous reviewers for their helpful comments and Dr. H. Akiyoshi of the National Institute for Environmental Studies, Japan, for many helpful discussions and comments. This work was supported by the Japan Society for the Promotion of Science (JSPS) KAKENHI Grant Number JP16K16186 and JP18K03748. The datasets used for this study were provided from the Japanese 55-year Reanalysis (JRA-55) project conducted by the Japan Meteorological Agency (JMA), and the data set can be accessed via the JMA website (http://jra.kishou.go.jp/). Generic Mapping Tools (GMT) and Grid Analysis and Display System (GrADS) were used to draw the figures.</t>
  </si>
  <si>
    <t>METEOROLOGICAL SOC JAPAN</t>
  </si>
  <si>
    <t>TOKYO</t>
  </si>
  <si>
    <t>C/O JAPAN METEOROLOGICAL AGENCY 1-3-4 OTE-MACHI, CHIYODA-KU, TOKYO, 100-0004, JAPAN</t>
  </si>
  <si>
    <t>0026-1165</t>
  </si>
  <si>
    <t>2186-9057</t>
  </si>
  <si>
    <t>J METEOROL SOC JPN</t>
  </si>
  <si>
    <t>J. Meteorol. Soc. Jpn.</t>
  </si>
  <si>
    <t>10.2151/jmsj.2018-057</t>
  </si>
  <si>
    <t>HJ8MD</t>
  </si>
  <si>
    <t>WOS:000457452700006</t>
  </si>
  <si>
    <t>Rivero-Cantillano, R</t>
  </si>
  <si>
    <t>Rivero-Cantillano, Rodrigo</t>
  </si>
  <si>
    <t>DEMOGRAPHIC CHANGE AND THE LENGTH OF WORKING LIFE IN THE REGION OF MAGELLAN AND CHILEAN ANTARTIC 1992-2013</t>
  </si>
  <si>
    <t>MAGALLANIA</t>
  </si>
  <si>
    <t>Spanish</t>
  </si>
  <si>
    <t>demographic change; labor force; length of working life; Magellan</t>
  </si>
  <si>
    <t>POPULATION; AGE; MORTALITY; GROWTH</t>
  </si>
  <si>
    <t>This article analyzes the implications of the demographic change in the region of Magellan and the Chilean Antarctic. It analyzes the dynamics of population aging and its impact on the labor force. In particular, it was observed the variation the working life's length through the gross and net years of economic activity, the pattern of entrance and retirement and the working life expectancy. Methodologically, we elaborated Tables of Working Life for the years 1992, 2003 and 2013. We also used information of economic activity and inactivity for the region obtained from the National Socioeconomic Characterization Survey (CASEN in spanish) and published mortality tables by National Statistics Institut (INE, 2004).</t>
  </si>
  <si>
    <t>[Rivero-Cantillano, Rodrigo] Univ Santiago Chile USACH, Ctr Int Invest Hist Econ Empresarial &amp; Adm Publ C, FAE, Santiago, Chile</t>
  </si>
  <si>
    <t>Universidad de Santiago de Chile</t>
  </si>
  <si>
    <t>Rivero-Cantillano, R (corresponding author), Univ Santiago Chile USACH, Ctr Int Invest Hist Econ Empresarial &amp; Adm Publ C, FAE, Santiago, Chile.</t>
  </si>
  <si>
    <t>rodrigo.rivero@usach.cl</t>
  </si>
  <si>
    <t>Rivero-Cantillano, Rodrigo/0000-0001-6095-6782</t>
  </si>
  <si>
    <t>UNIV MAGALLANES</t>
  </si>
  <si>
    <t>PUNTA ARENAS</t>
  </si>
  <si>
    <t>INST PAGAGONIA, AVDA BULNES 01890, CASILLA DE CORREOS 113-D, PUNTA ARENAS, MAGALLANES 00000, CHILE</t>
  </si>
  <si>
    <t>0718-2244</t>
  </si>
  <si>
    <t>Magallania</t>
  </si>
  <si>
    <t>10.4067/S0718-22442018000200143</t>
  </si>
  <si>
    <t>Anthropology</t>
  </si>
  <si>
    <t>Social Science Citation Index (SSCI)</t>
  </si>
  <si>
    <t>HJ1RN</t>
  </si>
  <si>
    <t>WOS:000456941900008</t>
  </si>
  <si>
    <t>Enciso, P; Woerner, M; Cerdá, MF</t>
  </si>
  <si>
    <t>Enciso, Paula; Woerner, Michael; Fernanda Cerda, Maria</t>
  </si>
  <si>
    <t>Photovoltaic cells based on the use of natural pigments: Phycoerythrin from red-antarctic algae as sensitizers for DSSC</t>
  </si>
  <si>
    <t>MRS ADVANCES</t>
  </si>
  <si>
    <t>SOLAR-CELLS; PERFORMANCE</t>
  </si>
  <si>
    <t>DSSC assembled with purified R-phycoerythrin show acceptable efficiency conversion values, especially when extracted from Palmaria decipiens. They showed up to 0.12 % conversion efficiency values. Adsorption of the protein onto the electrode surface plays a relevant role in DSSC performance impacting on the performance. The use of dyes easily obtained in a place as Antarctica is an alternative to explore to solve the energy issue.</t>
  </si>
  <si>
    <t>[Enciso, Paula; Fernanda Cerda, Maria] Univ Republica, Fac Ciencias, Lab Biomat, Igua 4225, Montevideo 11400, Uruguay; [Woerner, Michael] Karlsruher Inst Technol, D-76131 Karlsruhe, Germany</t>
  </si>
  <si>
    <t>Universidad de la Republica, Uruguay; Helmholtz Association; Karlsruhe Institute of Technology</t>
  </si>
  <si>
    <t>Cerdá, MF (corresponding author), Univ Republica, Fac Ciencias, Lab Biomat, Igua 4225, Montevideo 11400, Uruguay.</t>
  </si>
  <si>
    <t>Cerda, Maria Fernanda/0000-0002-9049-2728</t>
  </si>
  <si>
    <t>CAMBRIDGE UNIV PRESS</t>
  </si>
  <si>
    <t>32 AVENUE OF THE AMERICAS, NEW YORK, NY 10013-2473 USA</t>
  </si>
  <si>
    <t>2059-8521</t>
  </si>
  <si>
    <t>MRS ADV</t>
  </si>
  <si>
    <t>MRS Adv.</t>
  </si>
  <si>
    <t>10.1557/adv.2018.533</t>
  </si>
  <si>
    <t>Materials Science, Multidisciplinary</t>
  </si>
  <si>
    <t>Materials Science</t>
  </si>
  <si>
    <t>HI2ID</t>
  </si>
  <si>
    <t>WOS:000456267700004</t>
  </si>
  <si>
    <t>Scordo, F; Perillo, GME; Piccolo, MC</t>
  </si>
  <si>
    <t>Scordo, Facundo; Perillo, Gerardo M. E.; Cintia Piccolo, M.</t>
  </si>
  <si>
    <t>Effect of southern climate modes and variations in river discharge on lake surface area in Patagonia</t>
  </si>
  <si>
    <t>INLAND WATERS</t>
  </si>
  <si>
    <t>AAO; lake surface area; Patagonian plains region; river discharge; SOI</t>
  </si>
  <si>
    <t>THERMAL STRATIFICATION; WAVELET TRANSFORM; EL-NINO; WATER; VARIABILITY; PRECIPITATION; OSCILLATION; STREAMFLOW; SENTINELS; SARMIENTO</t>
  </si>
  <si>
    <t>Multiple regressions, wavelet spectra, and Fourier spectra were employed to analyze fluctuations in the surface areas of 2 Patagonian lakes during 1998-2015 and relate these to fluctuations in precipitation, evaporation, river discharge, and 2 southern climate modes, the Antarctic Oscillation (AAO) and El Nino Southern Oscillation, expressed in terms of the Southern Oscillation Index (SOI). Multiple regression analysis suggested that discharge was the primary driver of interannual lake area variations. Cross-spectrum analysis demonstrated a maximum significant correlation between river discharge and both AAO and SOI indices at annual and interannual timescales (2-3 yr). During 1998-2015, the annual discharge signal was related to both the AAO annual and every 2 year signals. When a strong La Nina (positive SOI) event occurred, however, river discharge was significantly reduced, resulting in a decrease in lake surface area.</t>
  </si>
  <si>
    <t>[Scordo, Facundo; Perillo, Gerardo M. E.; Cintia Piccolo, M.] Consejo Nacl Invest Cient &amp; Tecn, Inst Argentino Oceanog, Bahia Blanca, Buenos Aires, Argentina; [Scordo, Facundo; Cintia Piccolo, M.] Univ Nacl Sur, Dept Geog &amp; Turismo, Bahia Blanca, Buenos Aires, Argentina; [Perillo, Gerardo M. E.] Univ Nacl Sur, Dept Geol, Bahia Blanca, Buenos Aires, Argentina</t>
  </si>
  <si>
    <t>Consejo Nacional de Investigaciones Cientificas y Tecnicas (CONICET); National University of the South; National University of the South</t>
  </si>
  <si>
    <t>Scordo, F (corresponding author), Consejo Nacl Invest Cient &amp; Tecn, Inst Argentino Oceanog, Bahia Blanca, Buenos Aires, Argentina.;Scordo, F (corresponding author), Univ Nacl Sur, Dept Geog &amp; Turismo, Bahia Blanca, Buenos Aires, Argentina.</t>
  </si>
  <si>
    <t>fscordo@criba.edu.ar</t>
  </si>
  <si>
    <t>Perillo, GME/AAV-3784-2021</t>
  </si>
  <si>
    <t>Perillo, GME/0000-0002-1200-5138; Scordo, Facundo/0000-0001-6182-7368; Piccolo, Maria Cintia/0000-0002-5184-9149</t>
  </si>
  <si>
    <t>Inter-American Institute for Global Change Research (IAI) [CRN3038]; US National Science Foundation [GEO-1128040]; IAI-CONICET special grant</t>
  </si>
  <si>
    <t>Inter-American Institute for Global Change Research (IAI); US National Science Foundation(National Science Foundation (NSF)); IAI-CONICET special grant</t>
  </si>
  <si>
    <t>Partial support for this study was provided by grants from the Inter-American Institute for Global Change Research (IAI) CRN3038, which is supported by the US National Science Foundation (Grant GEO-1128040), and an IAI-CONICET special grant. We also thank the Universidad Nacional del Sur and the Concejo Nacional de Investigaciones Cientificas y Tecnicas. Thanks are also due to Drs. M. Celeste Lopez Abbate and Alejandro J. Vitale for their support with the methodology employed and to the reviewers and the editor for their comments, which improved the paper.</t>
  </si>
  <si>
    <t>2044-2041</t>
  </si>
  <si>
    <t>2044-205X</t>
  </si>
  <si>
    <t>Inland Waters</t>
  </si>
  <si>
    <t>10.1080/20442041.2018.1487118</t>
  </si>
  <si>
    <t>Limnology; Marine &amp; Freshwater Biology</t>
  </si>
  <si>
    <t>Marine &amp; Freshwater Biology</t>
  </si>
  <si>
    <t>HI1OF</t>
  </si>
  <si>
    <t>WOS:000456214100009</t>
  </si>
  <si>
    <t>Habib, S; Ahmad, SA; Johari, WLW; Abd Shukor, MY; Yasid, NA</t>
  </si>
  <si>
    <t>Habib, Syahir; Ahmad, Siti Aqlima; Johari, Wan Lutfi Wan; Abd Shukor, Mohd Yunus; Yasid, Nur Adeela</t>
  </si>
  <si>
    <t>Bioremediation of Petroleum Hydrocarbon in Antarctica by Microbial Species: An Overview</t>
  </si>
  <si>
    <t>PERTANIKA JOURNAL OF SCIENCE AND TECHNOLOGY</t>
  </si>
  <si>
    <t>Antarctic region; bioremediation; fuel spills; indigenous microorganisms; petroleum hydrocarbons</t>
  </si>
  <si>
    <t>POLYCYCLIC AROMATIC-HYDROCARBONS; TROPICAL COASTAL SOILS; OIL-SPILLS; BIOSURFACTANT PRODUCTION; RESPIRATORY SYMPTOMS; DEGRADING BACTERIA; CONTAMINATED SOIL; SITE REMEDIATION; CLEANUP WORKERS; LOW-TEMPERATURE</t>
  </si>
  <si>
    <t>The increase of anthropogenic activities and growth of technology in Antarctica is fuelled by the high demand for petroleum hydrocarbons needed for daily activities. Oil and fuel spills that occur during explorations have caused hydrocarbon pollution in this region, prompting concern for the environment by polar communities and the larger world community. Crude oil and petroleum hydrocarbon products contain a wide variety of lethal components with high toxicity and low biodegradability. Hydrocarbon persistence in the Antarctic environment only worsens the issues stemming from environmental pollution as they can be long-term. Numerous efforts to lower the contamination level caused by these pollutants have been conducted mainly in bioremediation, an economical and degrading-wise method. Bioremediation mainly functions on conversion of complex toxic compounds to simpler organic compounds due to the consumption of hydrocarbons by microorganisms as their energy source. This review presents a summary of the collective understanding on bioremediation of petroleum hydrocarbons by microorganisms indigenous to the Antarctic region from past decades to current knowledge.</t>
  </si>
  <si>
    <t>[Habib, Syahir; Ahmad, Siti Aqlima; Abd Shukor, Mohd Yunus; Yasid, Nur Adeela] Univ Putra Malaysia, Fac Biotechnol &amp; Biomol Sci, Dept Biochem, Serdang 43400, Selangor, Malaysia; [Johari, Wan Lutfi Wan] Univ Putra Malaysia, Fac Environm Studies, Dept Environm Sci, Serdang 43400, Selangor, Malaysia</t>
  </si>
  <si>
    <t>Universiti Putra Malaysia; Universiti Putra Malaysia</t>
  </si>
  <si>
    <t>Yasid, NA (corresponding author), Univ Putra Malaysia, Fac Biotechnol &amp; Biomol Sci, Dept Biochem, Serdang 43400, Selangor, Malaysia.</t>
  </si>
  <si>
    <t>syahirhabib@gmail.com; aqlima@upm.edu.my; lutfi@env.upm.edu.my; mohdyunus@upm.edu.my; adeela@upm.edu.my</t>
  </si>
  <si>
    <t>shukor, yunus/AAB-7087-2020; Johari, Wan Lutfi Wan/AAL-4095-2020; Yasid, Nur Adeela/AAL-8044-2020</t>
  </si>
  <si>
    <t>shukor, yunus/0000-0002-6150-2114; Johari, Wan Lutfi Wan/0000-0001-8607-7620; Ahmad, Siti Aqlima/0000-0002-7625-3704</t>
  </si>
  <si>
    <t>Universiti Putra Malaysia [9476900, 9422700]</t>
  </si>
  <si>
    <t>Universiti Putra Malaysia</t>
  </si>
  <si>
    <t>The authors would like to acknowledge Universiti Putra Malaysia for awarding the IPM grant (9476900) and (9422700) that enabled the writing of this review article.</t>
  </si>
  <si>
    <t>UNIV PUTRA MALAYSIA PRESS</t>
  </si>
  <si>
    <t>SELANGOR</t>
  </si>
  <si>
    <t>SERDANG, SELANGOR, 00000, MALAYSIA</t>
  </si>
  <si>
    <t>0128-7680</t>
  </si>
  <si>
    <t>PERTANIKA J SCI TECH</t>
  </si>
  <si>
    <t>Pertanika J. Sci. Technol.</t>
  </si>
  <si>
    <t>HH9XO</t>
  </si>
  <si>
    <t>WOS:000456095400002</t>
  </si>
  <si>
    <t>Wijayawardene, NN; Hyde, KD; McKenzie, EHC; Wang, Y</t>
  </si>
  <si>
    <t>Wijayawardene, N. N.; Hyde, K. D.; McKenzie, E. H. C.; Wang, Y.</t>
  </si>
  <si>
    <t>Notes for genera update - Ascomycota: 6822-6917</t>
  </si>
  <si>
    <t>MYCOSPHERE</t>
  </si>
  <si>
    <t>Classification; Coelomycetes; Hyphomycetes; New Genera; Sexual Genera</t>
  </si>
  <si>
    <t>SUB-ANTARCTIC ISLANDS; SP-NOV; GEN. NOV.; PHYLOGENY; FUNGI; EPITYPIFICATION; POACEAE</t>
  </si>
  <si>
    <t>Acquiring updated information of fungi is one of the challenges faced by mycologists. This study is a continuation of Wijayawardene et al. (2017, 2018) and provides notes (generic name, classification, number of species, typification details, life mode, distribution, references) for each genus of Ascomycota described mainly during the period January to June 2018.</t>
  </si>
  <si>
    <t>[Wijayawardene, N. N.; Wang, Y.] Guizhou Univ, Dept Plant Pathol, Coll Agr, Guiyang 550025, Guizhou, Peoples R China; [Wijayawardene, N. N.] Guizhou Univ, Guizhou Key Lab Agrobioengn, Guiyang 550025, Guizhou, Peoples R China; [Hyde, K. D.] Mae Fah Luang Univ, Ctr Excellence Fungal Res, Chiang Rai 57100, Thailand; [McKenzie, E. H. C.] Manaaki Whenua Landcare Res, Private Bag 92170, Auckland, New Zealand</t>
  </si>
  <si>
    <t>Guizhou University; Guizhou University; Mae Fah Luang University; Landcare Research - New Zealand</t>
  </si>
  <si>
    <t>Wang, Y (corresponding author), Guizhou Univ, Dept Plant Pathol, Coll Agr, Guiyang 550025, Guizhou, Peoples R China.</t>
  </si>
  <si>
    <t>yongwangbis@aliyun.com</t>
  </si>
  <si>
    <t>McKenzie, Eric Hugh Charles/ABD-9071-2021; Wijayawardene, Nalin N./O-6538-2019; Hyde, Kevin/F-7890-2010</t>
  </si>
  <si>
    <t>Mushroom Research Foundation, Thailand; National Natural Science Foundation of China [31500451, 31560536, 31560489]; Guizhou science and technology department international cooperation base project [[2018]5806]; Guizhou Province Education Department Youth Science and technology talent growth project [2016-120]; Bijie Science and Technology Project [[2016]-19]</t>
  </si>
  <si>
    <t>Mushroom Research Foundation, Thailand; National Natural Science Foundation of China(National Natural Science Foundation of China (NSFC)); Guizhou science and technology department international cooperation base project; Guizhou Province Education Department Youth Science and technology talent growth project; Bijie Science and Technology Project</t>
  </si>
  <si>
    <t>Nalin Wijayawardene thanks National Institute of Fundamental Studies, Kandy, Sri Lanka for the position of visiting scientist during the tenure of which this paper was finalised. The research is partially supported by Mushroom Research Foundation, Thailand, the projects of National Natural Science Foundation of China (No. 31500451, 31560536 and 31560489), Guizhou science and technology department international cooperation base project ([2018]5806), Guizhou Province Education Department Youth Science and technology talent growth project (2016-120) and Bijie Science and Technology Project ([2016]-19).</t>
  </si>
  <si>
    <t>MYCOSPHERE PRESS</t>
  </si>
  <si>
    <t>GUIYANG</t>
  </si>
  <si>
    <t>GUIZHOU KEY LAB AGRIC BIOTECH, GUIZHOU ACAD AGRIC SCI, GUIYANG, 00000, PEOPLES R CHINA</t>
  </si>
  <si>
    <t>2077-7000</t>
  </si>
  <si>
    <t>Mycosphere</t>
  </si>
  <si>
    <t>10.5943/mycosphere/9/6/11</t>
  </si>
  <si>
    <t>Mycology</t>
  </si>
  <si>
    <t>HI1ID</t>
  </si>
  <si>
    <t>WOS:000456197900011</t>
  </si>
  <si>
    <t>Bednarek-Ochyra, H; Plásek, V; Guo, SL</t>
  </si>
  <si>
    <t>Bednarek-Ochyra, Halina; Plasek, Vitzslav; Guo, Shui-Liang</t>
  </si>
  <si>
    <t>A brief survey of bryological studies in the Subantarctic, including Macrocoma tenue (Orthotrichaceae), a moss genus and species newly found in Iles Kerguelen</t>
  </si>
  <si>
    <t>ACTA SOCIETATIS BOTANICORUM POLONIAE</t>
  </si>
  <si>
    <t>Antarctica; austral polar regions; biodiversity; biogeography; Bryophyta; Kerguelen Biogeographical Province; Southern Ocean</t>
  </si>
  <si>
    <t>REGIONAL BRYOPHYTE RECORDS; ANTIPODAL MOSSES; INDIAN-OCEAN; TAXONOMIC STATUS; 1ST RECORD; GRIMMIACEAE; BUCKLANDIELLA; FLORA; ISLAND; POTTIACEAE</t>
  </si>
  <si>
    <t>Studies on the bryophyte flora of the Southern Ocean islands and in the Antarctic are briefly reviewed and the current state of knowledge of the moss flora of Iles Kerguelen is discussed. Macrocoma tenue (Hook. &amp; Grev.) Vitt is recorded from the Iles Kerguelen archipelago and this constitutes the first record of the genus Macrocoma (Mull. Hal.) Grout from the Subantarctic. The local plants of the species are characterized and illustrated and their ecology is discussed. Global distribution of M. tenue is reviewed and mapped. It is suggested that the type subspecies of M. tenue is a Gondwanan relictual taxon, which could have evolved on this supercontinent prior to its break-up and, subsequently, it reached Iles Kerguelen where it survived during the Pleistocene glacial epoch.</t>
  </si>
  <si>
    <t>[Bednarek-Ochyra, Halina] Polish Acad Sci, W Szafer Inst Bot, Dept Bryol, Lubicz 46, PL-31512 Krakow, Poland; [Plasek, Vitzslav] Univ Ostrava, Dept Biol &amp; Ecol, Chittussiho 10, Ostrava 71000, Czech Republic; [Guo, Shui-Liang] Shanghai Normal Univ, Coll Life &amp; Environm Sci, 100 Guilin Rd, Shanghai 200233, Peoples R China</t>
  </si>
  <si>
    <t>Polish Academy of Sciences; W. Szafer Institute of Botany of the Polish Academy of Sciences; University of Ostrava; Shanghai Normal University</t>
  </si>
  <si>
    <t>Plásek, V (corresponding author), Univ Ostrava, Dept Biol &amp; Ecol, Chittussiho 10, Ostrava 71000, Czech Republic.</t>
  </si>
  <si>
    <t>vitezslav.plasek@osu.cz</t>
  </si>
  <si>
    <t>Guo, Shuiliang/IUM-8827-2023; Guo, Shuiliang/JUU-2768-2023; Bednarek-Ochyra, Halina/K-7507-2012</t>
  </si>
  <si>
    <t>Bednarek-Ochyra, Halina/0000-0002-6994-8313</t>
  </si>
  <si>
    <t>statutory fund of the W. Szafer Institute of Botany, Polish Academy of Sciences; National Natural Science Foundation of China [31370233]; [CZ.1.05/2.1.00/19.0388]; [LO1208]</t>
  </si>
  <si>
    <t>statutory fund of the W. Szafer Institute of Botany, Polish Academy of Sciences; National Natural Science Foundation of China(National Natural Science Foundation of China (NSFC)); ;</t>
  </si>
  <si>
    <t>The work was financed through the statutory fund of the W. Szafer Institute of Botany, Polish Academy of Sciences and partially by research projects No. CZ.1.05/2.1.00/19.0388, LO1208 and the National Natural Science Foundation of China No. 31370233.</t>
  </si>
  <si>
    <t>POLSKIE TOWARZYSTWO BOTANICZNE</t>
  </si>
  <si>
    <t>WARSAW</t>
  </si>
  <si>
    <t>AL UJAZDOWSKIE 4, 00-478 WARSAW, POLAND</t>
  </si>
  <si>
    <t>0001-6977</t>
  </si>
  <si>
    <t>2083-9480</t>
  </si>
  <si>
    <t>ACTA SOC BOT POL</t>
  </si>
  <si>
    <t>Acta Soc. Bot. Pol.</t>
  </si>
  <si>
    <t>10.5586/asbp.3597</t>
  </si>
  <si>
    <t>HH2XR</t>
  </si>
  <si>
    <t>WOS:000455583800003</t>
  </si>
  <si>
    <t>Koc, J; Wasilewski, J; Androsluk, P; Kellmann-Sopyla, W; Chwedorzewska, KJ; Gielwanowska, I</t>
  </si>
  <si>
    <t>Koc, Justyna; Wasilewski, Janusz; Androsluk, Piotr; Kellmann-Sopyla, Wioleta; Chwedorzewska, Katarzyna Joanna; Gielwanowska, Irena</t>
  </si>
  <si>
    <t>The effects of methanesulfonic acid on seed germination and morphophysiological changes in the seedlings of two Colobanthus species</t>
  </si>
  <si>
    <t>Colobanthus apetalus; Colobanthus quitensis; sub-Antarctic; Antarctica; methanesulfonic acid; environmental stress</t>
  </si>
  <si>
    <t>SULFUR-DIOXIDE; SOMATIC POLYMORPHISM; GENETIC-VARIABILITY; QUITENSIS; GROWTH; ANTARCTICA; TOLERANCE; PROLINE; STRESS; SALT</t>
  </si>
  <si>
    <t>The effect of methanesulfonic acid (MSA) on the morphophysiology and biochemistry of the subantarctic species Colobanthus apetalus and the Antarctic species Colobanthus quitensis was examined. We evaluated the effects of various concentrations of MSA on the germination capacity and germination rate of seeds, seedling growth, chlorophyll fluorescence in cotyledons, and the proline content of seedlings under laboratory conditions at temperatures of 20 degrees C (day) and 10 degrees C (night) with a 12/12 h photoperiod. The examined C. apetalus seeds were grown in a greenhouse, and C. quitensis seeds were harvested in Antarctica and grown in a greenhouse (Olsztyn, Poland). The seeds of C. apetalus were characterized by the highest germination capacity and the highest germination rate, whereas C. quitensis seedlings were characterized by the most favorable growth and development. Only the highest concentrations of MSA decreased the intensity of chlorophyll fluorescence in the cotyledons of both Colobanthus species. The proline content of C. apetalus and C. quitensis seedlings increased significantly after MSA treatments. The results of this study clearly indicated that Colobanthus quitensis is more resistant to chemical stress induced by MSA. This is a first study to investigate the influence of MSA on the morphophysiology and biochemistry of higher plants.</t>
  </si>
  <si>
    <t>[Koc, Justyna; Androsluk, Piotr; Kellmann-Sopyla, Wioleta; Gielwanowska, Irena] Univ Warmia &amp; Mazury, Dept Plant Physiol Genet &amp; Biotechnol, Fac Biol &amp; Biotechnol, Oczapowskiego 1a, PL-10719 Olsztyn, Poland; [Wasilewski, Janusz] Univ Warmia &amp; Mazury, Fac Biol &amp; Biotechnol, Dept Biochem, Oczapowskiego 1a, PL-10719 Olsztyn, Poland; [Chwedorzewska, Katarzyna Joanna] Warsaw Univ Life Sci SGGW, Dept Agron, Nowoursynowska 159, PL-02766 Warsaw, Poland</t>
  </si>
  <si>
    <t>University of Warmia &amp; Mazury; University of Warmia &amp; Mazury; Warsaw University of Life Sciences</t>
  </si>
  <si>
    <t>Koc, J (corresponding author), Univ Warmia &amp; Mazury, Dept Plant Physiol Genet &amp; Biotechnol, Fac Biol &amp; Biotechnol, Oczapowskiego 1a, PL-10719 Olsztyn, Poland.</t>
  </si>
  <si>
    <t>kocjustyna@interia.pl</t>
  </si>
  <si>
    <t>Chwedorzewska, Katarzyna J/A-9480-2008; Chwedorzewska, Katarzyna/M-9721-2019; Androsiuk, Piotr/M-6175-2019</t>
  </si>
  <si>
    <t>Chwedorzewska, Katarzyna/0000-0001-6860-3666; Androsiuk, Piotr/0000-0002-1851-3192; Wasilewski, Janusz/0000-0003-2890-9390</t>
  </si>
  <si>
    <t>National Science Center, Poland [NN 303 796 240]</t>
  </si>
  <si>
    <t>National Science Center, Poland(National Science Centre, Poland)</t>
  </si>
  <si>
    <t>This research was supported by the National Science Center, Poland under grant No. NN 303 796 240.</t>
  </si>
  <si>
    <t>10.5586/asbp.3601</t>
  </si>
  <si>
    <t>WOS:000455583800007</t>
  </si>
  <si>
    <t>Maciejowski, W; Osyczka, P; Smykla, J; Ziaja, W; Ostafin, K; Krzewicka, B</t>
  </si>
  <si>
    <t>Maciejowski, Wojciech; Osyczka, Piotr; Smykla, Jerzy; Ziaja, Wiestaw; Ostafin, Krzysztof; Krzewicka, Beata</t>
  </si>
  <si>
    <t>Diversity and distribution of lichens in recently deglaciated areas of southeastern Spitsbergen</t>
  </si>
  <si>
    <t>Arctic; Svalbard; Sorkapp Land; Torell Land; lichenized fungi; spontaneous succession; ice-free areas</t>
  </si>
  <si>
    <t>SORKAPP LAND; GENUS UMBILICARIA; WEATHER; COASTS</t>
  </si>
  <si>
    <t>The diversity and distribution of lichen species were investigated in recently deglaciated areas of the borderland between Sorkapp Land and Torell Land (southeastern Spitsbergen, Svalbard). A total of 15 sites representing various habitat types specific to the area were evaluated. Sampling sites were characterized by a very diverse composition of lichens and species richness ranging from as few as two species to as many as 53. None of the species was ubiquitous among the investigated sampling sites; conversely, most were recorded only once or twice indicating a high heterogeneity in species distribution. Eighty species are reported for the first time from southeastern Spitsbergen. The terricolous lichen Verrucaria xyloxena is reported for the first time from the Svalbard archipelago. The influence of the selected abiotic and biotic environmental factors on the occurrences and distributions of lichen species is discussed in this paper.</t>
  </si>
  <si>
    <t>[Maciejowski, Wojciech] Jagiellonian Univ, Inst Middle &amp; Far East, Gronostajowa 3, PL-30387 Krakow, Poland; [Osyczka, Piotr] Jagiellonian Univ, Inst Bot, Gronostajowa 3, PL-30387 Krakow, Poland; [Smykla, Jerzy] Polish Acad Sci, Inst Nat Conservat, Mickiewicza 33, PL-31120 Krakow, Poland; [Ziaja, Wiestaw; Ostafin, Krzysztof] Jagiellonian Univ, Inst Geog &amp; Spatial Management, Gronostajowa 7, PL-30387 Krakow, Poland; [Krzewicka, Beata] Polish Acad Sci, W Szafer Inst Bot, Lubicz 46, PL-31512 Krakow, Poland</t>
  </si>
  <si>
    <t>Jagiellonian University; Jagiellonian University; Polish Academy of Sciences; Jagiellonian University; Polish Academy of Sciences; W. Szafer Institute of Botany of the Polish Academy of Sciences</t>
  </si>
  <si>
    <t>Krzewicka, B (corresponding author), Polish Acad Sci, W Szafer Inst Bot, Lubicz 46, PL-31512 Krakow, Poland.</t>
  </si>
  <si>
    <t>b.krzewicka@botany.pl</t>
  </si>
  <si>
    <t>Ostafin, Krzysztof/L-9471-2017; Krzewicka, Beata/AAB-3191-2021; Smykla, Jerzy/N-3288-2014</t>
  </si>
  <si>
    <t>Ostafin, Krzysztof/0000-0002-4426-3211; Krzewicka, Beata/0000-0002-9478-0911; Smykla, Jerzy/0000-0001-8228-6695; Maciejowski, Wojciech/0000-0001-7994-8985; Ziaja, Wieslaw/0000-0003-1087-736X; Osyczka, Piotr/0000-0003-4999-4897</t>
  </si>
  <si>
    <t>Prince Albert II of Monaco Foundation [PBZ-KBN-108/P04/2004]; statutory funds of Institute of Botany, Polish Academy of Sciences (PAS); Institute of Nature Conservation PAS</t>
  </si>
  <si>
    <t>Prince Albert II of Monaco Foundation; statutory funds of Institute of Botany, Polish Academy of Sciences (PAS); Institute of Nature Conservation PAS</t>
  </si>
  <si>
    <t>The Jagiellonian University expeditions in Svalbard were conducted and supported within the following projects: (i) in 2005 The structure, evolution and dynamics of the lithosphere, cryosphere and biosphere in the European sector of the Arctic and Antarctic (PBZ-KBN-108/P04/2004), and (ii) in 2016 Southeastern Spitsbergen landscape-seascape and biodiversity dynamics under current climate warming, which benefited from the support of the Prince Albert II of Monaco Foundation (http://www.fpa2.com).The study was also supported from statutory funds of Institute of Botany, Polish Academy of Sciences (PAS) and Institute of Nature Conservation PAS.</t>
  </si>
  <si>
    <t>10.5586/asbp.3596</t>
  </si>
  <si>
    <t>WOS:000455583800002</t>
  </si>
  <si>
    <t>Richter, D; Matula, J; Pietryka, M; Wojtun, B; Zwolicki, A; Zmudczynska-Skarbek, K; Stempniewicz, L</t>
  </si>
  <si>
    <t>Richter, Dorota; Matula, Jan; Pietryka, Miroslawa; Wojtun, Bronislaw; Zwolicki, Adrian; Zmudczynska-Skarbek, Katarzyna; Stempniewicz, Lech</t>
  </si>
  <si>
    <t>Cyanobacterial and green algal assemblages in various tundra habitats in the high Arctic (West Spitsbergen, Norway)</t>
  </si>
  <si>
    <t>cyanobacteria; green algae; physicochemical parameters; nutrient limitation; Arctic</t>
  </si>
  <si>
    <t>JAMES-ROSS-ISLAND; NITROGEN-FIXATION; MICROBIAL COMMUNITIES; ALASKAN TUNDRA; NORTHERN PART; CIERVA POINT; VEGETATION; NUTRIENT; DIVERSITY; SVALBARD</t>
  </si>
  <si>
    <t>The diversity of cyanobacteria and algae from various microhabitats in Spitsbergen is comparatively well known. However, the relationships between environmental factors and the structure of microflora communities remain largely unclear. This study was conducted in Hornsund Bay, which exhibits large variability in the physicochemical characteristics of habitats, particularly with regard to the availability of nitrogen and phosphorus. This variability, to a large degree, is caused by seabird colonies, which fertilize nutrient-poor terrestrial ecosystems near their nesting areas. The large variations in ecological conditions and vegetation types in the study area aid assessment of habitats representing different combinations of factors potentially influencing the formation of cyanobacterial and algal assemblages. The aim of this study was to examine the influence of physicochemical parameters on the taxonomic composition and diversity of green algae and cyanobacteria (particularly the coccoid, oscillatorialean, and heterocystous taxa). The study encompassed two groups of habitats - soil surface habitats and water-saturated habitats, both characterized by diverse influences of seabird colonies, vegetation cover, and moisture. Our results showed that taxonomic diversity and composition of cyanobacteria and algae were mainly influenced by P-PO43-, N-NH4+ and Ca2+ (soil surface habitats), and NO3-, as well as moisture (index of wetness) and pH (water-saturated habitats). The variability of these physicochemical properties was largely due to the variability of the seabird colony influence. Taken together, our findings aid in understanding the processes of formation of phycoflora assemblages in Arctic tundra.</t>
  </si>
  <si>
    <t>[Richter, Dorota; Pietryka, Miroslawa] Wroclaw Univ Environm &amp; Life Sci, Dept Bot &amp; Plant Ecol, Pl Grunwaldzki 24a, PL-50363 Wroclaw, Poland; [Matula, Jan] Wroclaw Univ Environm &amp; Life Sci, Inst Biol, Kozuchowska 5b, PL-51631 Wroclaw, Poland; [Wojtun, Bronislaw] Univ Wroclaw, Fac Biol Sci, Dept Ecol Biogeochem &amp; Environm Protect, Kanonia 6-8, PL-50328 Wroclaw, Poland; [Zwolicki, Adrian; Zmudczynska-Skarbek, Katarzyna; Stempniewicz, Lech] Univ Gdansk, Dept Vertebrate Ecol &amp; Zool, Legionow 9, PL-80441 Gdansk, Poland</t>
  </si>
  <si>
    <t>Wroclaw University of Environmental &amp; Life Sciences; Wroclaw University of Environmental &amp; Life Sciences; University of Wroclaw; Fahrenheit Universities; University of Gdansk</t>
  </si>
  <si>
    <t>Richter, D (corresponding author), Wroclaw Univ Environm &amp; Life Sci, Dept Bot &amp; Plant Ecol, Pl Grunwaldzki 24a, PL-50363 Wroclaw, Poland.</t>
  </si>
  <si>
    <t>cool_florek@interia.pl</t>
  </si>
  <si>
    <t>Stempniewicz, Lech/JAN-4833-2023; Richter, Dorota/S-8850-2016</t>
  </si>
  <si>
    <t>Stempniewicz, Lech/0000-0001-9405-7320; Richter, Dorota/0000-0003-3024-9766; Pietryka, Miroslawa/0000-0002-2796-6097; Wojtun, Bronislaw/0000-0003-1029-1078</t>
  </si>
  <si>
    <t>Polish National Polar Project (2005-2007) [PBZ-KBN-108/PO4/2004]; TOPOCLIM [113/IPY/2007/01/f]; Polish Ministry of Science and Higher Education [81128]; Polish National Polar Project [N304 410139]</t>
  </si>
  <si>
    <t>Polish National Polar Project (2005-2007); TOPOCLIM; Polish Ministry of Science and Higher Education(Ministry of Science and Higher Education, Poland); Polish National Polar Project</t>
  </si>
  <si>
    <t>The study was supported by grants from the Polish National Polar Project (2005-2007): Biosphere -the structure, evolution and dynamic of the lithosphere, cryosphere and biosphere in the Arctic and Antarctic (PBZ-KBN-108/PO4/2004), TOPOCLIM No. 113/IPY/2007/01/f, Polish Ministry of Science and Higher Education No. 81128, and Polish National Polar Project (No. N304 410139).</t>
  </si>
  <si>
    <t>10.5586/asbp.3605</t>
  </si>
  <si>
    <t>WOS:000455583800011</t>
  </si>
  <si>
    <t>Ronikier, M; Saluga, M; Jiménez, JA; Ochyra, R; Stryjak-Bogacka, M</t>
  </si>
  <si>
    <t>Ronikier, Michel; Saluga, Marta; Jimenez, Juan A.; Ochyra, Ryszard; Stryjak-Bogacka, Monika</t>
  </si>
  <si>
    <t>Multilocus DNA analysis supports Didymodon gelidus (Musci, Pottiaceae) as a distinct endemic of the austral polar region</t>
  </si>
  <si>
    <t>Antarctica; biodiversity; Bryophyta; Didymodon gelidus; Iles Kerguelen; molecular analyses; South Georgia; Subantarctica; taxonomy</t>
  </si>
  <si>
    <t>BRYOPHYTE RECORDS; MOSS GENUS; BUCKLANDIELLA; AFRICA; GENERA; FLORA; RANK</t>
  </si>
  <si>
    <t>The taxonomic position of the Antarctic subendemic species Didymodon gelidus Cardot is controversial, notably because of its notorious sterile condition. Considering the overall appearance and the reddish coloration of the plants, the leaf areolation, reaction of the leaf lamina with KOH, and the presence of multicellular axillary gemmae, this species was considered to be conspecific with the Holarctic D. brachyphyllus (Sull.) R. H. Zander. As a result, the latter was established as a bipolar species. Recent detailed morphological and anatomical studies have revealed a number of features which enable recognition of D. gelidus and D. brachyphyllus, including the shape of leaves, leaf apices and basal leaf cells, as well as costal anatomy. Here, within a larger-scale project focused on the evolution and biogeographical connections of Antarctic endemic mosses, we analyzed the genetic relationships of D. gelidus and D. brachyphyllus to confront the morphology-based conclusions. We selected five geographically distinct collections per species and applied a multilocus DNA analysis based on nuclear (ITS) and plastid (atpIH, trnLF, trnG, rps4) sequences to assess the genetic differentiation of these two taxa. We also placed their lineages in a wider phylogenetic context using an extended sampling of Didymodon taxa and select other representatives of Pottiaceae. Our results showed a clear genetic differentiation of the Southern Hemisphere (D. gelidus) and Northern Hemisphere (D. brachyphyllus) plants. Moreover, the phylogenetic analysis showed that D. gelidus formed a strongly supported clade on its own which was distantly related to D. brachyphyllus. Accordingly, the two taxa do not represent geographical vicariants. Didymodon gelidus must be considered a distinct endemic species of the austral polar region, having its optimal occurrence in the Antarctic and weakly penetrating northward to South Georgia and Iles Kerguelen in the Subantarctic. The relatively isolated phylogenetic position of D. gelidus likely suggests its old age.</t>
  </si>
  <si>
    <t>[Ronikier, Michel; Saluga, Marta] Polish Acad Sci, Mol Biogeog Grp, W Szafer Inst Bot, Lubicz 46, PL-31512 Krakow, Poland; [Jimenez, Juan A.] Univ Murcia, Dept Biol Vegetal Bot, Fac Biol, Campus Espinardo, E-30100 Murcia, Spain; [Ochyra, Ryszard; Stryjak-Bogacka, Monika] Polish Acad Sci, W Szafer Inst Bot, Dept Bryol, Lubicz 46, PL-31512 Krakow, Poland</t>
  </si>
  <si>
    <t>Polish Academy of Sciences; W. Szafer Institute of Botany of the Polish Academy of Sciences; University of Murcia; Polish Academy of Sciences; W. Szafer Institute of Botany of the Polish Academy of Sciences</t>
  </si>
  <si>
    <t>Ronikier, M (corresponding author), Polish Acad Sci, Mol Biogeog Grp, W Szafer Inst Bot, Lubicz 46, PL-31512 Krakow, Poland.</t>
  </si>
  <si>
    <t>m.ronikier@botany.pl</t>
  </si>
  <si>
    <t>Saługa, Marta/ABG-9944-2021; Jiménez, Juan Antonio/G-9430-2015; Stryjak-Bogacka, Monika/ABH-1108-2021</t>
  </si>
  <si>
    <t>Jiménez, Juan Antonio/0000-0002-1461-9491; Ronikier, Michal/0000-0001-7652-6787; Ochyra, Ryszard/0000-0002-2541-0722; Saluga, Marta/0000-0002-2236-816X; Stryjak-Bogacka, Monika/0000-0003-2845-9975</t>
  </si>
  <si>
    <t>National Science Center, Poland [NCN 2015/17/B/N28/02475]; W. Szafer Institute of Botany, Polish Academy of Sciences</t>
  </si>
  <si>
    <t>National Science Center, Poland(National Science Centre, Poland); W. Szafer Institute of Botany, Polish Academy of Sciences</t>
  </si>
  <si>
    <t>This study was funded by the National Science Center, Poland, grant number: NCN 2015/17/B/N28/02475 and, partly, through the statutory fund of the W. Szafer Institute of Botany, Polish Academy of Sciences.</t>
  </si>
  <si>
    <t>10.5586/asbp.3609</t>
  </si>
  <si>
    <t>WOS:000455583800015</t>
  </si>
  <si>
    <t>Rudak, A; Galera, H; Znoj, A; Chwedorzewska, KJ; Wódkiewicz, M</t>
  </si>
  <si>
    <t>Rudak, Agnieszka; Galera, Halina; Znoj, Anna; Chwedorzewska, Katarzyna J.; Wodkiewicz, Maciej</t>
  </si>
  <si>
    <t>Seed germination and invasion success of Poa annua L. in Antarctica</t>
  </si>
  <si>
    <t>common garden; genetic diversity; environmental control; invasive species; survival analysis; maritime Antarctica</t>
  </si>
  <si>
    <t>KING GEORGE ISLAND; GENETIC DIFFERENTIATION; SOUTH SHETLAND; COMMON-GARDEN; POPULATIONS; PLANT; FRAMEWORK; RESPONSES; DORMANCY</t>
  </si>
  <si>
    <t>One of the first steps to successful invasion of plant species that reproduce sexually is seed germination, which may be highly influenced by climatic conditions. We studied Poa annua, a cosmopolitan species found across all climatic zones and the only alien species that has successfully colonized the Antarctic. Our research questions were: (i) if harsh polar conditions restrict seed germination of P. annua and (ii) if the germination capacity of the Antarctic population of the species is due to high germination aptitude in the source population. We compared germination of seeds collected from eight populations around the world (maritime Antarctica, S Chile, W Argentina and E Argentina, NE USA, SW Croatia, C Poland and S Poland). We followed germination of seeds collected in the field and acquired from plants cultivated under unified optimal conditions. We found significant differences between populations in germination characteristics of seeds collected in the field. These could be associated with seed ripening in different locations. Seeds obtained under favorable conditions differed in stratification requirements. The germination potential of the Antarctic population is lowered by unfavorable polar conditions impacting seed maturation. Thus, the species' invasion in the Antarctic seems highly restricted by the harsh environment. Environmental unsuitability may restrict invasions of other species in the same way potentially. However, this environmental barrier protecting Antarctica from invasions may be broken under a climate warming scenario.</t>
  </si>
  <si>
    <t>[Rudak, Agnieszka; Galera, Halina; Wodkiewicz, Maciej] Univ Warsaw, Fac Biol, Biol &amp; Chem Res Ctr, Zwirki &amp; Wigury 101, PL-02089 Warsaw, Poland; [Znoj, Anna; Chwedorzewska, Katarzyna J.] Polish Acad Sci, Inst Biochem &amp; Biophys, Pawinskiego 5a, PL-02106 Warsaw, Poland</t>
  </si>
  <si>
    <t>University of Warsaw; Polish Academy of Sciences; Institute of Biochemistry &amp; Biophysics - Polish Academy of Sciences</t>
  </si>
  <si>
    <t>Wódkiewicz, M (corresponding author), Univ Warsaw, Fac Biol, Biol &amp; Chem Res Ctr, Zwirki &amp; Wigury 101, PL-02089 Warsaw, Poland.</t>
  </si>
  <si>
    <t>wodkie@biol.uw.edu.pl</t>
  </si>
  <si>
    <t>Galera, Halina/V-5347-2018; Galera, Halina/IUQ-1030-2023; Rudak, Agnieszka/ISS-5183-2023; Chwedorzewska, Katarzyna/M-9721-2019; Chwedorzewska, Katarzyna J/A-9480-2008; Znój, Anna/AAX-3819-2021</t>
  </si>
  <si>
    <t>Galera, Halina/0000-0001-6983-0908; Rudak, Agnieszka/0000-0002-9638-7726; Chwedorzewska, Katarzyna/0000-0001-6860-3666; Znój, Anna/0000-0002-8424-6707; Wodkiewicz, Maciej/0000-0002-7358-126X</t>
  </si>
  <si>
    <t>National Science Center, Poland [2013/09/B/NZ8/03293]; EU European Regional Development Fund under the Innovative Economy Operational Program</t>
  </si>
  <si>
    <t>National Science Center, Poland(National Science Centre, Poland); EU European Regional Development Fund under the Innovative Economy Operational Program</t>
  </si>
  <si>
    <t>This work was supported by the National Science Center, Poland (grant number 2013/09/B/NZ8/03293). The study was carried out at the Biological and Chemical Research Center, University of Warsaw, established within a project cofinanced by the EU European Regional Development Fund under the Innovative Economy Operational Program, 2007-2013.</t>
  </si>
  <si>
    <t>10.5586/asbp.3606</t>
  </si>
  <si>
    <t>WOS:000455583800012</t>
  </si>
  <si>
    <t>Pimentel, D; Kalyanaraman, S; Halan, S</t>
  </si>
  <si>
    <t>Pimentel, Daniel; Kalyanaraman, Sri; Halan, Shiva</t>
  </si>
  <si>
    <t>Bigger is Better: A VR Penguin Rehabilitation Simulation to Study Animal Conservation Behaviors</t>
  </si>
  <si>
    <t>2018 IEEE GAMES, ENTERTAINMENT, MEDIA CONFERENCE (GEM)</t>
  </si>
  <si>
    <t>IEEE Games, Entertainment, Media Conference (GEM)</t>
  </si>
  <si>
    <t>AUG 15-17, 2018</t>
  </si>
  <si>
    <t>Galway, IRELAND</t>
  </si>
  <si>
    <t>virtual reality; conservation; environmentalism</t>
  </si>
  <si>
    <t>Humans are thought to favor conservation of large rather than small animals. However, this size matters bias has yet to be empirically validated. If this bias exists, traditional experimental methods cannot examine how human-animal interactions may offset this bias because public access to threatened species is limited. To address these issues, this paper presents a virtual reality (VR) simulation where users assume the role of a volunteer in-training sent to rehabilitate Antarctic penguin species caught in an ecological disaster. The objective of this simulation is to serve as a novel tool for (a) empirical testing of the size matters bias, (b) exploration of how human-animal interactions in VR can offset this bias, and (c) measuring conservation outcomes using VR.</t>
  </si>
  <si>
    <t>[Pimentel, Daniel; Kalyanaraman, Sri; Halan, Shiva] Univ Florida, Media Effects &amp; Technol Lab, Gainesville, FL 32611 USA</t>
  </si>
  <si>
    <t>State University System of Florida; University of Florida</t>
  </si>
  <si>
    <t>Pimentel, D (corresponding author), Univ Florida, Media Effects &amp; Technol Lab, Gainesville, FL 32611 USA.</t>
  </si>
  <si>
    <t>978-1-5386-6304-2</t>
  </si>
  <si>
    <t>Computer Science, Information Systems; Computer Science, Theory &amp; Methods; Engineering, Electrical &amp; Electronic</t>
  </si>
  <si>
    <t>BL7JM</t>
  </si>
  <si>
    <t>WOS:000455103600087</t>
  </si>
  <si>
    <t>Liu, JZ; Gao, SL</t>
  </si>
  <si>
    <t>Wang, E</t>
  </si>
  <si>
    <t>Liu Jiazhao; Gao Shilong</t>
  </si>
  <si>
    <t>Safety of Commercial Ship's Cargo Operation in Antarctic Waters - An example of the First Voyage of Chinese Merchant Vessel Yongsheng in Antarctic Waters</t>
  </si>
  <si>
    <t>2018 INTERNATIONAL CONFERENCE ON COMPUTER, CIVIL ENGINEERING AND MANAGEMENT SCIENCE (ICCEMS 2018)</t>
  </si>
  <si>
    <t>International Conference on Computer, Civil Engineering and Management Science (ICCEMS)</t>
  </si>
  <si>
    <t>MAR 09-11, 2018</t>
  </si>
  <si>
    <t>Lanzhou, PEOPLES R CHINA</t>
  </si>
  <si>
    <t>Risk response measures; cargo operation; Antarctic waters</t>
  </si>
  <si>
    <t>Taking the last 1 nautical mile of reconstructing the materials at the Brazil Feilazi science station in Antarctic waters for the first time in Yongsheng as an example, this paper analyzes the characteristics of cargo operations in Antarctic waters and compares the differences between the operations of commercial vessels and scientific research ships. It summarizes Antarctic waters cargo operations risk response measures and provides reference for the Chinese merchant ships engaged in such operations.</t>
  </si>
  <si>
    <t>[Liu Jiazhao; Gao Shilong] Qingdao Ocean Shipping Mariners Coll, Dept Nav, Qingdao 266071, Peoples R China</t>
  </si>
  <si>
    <t>Liu, JZ (corresponding author), Qingdao Ocean Shipping Mariners Coll, Dept Nav, Qingdao 266071, Peoples R China.</t>
  </si>
  <si>
    <t>liujiazhaoqd@126.com</t>
  </si>
  <si>
    <t>project of the humanities and social sciences research program for Shandong higher schools - The research on the training of the seafarers of the ships operating in polar waters [J16WG47]</t>
  </si>
  <si>
    <t>project of the humanities and social sciences research program for Shandong higher schools - The research on the training of the seafarers of the ships operating in polar waters</t>
  </si>
  <si>
    <t>Fund Project: the project of the humanities and social sciences research program for Shandong higher schools - The research on the training of the seafarers of the ships operating in polar waters, No. J16WG47.</t>
  </si>
  <si>
    <t>FRANCIS ACAD PRESS</t>
  </si>
  <si>
    <t>35 IVOR PL, LOWER GROUND, LONDON, NW1 6EA, ENGLAND</t>
  </si>
  <si>
    <t>978-1-912407-22-4</t>
  </si>
  <si>
    <t>Computer Science, Theory &amp; Methods; Engineering, Civil; Management; Operations Research &amp; Management Science</t>
  </si>
  <si>
    <t>Conference Proceedings Citation Index - Science (CPCI-S); Conference Proceedings Citation Index - Social Science &amp; Humanities (CPCI-SSH)</t>
  </si>
  <si>
    <t>Computer Science; Engineering; Business &amp; Economics; Operations Research &amp; Management Science</t>
  </si>
  <si>
    <t>BL7OR</t>
  </si>
  <si>
    <t>WOS:000455264000038</t>
  </si>
  <si>
    <t>Larrue, S; Chadeyron, J; Faucon, F</t>
  </si>
  <si>
    <t>Larrue, Sebastien; Chadeyron, Julien; Faucon, Frederic</t>
  </si>
  <si>
    <t>How to explain naturally treeless islands of Crozet and Saint-Paul (French Southern and Antarctic Lands, Indian Ocean)?</t>
  </si>
  <si>
    <t>CYBERGEO-EUROPEAN JOURNAL OF GEOGRAPHY</t>
  </si>
  <si>
    <t>French</t>
  </si>
  <si>
    <t>biogeography; island; vegetation; physical geography; geohistory</t>
  </si>
  <si>
    <t>GLOBAL PATTERNS; PLANT; DIVERSITY</t>
  </si>
  <si>
    <t>Remote islands of Saint-Paul and Crozet (Indian Ocean) are among the most isolated islands in the world. Neither native trees nor shrubs have been reported on these Subantarctic Islands. Both regular and high wind speed that characterize these southern latitudes are considered the main factor to explain the origin of these treeless islands. However, this explanation seems unlikely because some southern islands in the Roaring Forties harbor many native woody species. In this article, we studied the insular context of Crozet archipelago and Saint-Paul island by means of eight geographic factors compared to 26 other Subantarctic Islands harboring native woody species or not. Factors used as potential predictors that may contribute to the naturally treeless island included island area (km(2)), island elevation (km), mean daily temperature (degrees C) and precipitation (mm), as well as the distance from the nearest continent (km), the distance to the nearest similar island (km), the distance to the Antarctic, and index of isolation (UNEP). Spearman's rank correlation coefficient, stepwise regression analysis and bar diagrams were used to assess the relative influence of these factors on woody native species richness. Results show that the spatial pattern of woody species richness was significantly influenced by mean daily temperature (R-2 = 0.237, P = 0.014) with a threshold of treeless island phenomenon below ca. 6 degrees C. However, seed dispersal abilities of woody southern species could play an important role to explain these naturally treeless islands. Principal Component Analysis (PCA) shows that the treeless phenomenon of Saint Paul cannot be explained by a particular insular context or low temperature. Shrubs were observed in 1626 and 1633 on the island of Saint Paul but volcanic activity in the late 17th century has potentially eliminated native trees on Saint Paul before the first botanical surveys were carried out.</t>
  </si>
  <si>
    <t>[Larrue, Sebastien] UCA, CNRS, UMR 6042, GEOLAB,Dept Geog, F-63057 Clermont Ferrand, France; [Chadeyron, Julien] UCA, Dept Geog, F-63057 Clermont Ferrand, France; [Faucon, Frederic] Univ Clermont Auvergne, Dept Geog, F-63057 Clermont Ferrand, France</t>
  </si>
  <si>
    <t>Centre National de la Recherche Scientifique (CNRS); CNRS - Institute of Ecology &amp; Environment (INEE); Universite Clermont Auvergne (UCA); Universite de Limoges; Universite Clermont Auvergne (UCA)</t>
  </si>
  <si>
    <t>Larrue, S (corresponding author), UCA, CNRS, UMR 6042, GEOLAB,Dept Geog, F-63057 Clermont Ferrand, France.</t>
  </si>
  <si>
    <t>sebastien.larrue@uca.fr; julien.chadeyron@uca.fr; frederic.faucon@uca.fr</t>
  </si>
  <si>
    <t>CYBERGEO</t>
  </si>
  <si>
    <t>PARIS</t>
  </si>
  <si>
    <t>13 RUE DU FOUR, PARIS, 75006, FRANCE</t>
  </si>
  <si>
    <t>1278-3366</t>
  </si>
  <si>
    <t>CyberGeo</t>
  </si>
  <si>
    <t>10.4000/cybergeo.28917</t>
  </si>
  <si>
    <t>Geography</t>
  </si>
  <si>
    <t>HG8GJ</t>
  </si>
  <si>
    <t>WOS:000455237600009</t>
  </si>
  <si>
    <t>van Putten, IE; Plagányi, ÉE; Booth, K; Cvitanovic, C; Kelly, R; Punt, AE; Richards, SA</t>
  </si>
  <si>
    <t>van Putten, Ingrid E.; Plaganyi, Eva E.; Booth, Kate; Cvitanovic, Christopher; Kelly, Rachel; Punt, Andre E.; Richards, Shane A.</t>
  </si>
  <si>
    <t>A framework for incorporating sense of place into the management of marine systems</t>
  </si>
  <si>
    <t>ECOLOGY AND SOCIETY</t>
  </si>
  <si>
    <t>human dimensions; indicators; management; marine environment; place attachment; values</t>
  </si>
  <si>
    <t>PRO-ENVIRONMENTAL BEHAVIOR; ECOSYSTEM SERVICES; CLIMATE-CHANGE; ATTACHMENT; ADAPTATION; INDICATORS; LANDSCAPE; COMMUNITY; CONSERVATION; BIODIVERSITY</t>
  </si>
  <si>
    <t>Successfully managing current threats to marine resources and ecosystems is largely dependent on our ability to understand and manage human behavior. In recent times we have seen increased growth in research to understand the human dimension of marine resource use, and the associated implications for management. However, despite progress to date, marine research and management have until recently largely neglected the critically important role of sense of place, and its role in influencing the success and efficacy of management interventions. To help address this gap we review the existing literature from various disciplines, e.g., environmental psychology, and sectors, both marine and nonmarine sectors, to understand the ways is which sense of place has been conceptualized and measured. Doing so we draw on three key aspects of sense of place, person, place, and process, to establish a framework to help construct a more organized and consistent approach for considering and representing sense of place in marine environmental studies. Based on this we present indicators to guide how sense of place is monitored and evaluated in relation to marine resource management, and identify practical ways in which this framework can be incorporated into existing decision-support tools. This manuscript is a first step toward increasing the extent to which sense of place is incorporated into modeling, monitoring, and management decisions in the marine realm.</t>
  </si>
  <si>
    <t>[van Putten, Ingrid E.; Cvitanovic, Christopher; Punt, Andre E.; Richards, Shane A.] CSIRO Oceans &amp; Atmosphere, Hobart, Tas, Australia; [van Putten, Ingrid E.; Plaganyi, Eva E.; Cvitanovic, Christopher; Kelly, Rachel] Univ Tasmania, Ctr Marine Socioecol, Hobart, Tas, Australia; [Plaganyi, Eva E.] CSIRO Oceans &amp; Atmosphere, Queensland BioSci Precinct QBP, Brisbane, Qld, Australia; [Booth, Kate] Univ Tasmania, Geog &amp; Spatial Sci, Sandy Bay Campus, Hobart, Tas, Australia; [Kelly, Rachel] Inst Marine Antarctic Studies, Hobart, Tas, Australia; [Punt, Andre E.] Univ Washington, Sch Aquat &amp; Fishery Sci, Seattle, WA 98195 USA</t>
  </si>
  <si>
    <t>Commonwealth Scientific &amp; Industrial Research Organisation (CSIRO); University of Tasmania; Commonwealth Scientific &amp; Industrial Research Organisation (CSIRO); University of Tasmania; University of Tasmania; University of Washington; University of Washington Seattle</t>
  </si>
  <si>
    <t>van Putten, IE (corresponding author), CSIRO Oceans &amp; Atmosphere, Hobart, Tas, Australia.;van Putten, IE (corresponding author), Univ Tasmania, Ctr Marine Socioecol, Hobart, Tas, Australia.</t>
  </si>
  <si>
    <t>van putten, ingrid/AAV-1301-2021; Kelly, Rachel/U-8836-2019; Elias, Dereje/GPF-8075-2022; Plaganyi, Eva E/C-5130-2011; Booth, Kate/J-7622-2014</t>
  </si>
  <si>
    <t>van putten, ingrid/0000-0001-8397-9768; Kelly, Rachel/0000-0002-8364-1836; Plaganyi, Eva E/0000-0002-4740-4200; Cvitanovic, Christopher/0000-0002-2565-3396; Richards, Shane/0000-0002-9638-5827; Booth, Kate/0000-0002-3102-6356</t>
  </si>
  <si>
    <t>CSIRO Oceans Atmosphere</t>
  </si>
  <si>
    <t>This research was funded by CSIRO Oceans &amp; Atmosphere. We would also like to thank the project workshop participants who contributed ideas and encouraged this research to be undertaken. We thank two anonymous reviewers for their thorough and insightful comments.</t>
  </si>
  <si>
    <t>RESILIENCE ALLIANCE</t>
  </si>
  <si>
    <t>WOLFVILLE</t>
  </si>
  <si>
    <t>ACADIA UNIV, BIOLOGY DEPT, WOLFVILLE, NS B0P 1X0, CANADA</t>
  </si>
  <si>
    <t>1708-3087</t>
  </si>
  <si>
    <t>ECOL SOC</t>
  </si>
  <si>
    <t>Ecol. Soc.</t>
  </si>
  <si>
    <t>10.5751/ES-10504-230404</t>
  </si>
  <si>
    <t>Ecology; Environmental Studies</t>
  </si>
  <si>
    <t>HG0QS</t>
  </si>
  <si>
    <t>WOS:000454653700029</t>
  </si>
  <si>
    <t>Capotondi, L; Bergami, C; Giglio, F; Langone, L; Ravaioli, M</t>
  </si>
  <si>
    <t>Capotondi, Lucilla; Bergami, Caterina; Giglio, Federico; Langone, Leonardo; Ravaioli, Mariangela</t>
  </si>
  <si>
    <t>Benthic foraminifera distribution in the Ross Sea (Antarctica) and its relationship to oceanography</t>
  </si>
  <si>
    <t>BOLLETTINO DELLA SOCIETA PALEONTOLOGICA ITALIANA</t>
  </si>
  <si>
    <t>Microfauna; Recent Distribution; Ecology; Polar Region</t>
  </si>
  <si>
    <t>CONTINENTAL-SHELF; SOUTHERN-OCEAN; DEEP-WATER; MCMURDO SOUND; WEDDELL SEA; ICE; ECOLOGY; VARIABILITY; CIRCULATION; RETREAT</t>
  </si>
  <si>
    <t>Modern deep-water benthic foraminiferal assemblages were studied from box cores collected in four areas of the Ross Sea, during the oceanographic cruise ANTA05 within the framework of the Italian Antarctic Research National Programme (PNRA). The investigated sites are characterised by different oceanographic settings. Samples from the Drygalski (site BC 33) and Lewis Basins (site BC 22) contain exclusively agglutinants taxa with high abundance of Miliammina arenacea (Chapman, 1916), Trochammina gr., Portatrochammina gr., Lagenammina difflugiformis (Brady, 1879), Recurvoides contortus Earland, 1934 and Reophax gr. On the other hand, samples from the Joides Basin (site BC 01) and from the Pennell Trough (site BC 38) are characterised by a higher species richness and by the presence of calcareous species (Astrononion echolsi Kennett, 1967, Nonionella bradii [Chapman, 1916] and Fursenkoina fusiformis [Williamson, 1858]). The absence of calcareous foraminifera, in the westernmost areas of the Ross Sea, may be attributed to the strong influence of the High Salinity Shelf Waters rich in CO2 and to the presence of a shallow Calcite Compensation Depth. Microfaunal content observed in the Joides Basin (site BC 01) and in the Pennell Trough (site BC 38) is associated to the intrusion of the relatively warm, salty and rich in nutrients Modified Circumpolar Deep Waters. The study highlights that foraminiferal species composition and areal distribution is strongly related to local variation in water mass characteristics and provides evidence on the relationship between Trochammina gr. and biogenic silica content at the seafloor.</t>
  </si>
  <si>
    <t>[Capotondi, Lucilla; Bergami, Caterina; Giglio, Federico; Langone, Leonardo; Ravaioli, Mariangela] CNR, Ist Sci Marine ISMAR, Via Gobetti 101, I-40129 Bologna, Italy</t>
  </si>
  <si>
    <t>Consiglio Nazionale delle Ricerche (CNR); Istituto di Scienze Marine (ISMAR-CNR)</t>
  </si>
  <si>
    <t>Capotondi, L (corresponding author), CNR, Ist Sci Marine ISMAR, Via Gobetti 101, I-40129 Bologna, Italy.</t>
  </si>
  <si>
    <t>lucilla.capotondi@bo.ismar.cnr.it; caterina.bergamiv@bo.ismar.cnr.it; federico.giglio@bo.ismar.cnr.it; leonardo.langone@bo.ismar.cnr.it; mariangela.ravaioli@bo.ismar.cnr.it</t>
  </si>
  <si>
    <t>Bergami, Caterina/F-8888-2016; Lucilla, Capotondi/C-8874-2015</t>
  </si>
  <si>
    <t>Lucilla, Capotondi/0000-0003-3282-7910</t>
  </si>
  <si>
    <t>National Antartic Research Programme (PNRA)</t>
  </si>
  <si>
    <t>The present work is part of the research project ABIOCLEAR (Antarctic BIOgeochemical cycles -Climatic and palEoclimAtic Reconstructions), funded by the National Antartic Research Programme (PNRA). Samples were collected by using the R/V Italica. The studied sites are part of the Italian Long Term Ecological Research (LTER Italia) network. We are grateful to Luciana Ferraro, an anonymous reviewer and to the Editor M.R. Petrizzo, whose valuable comments and suggestions helped us to greatly improve the manuscript. We would like to express our thanks to F. Corticelli for assistance with ESEM imaging. This is contribution number 1971 of CNR-ISMAR of Bologna.</t>
  </si>
  <si>
    <t>SOC PALEONTOLOGICA ITALIANA</t>
  </si>
  <si>
    <t>MODENA</t>
  </si>
  <si>
    <t>C/O E. SERPAGLI, EDITOR, IST DI PALEONTOLOGIA VIA UNIV 4, MODENA, 00000, ITALY</t>
  </si>
  <si>
    <t>0375-7633</t>
  </si>
  <si>
    <t>B SOC PALEONTOL ITAL</t>
  </si>
  <si>
    <t>Boll. Soc. Paleontol. Ital.</t>
  </si>
  <si>
    <t>10.4435/BSPI.2018.12</t>
  </si>
  <si>
    <t>HF8RV</t>
  </si>
  <si>
    <t>WOS:000454510800002</t>
  </si>
  <si>
    <t>Ortega-Ortiz, CD; Gómez-Muñoz, VM; Gendron, D</t>
  </si>
  <si>
    <t>Ortega-Ortiz, Christian D.; Gomez-Munoz, Victor M.; Gendron, Diane</t>
  </si>
  <si>
    <t>Allometry and morphometry of blue whales photographed in the Gulf of California: insights into subspecies taxonomy in the Eastern North Pacific</t>
  </si>
  <si>
    <t>ENDANGERED SPECIES RESEARCH</t>
  </si>
  <si>
    <t>Balaenoptera musculus; Morphometry; Allometry; Caudal peduncle; Aerial photogrammetry; Subspecies</t>
  </si>
  <si>
    <t>BALAENOPTERA-MUSCULUS; CLASS SEGREGATION; SIZE-CLASS; GROWTH; LENGTH</t>
  </si>
  <si>
    <t>The Eastern North Pacific (ENP) blue whale population is considered the most recovered worldwide. Despite this, its subspecies taxonomy is yet to be resolved. A previous morphological analysis using vertical aerial photogrammetry on blue whales from the ENP suggested that they are morphologically similar to the Indian Ocean pygmy blue whale Balaenoptera musculus brevicauda. This subspecies has been discriminated from the Antarctic blue whale B. musculus intermedia by a shorter total length and a proportionally shorter caudal peduncle (from dorsal fin to notch of flukes), a difficult morphological characteristic to measure at sea. In this study, we present allometric and morphometric analyses of the caudal peduncle proportion in relation to total length based on photogrammetric data from whales observed in the Gulf of California, Mexico (a winter ground for the ENP population), to compare with caudal peduncle measurements available from both Southern Hemisphere subspecies. Throughout allometric analysis, the caudal peduncle showed negative growth as the individual got older, indicating that this body part differs according to age-class. Our morphometric analysis indicated that the caudal peduncle proportion of these blue whales was significantly larger than that of the Indian Ocean pygmy blue whale. The integration of our results with the previous photogrammetry study suggests that more than one morphotype inhabits the ENP, and highlights gaps in our knowledge on the taxonomy of these whales. The inexpensive photogrammetric technique used in this study could be easily combined with other studies to better understand and protect these endangered whale populations.</t>
  </si>
  <si>
    <t>[Ortega-Ortiz, Christian D.; Gomez-Munoz, Victor M.; Gendron, Diane] Ctr Interdisciplinario Ciencias Marinas, Inst Politecn Nacl, Ave IPN S-N, La Paz 23096, Baja Calif Sur, Mexico; [Ortega-Ortiz, Christian D.] Univ Colima, Fac Ciencias Marinas, Km 20 Carretera Manzanillo Cihuatlan, Manzanillo 28860, Colima, Mexico</t>
  </si>
  <si>
    <t>Instituto Politecnico Nacional - Mexico; Universidad de Colima</t>
  </si>
  <si>
    <t>Gendron, D (corresponding author), Ctr Interdisciplinario Ciencias Marinas, Inst Politecn Nacl, Ave IPN S-N, La Paz 23096, Baja Calif Sur, Mexico.</t>
  </si>
  <si>
    <t>dianegendroncicimar@gmail.com</t>
  </si>
  <si>
    <t>Gomez-Munoz, Victor Manuel/0000-0002-7577-0996</t>
  </si>
  <si>
    <t>Environmental Flying Services; Whales &amp; Dolphin Conservation Society; CONACYT-SEMARNAT [2002-C01-0628]; CONACYT; PIFI-I.P.N. scholarships</t>
  </si>
  <si>
    <t>Environmental Flying Services; Whales &amp; Dolphin Conservation Society; CONACYT-SEMARNAT(Consejo Nacional de Ciencia y Tecnologia (CONACyT)); CONACYT(Consejo Nacional de Ciencia y Tecnologia (CONACyT)); PIFI-I.P.N. scholarships</t>
  </si>
  <si>
    <t>The authors gratefully acknowledge the contribution of Sandra Lanham, director and pilot of Environmental Flying Services, for her skill in conducting the aerial surveys and funding support, and The Whales &amp; Dolphin Conservation Society and CONACYT-SEMARNAT 2002-C01-0628 for funding these surveys. We also express our gratitude to Patricio Robles Gil for the use of his aerial images, to the independent measurers (A. Ugalde de la Cruz, F. Guerrero de la Rosa, F. Elorriaga and A. Cedeno) and to W. Perryman, J. Calambokidis and T. Branch for their comments on previous reviewed manuscripts. C.D.O.O. acknowledges CONACYT and PIFI-I.P.N. scholarships.</t>
  </si>
  <si>
    <t>1863-5407</t>
  </si>
  <si>
    <t>1613-4796</t>
  </si>
  <si>
    <t>ENDANGER SPECIES RES</t>
  </si>
  <si>
    <t>Endanger. Species Res.</t>
  </si>
  <si>
    <t>10.3354/esr00910</t>
  </si>
  <si>
    <t>Biodiversity Conservation</t>
  </si>
  <si>
    <t>Biodiversity &amp; Conservation</t>
  </si>
  <si>
    <t>HF5UL</t>
  </si>
  <si>
    <t>WOS:000454299500006</t>
  </si>
  <si>
    <t>Capella, JJ; Félix, F; Flórez-González, L; Gibbons, J; Haase, B; Guzman, HM</t>
  </si>
  <si>
    <t>Capella, Juan J.; Felix, Fernando; Florez-Gonzalez, Lilian; Gibbons, Jorge; Haase, Ben; Guzman, Hector M.</t>
  </si>
  <si>
    <t>Geographic and temporal patterns of non-lethal attacks on humpback whales by killer whales in the eastern South Pacific and the Antarctic Peninsula</t>
  </si>
  <si>
    <t>Non-lethal attacks; Eastern South Pacific; Migration; Humpback whale; Megaptera novaeangliae; Killer whale; Orcinus orca; Rake scars</t>
  </si>
  <si>
    <t>SEQUENTIAL MEGAFAUNAL COLLAPSE; ORCINUS-ORCA; MEGAPTERA-NOVAEANGLIAE; NORTH PACIFIC; BALEEN WHALES; MARINE MAMMALS; ROUND-TRIP; PREDATION; PREY; MOVEMENTS</t>
  </si>
  <si>
    <t>The role and impact of killer whales Orcinus orca as predators of baleen whales has been emphasized by studies of humpback whales Megaptera novaeangliae. In this study, rake marks on the fluke were used as a proxy for predatory attacks in a sample of 2909 adult humpback whales and 133 calves from 5 breeding and 2 feeding locations in the eastern South Pacific and the Antarctic Peninsula. The goal of this study was to evaluate how often, at what age, where, and when humpback whales were more susceptible to attacks. Overall, 11.5 % of adults and 19.5 % of calves had rake marks on their flukes. Significant differences were found in the prevalence of scars in calves when comparing breeding (9 %) vs. feeding areas (34 %) (chi(2) = 10.23, p &lt; 0.01). Multi-year sighting analysis of scar acquisition in 120 adults (82 % site fidelity) and 37 calves in the Magellan Strait showed no new marks after the initial sighting for the subsequent 15 yr. This finding indicates that rake marks were most probably acquired when whales were calves, which supports the belief that scar acquisition is a once in a lifetime event. The odds of having rake marks increased with time but with a significantly higher rate in calves (chi(2) = 5.04, p &lt; 0.05), which suggests an increase in predation pressure over time. Our results support the earlier hypothesis that killer whale attacks occur mostly on calves, near breeding sites, and during the first migration to feeding areas.</t>
  </si>
  <si>
    <t>[Capella, Juan J.] Whalesound Ltd, Lautaro Navarro 1163, Punta Arenas 6200000, Chile; [Capella, Juan J.; Florez-Gonzalez, Lilian] Fdn Yubarta, Calle 34 Norte 2EN-55, Cali 760050, Colombia; [Felix, Fernando; Haase, Ben] Museo Ballenas, Av Enriquez Gallo S-N, Salinas, Ecuador; [Felix, Fernando] PUCE, Ave 12 Octubre 1076, Quito, Ecuador; [Gibbons, Jorge] Univ Magallanes, Inst Patagonia, Ave Bulnes 01855, Punta Arenas 6200000, Chile; [Guzman, Hector M.] Smithsonian Trop Res Inst, POB 0843-03092, Panama City, Panama</t>
  </si>
  <si>
    <t>Pontificia Universidad Catolica del Ecuador; Universidad de Magallanes; Smithsonian Institution; Smithsonian Tropical Research Institute</t>
  </si>
  <si>
    <t>Félix, F (corresponding author), Museo Ballenas, Av Enriquez Gallo S-N, Salinas, Ecuador.;Félix, F (corresponding author), PUCE, Ave 12 Octubre 1076, Quito, Ecuador.</t>
  </si>
  <si>
    <t>fefelix90@hotmail.com</t>
  </si>
  <si>
    <t>Félix, Fernando/AGM-2677-2022</t>
  </si>
  <si>
    <t>Guzman, Hector M./0000-0001-9928-8523</t>
  </si>
  <si>
    <t>Whalesound Ltda., Universidad Santo Tomas [INV-5-03-01]; Universidad de Magal lanes [021500]; Agencia Espanola de Cooperacion Internacional y Desarrollo [D/010828/07, D/010828/08]; FONDECYT [029700]; Mineduc (PMI Gaia Antarctica); Corporacion de Fomento de la Produccion (CORFO) from Chile [17PIRE-72232]; Museo Ballenas from Ecuador; Fundacion Yubarta; Colciencias; WWF from Colombia; Smithsonian Tropical Research Institute; Secretaria Nacional de Ciencia, Tecnologia e Innovacion from Panama (SENACYT); International Community Foundation-CANDEO; DEFRA's Darwin Initiative Fund (UK); Heriot-Watt University; Ministerio de Bienes Nacionales, Instituto de Fomento Pesquero (IFOP), Direccion del Territorio Maritimo; Ministerio del Medio Ambiente in Chile; Ministerio del Medio Ambiente y Uni dad Especial de Parques Nacionales in Colombia; Autoridad de Recursos Marinos de Panama and Autoridad Nacional del Ambiente in Panama</t>
  </si>
  <si>
    <t>Whalesound Ltda., Universidad Santo Tomas; Universidad de Magal lanes; Agencia Espanola de Cooperacion Internacional y Desarrollo; FONDECYT(Comision Nacional de Investigacion Cientifica y Tecnologica (CONICYT)CONICYT FONDECYT); Mineduc (PMI Gaia Antarctica); Corporacion de Fomento de la Produccion (CORFO) from Chile; Museo Ballenas from Ecuador; Fundacion Yubarta; Colciencias(Departamento Administrativo de Ciencia, Tecnologia e Innovacion Colciencias); WWF from Colombia; Smithsonian Tropical Research Institute(Smithsonian InstitutionSmithsonian Tropical Research Institute); Secretaria Nacional de Ciencia, Tecnologia e Innovacion from Panama (SENACYT); International Community Foundation-CANDEO; DEFRA's Darwin Initiative Fund (UK); Heriot-Watt University; Ministerio de Bienes Nacionales, Instituto de Fomento Pesquero (IFOP), Direccion del Territorio Maritimo; Ministerio del Medio Ambiente in Chile; Ministerio del Medio Ambiente y Uni dad Especial de Parques Nacionales in Colombia; Autoridad de Recursos Marinos de Panama and Autoridad Nacional del Ambiente in Panama</t>
  </si>
  <si>
    <t>We thank several contributors to institutional catalogs including Natalia Botero, Jessica Falconi, Paulo Simoes, and Alfredo Carrasco. Three anonymous reviewers provided valuable comments to improve this document. Different phases of this long-term study have been supported by Whalesound Ltda., Universidad Santo Tomas (Grant INV-5-03-01), Universidad de Magal lanes (Grant 021500), Agencia Espanola de Cooperacion Internacional y Desarrollo (Grants D/010828/07 and D/010828/08), FONDECYT (Grant 029700), and Mineduc (PMI Gaia Antarctica) and Corporacion de Fomento de la Produccion (CORFO-Grant 17PIRE-72232) from Chile, Museo Ballenas from Ecuador, Fundacion Yubarta, Colciencias, and WWF from Colombia, the Smithsonian Tropical Research Institute and Secretaria Nacional de Ciencia, Tecnologia e Innovacion from Panama (SENACYT), the International Community Foundation-CANDEO, DEFRA's Darwin Initiative Fund (UK), and Heriot-Watt University. Biopsy samples from the Magellan Strait were collected under permit of Subsecretaria de Pesca y Acuicultura, Ministry of Economy of Chile. We also thank the Ministerio de Bienes Nacionales, Instituto de Fomento Pesquero (IFOP), Direccion del Territorio Maritimo, and Ministerio del Medio Ambiente in Chile, Ministerio del Medio Ambiente y Uni dad Especial de Parques Nacionales in Colombia, and Autoridad de Recursos Marinos de Panama and Autoridad Nacional del Ambiente in Panama for support and for facilitating the permits to conduct the studies. Special thanks to Compania Minera del Pacifico for providing field support to some authors and to Catalina Gomez and Ana Pineiro for statistical advice and performing the model analyses.</t>
  </si>
  <si>
    <t>10.3354/esr00924</t>
  </si>
  <si>
    <t>WOS:000454299500008</t>
  </si>
  <si>
    <t>Leroy, EC; Samaran, F; Stafford, KM; Bonnel, J; Royer, JY</t>
  </si>
  <si>
    <t>Leroy, Emmanuelle C.; Samaran, Flore; Stafford, Kathleen M.; Bonnel, Julien; Royer, Jean-Yves</t>
  </si>
  <si>
    <t>Broad-scale study of the seasonal and geographic occurrence of blue and fin whales in the Southern Indian Ocean</t>
  </si>
  <si>
    <t>Pygmy blue whales; Antarctic blue whales; Fin whales; Southern Indian Ocean; Passive acoustic monitoring; Sympatry</t>
  </si>
  <si>
    <t>BALAENOPTERA-MUSCULUS; ACOUSTIC DETECTION; AMBIENT SOUND; PACIFIC; CALLS; SOUTHWEST; CONSERVATION; ANTARCTICA; SEISMICITY; HEMISPHERE</t>
  </si>
  <si>
    <t>The southern Indian Ocean is believed to be a natural territory for blue and fin whales. However, decades after commercial and illegal whaling decimated these populations, little is known about their current status, seasonal habitat or movements. Recent passive acoustic studies have described the presence of 4 acoustic populations of blue whales (Antarctic and 3 'pygmy' types), but are generally limited temporally and geographically. Here, we examine up to 7 yr of continuous acoustic recordings (2010-2016) from a hydrophone network of 6 widely spaced sites in the southern Indian Ocean, looking for the presence of Antarctic and pygmy blue and fin whales. Power spectral density analyses of characteristic and distinct frequency bands of these species show seasonal and geographic differences among the different populations, and the overall patterns for each display interannual consistencies in timing and occurrence. Antarctic blue and fin whales are recorded across the hydrophone network, mainly from austral autumn to spring, with peak intensity in winter. Pygmy blue whales show spatial variation: Madagascan pygmy blue whales are mainly present in the west of the network, while the Australian call type is heard at the eastern sites. Both populations share a common seasonality, with a presence from January to June. Finally, the Sri Lankan call type is recorded only on a single site in the northeast. These results confirm the importance of the southern Indian Ocean for several populations of endangered large whales and present the first long-term assessment of fin whales in the southern Indian Ocean.</t>
  </si>
  <si>
    <t>[Leroy, Emmanuelle C.; Royer, Jean-Yves] Univ Brest, CNRS, IUEM, Lab Geosci Ocean, F-29280 Plouzane, France; [Samaran, Flore; Stafford, Kathleen M.] CNRS, ENSTA Bretagne, Lab STICC, UMR 6285, F-29806 Brest, France; [Stafford, Kathleen M.] Univ Washington, Appl Phys Lab, Seattle, WA 98105 USA; [Bonnel, Julien] Woods Hole Oceanog Inst, Woods Hole, MA 02543 USA</t>
  </si>
  <si>
    <t>Universite de Bretagne Occidentale; Institut Universitaire Europeen de la Mer (IUEM); Centre National de la Recherche Scientifique (CNRS); Centre National de la Recherche Scientifique (CNRS); ENSTA Bretagne; Universite de Bretagne Occidentale; University of Washington; University of Washington Seattle; Woods Hole Oceanographic Institution</t>
  </si>
  <si>
    <t>Leroy, EC (corresponding author), Univ Brest, CNRS, IUEM, Lab Geosci Ocean, F-29280 Plouzane, France.</t>
  </si>
  <si>
    <t>emmanuelle.leroy@unsw.edu.au</t>
  </si>
  <si>
    <t>Royer, Jean-Yves/B-4312-2010; Leroy, Emmanuelle/Q-9995-2019</t>
  </si>
  <si>
    <t>Royer, Jean-Yves/0000-0002-7653-7715; Leroy, Emmanuelle/0000-0002-6469-1758</t>
  </si>
  <si>
    <t>French Polar Institute (IPEV); INSU-CNRS; University of Brest; Regional Council of Brittany (Conseil Regional de Bretagne); Independent Research and Development Program at WHOI</t>
  </si>
  <si>
    <t>French Polar Institute (IPEV); INSU-CNRS(Centre National de la Recherche Scientifique (CNRS)); University of Brest; Regional Council of Brittany (Conseil Regional de Bretagne)(Region Bretagne); Independent Research and Development Program at WHOI</t>
  </si>
  <si>
    <t>The authors thank the captains and crew of RV 'Marion Dufresne' for the successful deployments and recoveries of the hydrophones of the OHASISBIO experiment (http://dx.doi.org/10.18142/229). French cruises were funded by the French Polar Institute (IPEV), with additional support from INSU-CNRS. E.C.L. was supported by a PhD fellowship from the University of Brest and from the Regional Council of Brittany (Conseil Regional de Bretagne). K.M.S. contributed to this paper while staying at the University of Brest as Invited Professor. J.B. acknowledges funding from the Independent Research and Development Program at WHOI. The contribution of Mickael Beauverger at LGO to the logistics and deployment cruises is greatly appreciated.</t>
  </si>
  <si>
    <t>10.3354/esr00927</t>
  </si>
  <si>
    <t>WOS:000454299500015</t>
  </si>
  <si>
    <t>Dodds, K; Hemmings, AD</t>
  </si>
  <si>
    <t>Paasi, A; Harrison, J; Jones, M</t>
  </si>
  <si>
    <t>Dodds, Klaus; Hemmings, Alan D.</t>
  </si>
  <si>
    <t>Arctic and Antarctic regionalism</t>
  </si>
  <si>
    <t>HANDBOOK ON THE GEOGRAPHIES OF REGIONS AND TERRITORIES</t>
  </si>
  <si>
    <t>Research Handbooks in Geography</t>
  </si>
  <si>
    <t>[Dodds, Klaus] Royal Holloway Univ London, Geopolit, Egham, Surrey, England; [Hemmings, Alan D.] Univ Canterbury, Christchurch, New Zealand</t>
  </si>
  <si>
    <t>University of London; Royal Holloway University London; University of Canterbury</t>
  </si>
  <si>
    <t>Dodds, K (corresponding author), Royal Holloway Univ London, Geopolit, Egham, Surrey, England.</t>
  </si>
  <si>
    <t>EDWARD ELGAR PUBLISHING LTD</t>
  </si>
  <si>
    <t>CHELTENHAM</t>
  </si>
  <si>
    <t>THE LYPIATTS, 15 LANSDOWN RD, CHELTENHAM GL50 2JA, GLOS, ENGLAND</t>
  </si>
  <si>
    <t>978-1-78536-580-5; 978-1-78536-579-9</t>
  </si>
  <si>
    <t>RES HBKS GEOGRAPHY</t>
  </si>
  <si>
    <t>10.4337/9781785365805</t>
  </si>
  <si>
    <t>Geography; International Relations</t>
  </si>
  <si>
    <t>BL3MH</t>
  </si>
  <si>
    <t>WOS:000449865900040</t>
  </si>
  <si>
    <t>Li, HJ; Fu, JJ; Pan, WX; Wang, P; Li, YM; Zhang, QH; Wang, YW; Zhang, AQ; Liang, Y; Jiang, GB</t>
  </si>
  <si>
    <t>Li, Huijuan; Fu, Jianjie; Pan, Wenxiao; Wang, Pu; Li, Yingming; Zhang, Qinghua; Wang, Yawei; Zhang, Aiqian; Liang, Yong; Jiang, Guibin</t>
  </si>
  <si>
    <t>Determination of short-chain chlorinated paraffins in multiple matrices of Arctic using gas chromatography-electron capture negative ion-low resolution mass spectrometry</t>
  </si>
  <si>
    <t>METHODSX</t>
  </si>
  <si>
    <t>Accelerated solvent extraction (ASE); Multilayer silica-florisil column; GC-ECNI-MS</t>
  </si>
  <si>
    <t>Gas chromatography-electron capture negative ion-low resolution mass spectrometry (GC-ECNI-MS) was used for the quantification of short-chain chlorinated paraffins (SCCPs) in multiple matrices of Arctic. Samples were spiked with surrogate standards (C-13(10)-trans-chlordane) and extracted with dichloromethane and hexane (1:1, v/v) using accelerated solvent extraction (ASE). The extract was cleaned using a multilayer Silica-Florisil column and E-HCH was added before instrument analysis. The SCCPs were analyzed using a gas chromatograph (GC) in electron capture negative ion (ECNI) mode coupled with a 7000B triple quadruple mass spectrometer (MS) in single quad mode. The calibration is performed using three commercial standards (chlorine contents of 51.5%, 55.5%, and 63.0%). A reasonable linear correlation for commercial standards was found between chlorine content and total response factor (R-2 = 0.96). To ensure instrument sensitivity, the SCCP congeners were divided into four groups by the optimized combinations (C-10, C-11, C-12 and C-13) and subjected to analysis by four individual injections. This method is suited to analyse the total concentration of SCCPs and individual SCCP congener groups in the environmental analysis. Accelerated solvent extraction offers a lower cost of time for per sample and reducing solvent consumption. The presented quantification procedure makes the quantification of SCCPs independent from the chlorine content of the used standard mixtures. The samples were subjected to analysis by four individual injections for the instrument sensitivity, and the total concentration of SCCPs and CP congener groups can be obtained at the same time. (C) 2018 The Authors. Published by Elsevier B.V.</t>
  </si>
  <si>
    <t>[Li, Huijuan] Qilu Univ Technol, Shandong Acad Sci, Key Lab Appl Technol Sophisticated Analyt Instrum, Jinan, Shandong, Peoples R China; [Li, Huijuan; Fu, Jianjie; Pan, Wenxiao; Wang, Pu; Li, Yingming; Zhang, Qinghua; Wang, Yawei; Zhang, Aiqian; Jiang, Guibin] Chinese Acad Sci, State Key Lab Environm Chem &amp; Ecotoxicol, Res Ctr Ecoenvironm Sci, Beijing 100085, Peoples R China; [Li, Huijuan; Zhang, Aiqian] Univ Chinese Acad Sci, Coll Resources &amp; Environm, Beijing 100049, Peoples R China; [Zhang, Aiqian; Liang, Yong] Jianghan Univ, Inst Environm &amp; Hlth, Wuhan 430056, Hubei, Peoples R China</t>
  </si>
  <si>
    <t>Qilu University of Technology; Chinese Academy of Sciences; Research Center for Eco-Environmental Sciences (RCEES); Chinese Academy of Sciences; University of Chinese Academy of Sciences, CAS; Jianghan University</t>
  </si>
  <si>
    <t>Fu, JJ (corresponding author), Chinese Acad Sci, State Key Lab Environm Chem &amp; Ecotoxicol, Res Ctr Ecoenvironm Sci, Beijing 100085, Peoples R China.;Zhang, AQ (corresponding author), Chinese Acad Sci, Res Ctr Ecoenvironm Sci, Beijing 100085, Peoples R China.</t>
  </si>
  <si>
    <t>ldlihuijuan@163.com; jjfu@rcees.ac.cn; wxpan@rcees.ac.cn; puwang@rcees.ac.cn; ymli@rcees.ac.cn; qhzhang@rcees.ac.cn; ywwang@rcees.ac.cn; aqzhang@rcees.ac.cn; ly76@263.net; gbjiang@rcees.ac.cn</t>
  </si>
  <si>
    <t>Yu, Kun/IAP-9807-2023; ZHANG, XUCHEN/KBB-7989-2024; liu, jiajia/IUN-0901-2023; zhang, qinghua/HMP-3611-2023; liu, yuchen/GYQ-6286-2022; liu, jia/HKE-9796-2023; liu, jia/JAC-7852-2023; liu, jiajia/ISS-0316-2023; Li, JW/HNC-1743-2023; Wang, Yawei/C-5628-2015; liu, jiayu/JCP-0511-2023; SUN, YANLING/JTT-9082-2023; Fu, Jianjie/ABI-2640-2020; li, jiawei/HOA-5023-2023; Liu, Jiayu/JCO-5073-2023</t>
  </si>
  <si>
    <t>zhang, qinghua/0000-0002-9707-4051; Wang, Yawei/0000-0002-5300-7121;</t>
  </si>
  <si>
    <t>Chinese Academy of Sciences [XDB14030500]; National Natural Science Foundation [21677168, 21625702, 21277164, 41276195, 21477154]; Chinese Arctic and Antarctic Ministration, the State Oceanic Administration, P.R. China</t>
  </si>
  <si>
    <t>Chinese Academy of Sciences(Chinese Academy of Sciences); National Natural Science Foundation(National Natural Science Foundation of China (NSFC)); Chinese Arctic and Antarctic Ministration, the State Oceanic Administration, P.R. China</t>
  </si>
  <si>
    <t>This study was jointly supported by the Chinese Academy of Sciences, Grant No. XDB14030500, and the National Natural Science Foundation (21677168, 21625702, 21277164, 41276195, 21477154), and Chinese Arctic and Antarctic Ministration, the State Oceanic Administration, P.R. China.</t>
  </si>
  <si>
    <t>2215-0161</t>
  </si>
  <si>
    <t>MethodsX</t>
  </si>
  <si>
    <t>10.1016/j.mex.2018.07.017</t>
  </si>
  <si>
    <t>HF8ZU</t>
  </si>
  <si>
    <t>WOS:000454531500106</t>
  </si>
  <si>
    <t>Hugo-Coetzee, EA; Le Roux, PC</t>
  </si>
  <si>
    <t>Hugo-Coetzee, Elizabeth A.; Le Roux, Peter C.</t>
  </si>
  <si>
    <t>Distribution of microarthropods across altitude and aspect in the sub-Antarctic: climate change implications for an isolated oceanic island</t>
  </si>
  <si>
    <t>ACAROLOGIA</t>
  </si>
  <si>
    <t>Azorella selago; Collembola; Acari; environmental gradients; Prince Edward Islands; species richness; sub-Antarctic</t>
  </si>
  <si>
    <t>EXPERIMENTAL TEMPERATURE ELEVATION; SURFACE-NESTING SEABIRDS; PRINCE-EDWARD-ISLANDS; MARION-ISLAND; SPECIES RICHNESS; TERRESTRIAL ECOSYSTEMS; PLANT INTERACTIONS; INSECT HERBIVORES; AZORELLA-SELAGO; GRADIENT</t>
  </si>
  <si>
    <t>Current climate change is altering the distribution of species across both broad and fine scales. Examining contemporary species distributions along altitudinal gradients is one approach to predicting species future distributions, as species occurrence patterns at cold, high altitudes are expected to resemble the species distribution patterns currently observed at warmer, lower altitudes if warming occurs. Strong changes in climate have been observed in the sub-Antarctic over the last 50 years. with a 1.5 degrees C increase in mean temperature and a c. 30% decrease in mean precipitation recorded on Marion Island. In this study, the distribution patterns of mites and springtails inhabiting the cushion-plant Azorella selago were studied on Marion Island. Mite and springtail species richness and springtail abundance were significantly higher on the western aspect of the island. possibly due to higher rainfall and greater cloud cover on the windward side of the island. Mite abundance did not differ between aspects of the island, which may be due to the higher desiccation tolerance of mites. Mite and springtail species richness and springtail abundance were significantly lower at high altitudes coinciding with lower temperatures and generally harsher environment at higher altitudes. Plant characteristics generally did not contribute to explaining species patterns, suggesting that at the island-scale abiotic variables, rather than biotic factors, appeared to be the more important determinants of community structure. Therefore, despite species responding individualistically, it is clear that a warmer and drier climate will dramatically change the microarthropod community structure within A. selago on Marion Island.</t>
  </si>
  <si>
    <t>[Hugo-Coetzee, Elizabeth A.] Natl Museum, POB 266, Bloemfontein, South Africa; [Hugo-Coetzee, Elizabeth A.] Univ Free State, Dept Zool &amp; Entomol, ZA-9301 Bloemfontein, South Africa; [Hugo-Coetzee, Elizabeth A.] Univ Stellenbosch, ZA-7602 Stellenbosch, South Africa; [Le Roux, Peter C.] Univ Pretoria, Dept Plant &amp; Soil Sci, ZA-0083 Pretoria, South Africa</t>
  </si>
  <si>
    <t>University of the Free State; Stellenbosch University; University of Pretoria</t>
  </si>
  <si>
    <t>Hugo-Coetzee, EA (corresponding author), Natl Museum, POB 266, Bloemfontein, South Africa.;Hugo-Coetzee, EA (corresponding author), Univ Free State, Dept Zool &amp; Entomol, ZA-9301 Bloemfontein, South Africa.;Hugo-Coetzee, EA (corresponding author), Univ Stellenbosch, ZA-7602 Stellenbosch, South Africa.</t>
  </si>
  <si>
    <t>Lhugo@nasmus.co.za</t>
  </si>
  <si>
    <t>le Roux, Peter Christiaan/E-7784-2011</t>
  </si>
  <si>
    <t>le Roux, Peter Christiaan/0000-0002-7941-7444; Hugo-Coetzee, Elizabeth/0000-0003-0525-9049</t>
  </si>
  <si>
    <t>National Research Foundation's South African National Antarctic Programme</t>
  </si>
  <si>
    <t>The National Research Foundation's South African National Antarctic Programme funded this research, while the Department of Environmental Affairs (South Africa) provided logistic support. We thank Prof. M. A. McGeoch (Monash University, Australia) for her substantial contribution to this research.</t>
  </si>
  <si>
    <t>ACAROLOGIA-UNIVERSITE PAUL VALERY</t>
  </si>
  <si>
    <t>MONTPELLIER</t>
  </si>
  <si>
    <t>SERVICES PUBLICATIONS, 17 REU ABBE DE L EPEE, 34090 MONTPELLIER, FRANCE</t>
  </si>
  <si>
    <t>0044-586X</t>
  </si>
  <si>
    <t>2107-7207</t>
  </si>
  <si>
    <t>Acarologia</t>
  </si>
  <si>
    <t>10.24349/acarologia/20184278</t>
  </si>
  <si>
    <t>Entomology</t>
  </si>
  <si>
    <t>HE9LU</t>
  </si>
  <si>
    <t>WOS:000453772600005</t>
  </si>
  <si>
    <t>Schmid, T; Guillaso, S; López-Martínez, J; Nieto, A; Mink, S; Koch, M</t>
  </si>
  <si>
    <t>Schmid, Thomas; Guillaso, Stephane; Lopez-Martinez, Jeronimo; Nieto, Ana; Mink, Sandra; Koch, Magaly</t>
  </si>
  <si>
    <t>ADVANCES IN MAPPING ICE-FREE SURFACES WITHIN THE NORTHERN ANTARCTIC PENINSULA REGION USING POLARIMETRIC RADARSAT-2 DATA</t>
  </si>
  <si>
    <t>IGARSS 2018 - 2018 IEEE INTERNATIONAL GEOSCIENCE AND REMOTE SENSING SYMPOSIUM</t>
  </si>
  <si>
    <t>IEEE International Symposium on Geoscience and Remote Sensing IGARSS</t>
  </si>
  <si>
    <t>38th IEEE International Geoscience and Remote Sensing Symposium (IGARSS)</t>
  </si>
  <si>
    <t>JUL 22-27, 2018</t>
  </si>
  <si>
    <t>Valencia, SPAIN</t>
  </si>
  <si>
    <t>RADARSAT-2; polarimetry; geomorphology; South Shetland Islands; Antarctica</t>
  </si>
  <si>
    <t>Ice-free areas within the Northern Antarctic Peninsula region are of interest for studying changes occurring to surface covers, including those related to glacial coverage, raised beach deposits and periglacial processes and permafrost. The objective of this work is to map the main surface covers within ice-free areas of King George Island, the largest island of the South Shetlands archipelago, using fully polarimetric RADARSAT-2 SAR data. Surface covers such as rock outcrops and glacial till, stone fields, patterned ground, and sand and gravel deposits form the most representative classes and account for 84 km 2 of the ice-free areas on the island. A distribution of complex geomorphological features and landforms was obtained, being some of them considered indicators of periglacial processes and presence of permafrost.</t>
  </si>
  <si>
    <t>[Schmid, Thomas] CIEMAT, Avda Complutense 40, E-28040 Madrid, Spain; [Guillaso, Stephane] GFZ German Res Ctr Geosci, Sect Remote Sensing 1 4, D-14473 Potsdam, Germany; [Lopez-Martinez, Jeronimo; Nieto, Ana; Mink, Sandra] Univ Autonoma Madrid, Fac Ciencias, Dept Geol &amp; Geoquim, E-28049 Madrid, Spain; [Mink, Sandra] Inst Geol &amp; Minero Espana, Rios Rosas 23, Madrid 28003, Spain; [Koch, Magaly] Boston Univ, Ctr Remote Sensing, Boston, MA 02215 USA</t>
  </si>
  <si>
    <t>Centro de Investigaciones Energeticas, Medioambientales Tecnologicas; Helmholtz Association; Helmholtz-Center Potsdam GFZ German Research Center for Geosciences; Autonomous University of Madrid; Boston University</t>
  </si>
  <si>
    <t>Schmid, T (corresponding author), CIEMAT, Avda Complutense 40, E-28040 Madrid, Spain.</t>
  </si>
  <si>
    <t>thomas.schmid@ciemat.es; stephane.guillaso@gfz-potsdam.de; jeronimo.lopez@uam.es; s.mink@igme.es; mkoch@bu.edu</t>
  </si>
  <si>
    <t>Lopez-Martinez, Jeronimo/C-5744-2011; Schmid, Thomas/L-3397-2014; Koch, Magaly/B-3467-2017</t>
  </si>
  <si>
    <t>Lopez-Martinez, Jeronimo/0000-0002-1750-8287; Schmid, Thomas/0000-0002-2849-4730; Koch, Magaly/0000-0002-6186-1619</t>
  </si>
  <si>
    <t>Spanish RD National Plan [CTM2014-57119-R]; Canadian Space Agency [EI-SOAR-5169]; MDA [EI-SOAR-5169]; Chilean Antarctic Institute</t>
  </si>
  <si>
    <t>Spanish RD National Plan(Spanish Government); Canadian Space Agency(Canadian Space Agency); MDA(Muscular Dystrophy Association); Chilean Antarctic Institute</t>
  </si>
  <si>
    <t>This work is supported by Project CTM2014-57119-R of the Spanish R&amp;D National Plan. The Canadian Space Agency and MDA provided the satellite data by means of the Science and Operational Applications Research Program EI-SOAR-5169 project. The authors are very grateful to Dr. Matthias Braun for providing a DEM and boundary maps of King George Island. The authors are also very grateful for the support provided by the Spanish logistic personnel and the Chilean Antarctic Institute.</t>
  </si>
  <si>
    <t>2153-6996</t>
  </si>
  <si>
    <t>978-1-5386-7150-4</t>
  </si>
  <si>
    <t>INT GEOSCI REMOTE SE</t>
  </si>
  <si>
    <t>Engineering, Electrical &amp; Electronic; Geosciences, Multidisciplinary; Remote Sensing</t>
  </si>
  <si>
    <t>Engineering; Geology; Remote Sensing</t>
  </si>
  <si>
    <t>BL4XL</t>
  </si>
  <si>
    <t>WOS:000451039800055</t>
  </si>
  <si>
    <t>Gómez, AT; Heygster, G; Melsheimer, C; Spreen, G</t>
  </si>
  <si>
    <t>Gomez, Arantxa Triana; Heygster, Georg; Melsheimer, Christian; Spreen, Gunnar</t>
  </si>
  <si>
    <t>TOWARDS A MERGED TOTAL WATER VAPOUR RETRIEVAL FROM AMSU-B AND AMSR-E DATA IN THE ARCTIC REGION</t>
  </si>
  <si>
    <t>Precipitable Water; Arctic; passive microwave</t>
  </si>
  <si>
    <t>Accurate water vapour measurements are crucial for a better understanding of Arctic climate change and the global hydrological cycle. In the sparsely observed polar regions, passive microwave satellite-borne sensors allow obtaining the vertically integrated water vapour content of the atmosphere (Total Water Vapour, TWV) with whole Arctic or Antarctic coverage, respectively. However, the available retrievals work only over certain surface types. Over open ocean, microwave imagers like SSM/I, AMSR-2 or AMSRE provide daily precipitable water. Over ice and land surfaces, another method based on data of the microwave humidity sounders AMSU-B and MHS allows TWV retrieval. Here, we aim to merge these complementary TWV retrievals, creating an Arctic-wide daily dataset of 50 km resolution with seamless coverage from the high Arctic to mid latitudes from 2002 to date.</t>
  </si>
  <si>
    <t>[Gomez, Arantxa Triana; Heygster, Georg; Melsheimer, Christian; Spreen, Gunnar] Univ Bremen, Inst Environm Phys, Bremen, Germany</t>
  </si>
  <si>
    <t>University of Bremen</t>
  </si>
  <si>
    <t>Gómez, AT (corresponding author), Univ Bremen, Inst Environm Phys, Bremen, Germany.</t>
  </si>
  <si>
    <t>agomez@iup.physik.uni-bremen.de</t>
  </si>
  <si>
    <t>Spreen, Gunnar/A-4533-2010; amplification, ³ - Arctic/AAU-6640-2020; Heygster, Georg C./B-4928-2014</t>
  </si>
  <si>
    <t>Spreen, Gunnar/0000-0003-0165-8448;</t>
  </si>
  <si>
    <t>NASA AMSR-E Science Team; NASA Earth Science MEaSUREs Program; SFB/TR 172 ArctiC Amplification: Climate Relevant Atmospheric and SurfaCe Processes, and Feedback Mechanisms (AC)3 in sub-project B.05 - Deutsche Forschungsgesellschaft (DFG); EU</t>
  </si>
  <si>
    <t>NASA AMSR-E Science Team; NASA Earth Science MEaSUREs Program; SFB/TR 172 ArctiC Amplification: Climate Relevant Atmospheric and SurfaCe Processes, and Feedback Mechanisms (AC)3 in sub-project B.05 - Deutsche Forschungsgesellschaft (DFG)(German Research Foundation (DFG)); EU(European Union (EU))</t>
  </si>
  <si>
    <t>AMSR data are produced by Remote Sensing Systems and were sponsored by the NASA AMSR-E Science Team and the NASA Earth Science MEaSUREs Program. Data are available at www.remss.com.; The authors want to gratefully acknowledge the support by the SFB/TR 172 ArctiC Amplification: Climate Relevant Atmospheric and SurfaCe Processes, and Feedback Mechanisms (AC)3 in sub-project B.05 funded by the Deutsche Forschungsgesellschaft (DFG) and the EU project INTAROS (INTegrated Artic Observing System(under the H2020-BG-09 call (2016 to 2021).</t>
  </si>
  <si>
    <t>WOS:000451039801250</t>
  </si>
  <si>
    <t>Frost, A; Wiehle, S; Singha, S; Krause, D</t>
  </si>
  <si>
    <t>Frost, Anja; Wiehle, Stefan; Singha, Suman; Krause, Detmar</t>
  </si>
  <si>
    <t>SEA ICE MOTION TRACKING FROM NEAR REAL TIME SAR DATA ACQUIRED DURING ANTARCTIC CIRCUMNAVIGATION EXPEDITION</t>
  </si>
  <si>
    <t>Synthetic Aperture Radar; radar tracking; sea ice; navigation; correlation</t>
  </si>
  <si>
    <t>Synthetic Aperture Radar (SAR) satellites are able to observe small and large scale structures in sea ice - in any weather, through clouds and darkness. In order to assist ship navigation during polar campaigns, we acquired SAR images along the ship course and provided them to navigators on board in near real time, utilizing the operational data processing chain of DLR ground station Neustrelitz. These exclusive acquisitions already helped to optimize the routes. SAR data, however, contain more information that is not easily visible, e.g. information about the local sea ice drift. In this paper, we explore the capabilities of a new software processor that is intended to retrieve high resolution sea ice drift fields from pairs of co-located SAR images, combining TerraSAR-X and Radarsat-2 images. The processor is foreseen to be integrated into the operational data processing chain at DLR ground station network sites.</t>
  </si>
  <si>
    <t>[Frost, Anja; Wiehle, Stefan; Singha, Suman] Deutsch Zentrum Luft &amp; Raumfahrt DLR, Maritime Safety &amp; Secur Lab, Bremen, Germany; [Krause, Detmar] Deutsch Zentrum Luft &amp; Raumfahrt DLR, Natl Ground Segment, Neustrelitz, Germany</t>
  </si>
  <si>
    <t>Helmholtz Association; German Aerospace Centre (DLR); Helmholtz Association; German Aerospace Centre (DLR)</t>
  </si>
  <si>
    <t>Frost, A (corresponding author), Deutsch Zentrum Luft &amp; Raumfahrt DLR, Maritime Safety &amp; Secur Lab, Bremen, Germany.</t>
  </si>
  <si>
    <t>Wiehle, Stefan/0000-0003-1476-6261</t>
  </si>
  <si>
    <t>WOS:000451039802121</t>
  </si>
  <si>
    <t>Gogineni, P; Simpson, CR; Yan, JB; O'Neill, CR; Sood, R; Gurbuz, SZ; Gurbuz, AC</t>
  </si>
  <si>
    <t>Gogineni, Prasad; Simpson, Christopher R.; Yan, Jie-Bang; O'Neill, Charles R.; Sood, Rohan; Gurbuz, Sevgi Z.; Gurbuz, Ali C.</t>
  </si>
  <si>
    <t>A CubeSat Train for Radar Sounding and Imaging of Antarctic Ice Sheet</t>
  </si>
  <si>
    <t>CubeSat; Satellite formation; cryosphere; sounding; imaging; Antarctica</t>
  </si>
  <si>
    <t>In spite of more than 50 years of airborne radar soundings of Antarctic ice by the international community, there are still large gaps in ice thickness data. We propose a CubeSat satellite mission for complete sounding and imaging of Antarctica with 50 CubeSats integrated with a VHF radar system to sound the ice and image the ice-bed. One of the major challenges in orbital sounding of ice is off-vertical surface clutter that masks weak ice-bed echoes. We must obtain fine resolution both in the along track and cross track directions to reduce surface clutter. We can obtain fine resolution in the along track direction by synthesizing a large aperture by taking advantage of the forward motion of a satellite. However, we need a large antenna-array to obtain fine resolution in the cross track direction. We propose a train of 50 CubeSats with optimized offset position to obtain a 500-m long aperture and also coherently combine data from multiple passes of the train to obtain a very large aperture of 1-2 km in the cross track direction. Our initial analysis shows that we can obtain measurements with horizontal resolution of about 200 m and vertical resolution of about 20 m. The CubeSat will carry a transmitter and receiver with peak transmit power of about 50 W. We will synchronize all transmitters and receivers with a Ka-band system that serves as a communication link between the earth and Cubesats to downlink data and as command and control for the CubeSats.</t>
  </si>
  <si>
    <t>[Gogineni, Prasad; Yan, Jie-Bang; Gurbuz, Sevgi Z.; Gurbuz, Ali C.] Univ Alabama, Dept Elect &amp; Comp Engn, Tuscaloosa, AL 35401 USA; [Simpson, Christopher R.; O'Neill, Charles R.; Sood, Rohan] Univ Alabama, Dept Aerosp Engn &amp; Mech, Tuscaloosa, AL 35401 USA</t>
  </si>
  <si>
    <t>University of Alabama System; University of Alabama Tuscaloosa; University of Alabama System; University of Alabama Tuscaloosa</t>
  </si>
  <si>
    <t>Gogineni, P (corresponding author), Univ Alabama, Dept Elect &amp; Comp Engn, Tuscaloosa, AL 35401 USA.</t>
  </si>
  <si>
    <t>Sood, Rohan/HPE-3699-2023; Gurbuz, Ali Cafer/AAB-5330-2020; Gurbuz, Sevgi Zubeyde/I-6578-2016</t>
  </si>
  <si>
    <t>Sood, Rohan/0000-0002-7415-5131; Gurbuz, Ali Cafer/0000-0001-8923-0299; Gurbuz, Sevgi Zubeyde/0000-0001-7487-9087; Simpson, Christopher/0000-0002-1441-2255</t>
  </si>
  <si>
    <t>WOS:000451039804027</t>
  </si>
  <si>
    <t>Dall, J; Corr, HFJ; Walker, N; Rommen, B; Lin, CC</t>
  </si>
  <si>
    <t>Dall, Jorgen; Corr, Hugh F. J.; Walker, Nick; Rommen, Bjorn; Lin, Chung-Chi</t>
  </si>
  <si>
    <t>Sounding the Antarctic ice sheet from space: a feasibility study based on airborne P-band radar data</t>
  </si>
  <si>
    <t>Radar; ice sheets; Antarctica; sounding; electromagnetic model; P-band; satellite</t>
  </si>
  <si>
    <t>ATTENUATION</t>
  </si>
  <si>
    <t>Space-based radio echo sounding of the continental ice sheets can potentially provide full coverage with uniform sampling and data quality as well as detection of change in environmentally sensitive areas. This paper addresses the feasibility of sounding the Antarctic ice sheets with a space-based P-band radar. The assessment firstly makes use of an electromagnetic model of the ice sheets where the key model parameters are determined from data that have been acquired in Antarctica with an airborne P-band ice sounding radar. The performance of a space-based radar with a nadir-looking geometry but otherwise similar to ESA's Biomass SAR, is then simulated for a set of Antarctic scenarios that are defined based on the statistics of key ice regions. It is found that in about 2/3 of the simulation scenarios clutter and/or thermal noise will obscure the echo from the ice bed.</t>
  </si>
  <si>
    <t>[Dall, Jorgen] Tech Univ Denmark, Lyngby, Denmark; [Corr, Hugh F. J.] British Antarctic Survey, Cambridge, England; [Walker, Nick] eOsphere Ltd, Didcot, Oxon, England; [Rommen, Bjorn; Lin, Chung-Chi] European Space Agcy, Estec, Noordwijk, Netherlands</t>
  </si>
  <si>
    <t>Technical University of Denmark; UK Research &amp; Innovation (UKRI); Natural Environment Research Council (NERC); NERC British Antarctic Survey; European Space Agency</t>
  </si>
  <si>
    <t>Dall, J (corresponding author), Tech Univ Denmark, Lyngby, Denmark.</t>
  </si>
  <si>
    <t>Corr, Hugh/C-5398-2011; Dall, Jorgen/E-8947-2018</t>
  </si>
  <si>
    <t>Dall, Jorgen/0000-0002-3873-1074</t>
  </si>
  <si>
    <t>NERC [bas0100034] Funding Source: UKRI</t>
  </si>
  <si>
    <t>WOS:000451039804028</t>
  </si>
  <si>
    <t>Arenas-Pingarron, A; Brennan, PV; Corr, H</t>
  </si>
  <si>
    <t>Arenas-Pingarron, Alvaro; Brennan, Paul V.; Corr, Hugh</t>
  </si>
  <si>
    <t>REFRACTION ANGLE CALCULATION IN MULTILAYERED ICE FOR WIDE-BEAM AIRBORNE RADAR</t>
  </si>
  <si>
    <t>Back-projection; radar; refraction; SAR; Snell's law</t>
  </si>
  <si>
    <t>We propose an algorithm to calculate the refraction path travelled by a signal from a source to a remote scatterer, through a horizontally parallel multilayer medium with vertical-varying refractive index. The exact solution in a simple two-layered medium requires solving a degree-4 polynomial according to Snell's law, meaning a time-demanding solution. For narrow-beam sources a small-angle approximation is commonly used. In this new technique, we transformed the governing equations until the system can be solved by intersection of two curves. As these are monotonic with opposite slope, the crossing point can be estimated by iteration, with a minimum search algorithm. This method has been applied to focus synthetic aperture radar images of the Antarctic bedrock, improving the detected response in the wide-beam case, and reducing time regarding to compute the polynomial solution.</t>
  </si>
  <si>
    <t>[Arenas-Pingarron, Alvaro; Brennan, Paul V.] UCL, Dept Elect &amp; Elect Engn, London WC1E 7JE, England; [Corr, Hugh] British Antarctic Survey, Madingley Rd, Cambridge CB3 0ET, England</t>
  </si>
  <si>
    <t>University of London; University College London; UK Research &amp; Innovation (UKRI); Natural Environment Research Council (NERC); NERC British Antarctic Survey</t>
  </si>
  <si>
    <t>Arenas-Pingarron, A (corresponding author), UCL, Dept Elect &amp; Elect Engn, London WC1E 7JE, England.</t>
  </si>
  <si>
    <t>Corr, Hugh/C-5398-2011</t>
  </si>
  <si>
    <t>Arenas Pingarron, Alvaro/0000-0001-9623-9937</t>
  </si>
  <si>
    <t>WOS:000451039804029</t>
  </si>
  <si>
    <t>Li, B; Wang, ZM; An, JC; Zhou, CX; Chen, YM</t>
  </si>
  <si>
    <t>Li, Bing; Wang, Zemin; An, Jiachun; Zhou, Chunxia; Chen, Yiming</t>
  </si>
  <si>
    <t>A NEW FARADAY ROTATION ESTIMATOR BASED ON POLARIMETRIC COHERENCY MATRIX AND ITS EFFECT ON SEA ICE</t>
  </si>
  <si>
    <t>Ionospheric effects; faraday rotation (FR); estimation; polarimetric SAR; sea ice</t>
  </si>
  <si>
    <t>The influence of the ionosphere on spaceborne SAR signals can be significant, predominantly at the L-band and lower frequencies. In particular, low band polarimetric SAR's applications are mainly limited by Faraday rotation (FR) effects. In this paper a new FR estimator is proposed from linearly polarized coherency matrix data and validated by ALOS PALSAR full-pol data processing. FR angles computed by the new estimator are in good consistent with FR angles computed by physical model. The estimator is also used to assess the impact on sea ice. The results show that a FR value exceeding 2 degrees could reduce the accuracy of geophysical parameter recovery of sea ice in the cross-polarized channels.</t>
  </si>
  <si>
    <t>[Li, Bing; Wang, Zemin; An, Jiachun; Zhou, Chunxia; Chen, Yiming] Wuhan Univ, Chinese Antarctic Ctr Surveying &amp; Mapping, Wuhan 430079, Hubei, Peoples R China</t>
  </si>
  <si>
    <t>Wuhan University</t>
  </si>
  <si>
    <t>Wang, ZM (corresponding author), Wuhan Univ, Chinese Antarctic Ctr Surveying &amp; Mapping, Wuhan 430079, Hubei, Peoples R China.</t>
  </si>
  <si>
    <t>zmwang@whu.edu.cn</t>
  </si>
  <si>
    <t>ZeMin, Wang/AAU-3422-2020; Li, bo/IWL-9318-2023; li, bing/GWQ-9617-2022; Li, Ye/JBS-2949-2023; An, Jiachun/ABG-4275-2020</t>
  </si>
  <si>
    <t>National Natural Science Foundation of China [41776195]; Wuhan University Graduate Exchange Program for International Conference</t>
  </si>
  <si>
    <t>National Natural Science Foundation of China(National Natural Science Foundation of China (NSFC)); Wuhan University Graduate Exchange Program for International Conference</t>
  </si>
  <si>
    <t>The authors gratefully acknowledge the Alaska Satellite Facility (ASF) for providing the data. This work was supported by the National Natural Science Foundation of China (Grant No. 41776195) and the Wuhan University Graduate Exchange Program for International Conference.</t>
  </si>
  <si>
    <t>WOS:000451039804133</t>
  </si>
  <si>
    <t>Xie, H; Du, WJ; Chen, L; Hai, G; Zhang, SS; Chen, JJ; Tian, YX; Liu, SJ; Tong, XH; Li, RX</t>
  </si>
  <si>
    <t>Xie, Huan; Du, Wenjia; Chen, Lei; Hai, Gang; Zhang, Shanshan; Chen, Jiajin; Tian, Yixiang; Liu, Shijie; Tong, Xiaohua; Li, Rongxing</t>
  </si>
  <si>
    <t>LONG TERM ELEVATION CHANGE MONITORING OF ANTARCTIC ICE SHEET BY COMBINING ICESAT, ENVISAT AND CRYOSAT-2 DATA</t>
  </si>
  <si>
    <t>ICESat; Envisat; Croysat-2; Antarctica; ice sheet; elevation change</t>
  </si>
  <si>
    <t>SEA-LEVEL RISE; SHELVES; GRAVITY; VOLUME</t>
  </si>
  <si>
    <t>A long term assessment of the Antarctic ice sheet elevation change trend from 2003 to 2016 has been carried out using a combination of ICESat (2003-2008), Envisat (2003-2008) and CryoSat-2 (2010-2016). The contemporaneous ICESat and Envisat results showed a consistency in the estimated elevation change rate of Antarctica during 2003 to 2008: 0.1 +/- 0.1 cm a(-1) to 0.3 +/- 0.6 cm a(-1), respectively, which were then combined as the overall elevation change of Antarctica during 2003 to 2008. The recent CryoSat-2 result suggested an overall elevation change rate of Antarctic ice sheet of from 2010 to 2016. Furthermore, the elevation change of East Antarctica is relatively small, while West Antarctica appears to have an elevation decrease trend. The above is based on our preliminary data processing and analysis results. The high uncertainties in Basin 15 and Antarctic Peninsula need to be further investigated. We will report our improved results at the conference.</t>
  </si>
  <si>
    <t>[Xie, Huan; Du, Wenjia; Chen, Lei; Hai, Gang; Zhang, Shanshan; Chen, Jiajin; Tian, Yixiang; Liu, Shijie; Tong, Xiaohua; Li, Rongxing] Tongji Univ, Ctr Spatial Informat Sci &amp; Sustainable Dev, Coll Surveying &amp; Geoinformat, 1239 Siping Rd, Shanghai 200092, Peoples R China</t>
  </si>
  <si>
    <t>Tongji University</t>
  </si>
  <si>
    <t>Xie, H (corresponding author), Tongji Univ, Ctr Spatial Informat Sci &amp; Sustainable Dev, Coll Surveying &amp; Geoinformat, 1239 Siping Rd, Shanghai 200092, Peoples R China.</t>
  </si>
  <si>
    <t>xie, huan/GQQ-4398-2022; Zhang, shanshan/HLP-6320-2023; Zhang, Shuo/IUO-8909-2023</t>
  </si>
  <si>
    <t>National Key Research and Development Program of China [2017YFA0603102, 2017YFB0502903]; National Natural Science Foundation of China [41571407, 41631178]; Shanghai Rising-Star Program [15QA1403700]; Fundamental Research Funds for the Central Universities</t>
  </si>
  <si>
    <t>National Key Research and Development Program of China; National Natural Science Foundation of China(National Natural Science Foundation of China (NSFC)); Shanghai Rising-Star Program; Fundamental Research Funds for the Central Universities(Fundamental Research Funds for the Central Universities)</t>
  </si>
  <si>
    <t>The research work described in this paper was substantially supported by the National Key Research and Development Program of China (Project Nos. 2017YFA0603102 and 2017YFB0502903), the National Natural Science Foundation of China (Project No. 41571407 and 41631178), the Shanghai Rising-Star Program (Project No. 15QA1403700), and the Fundamental Research Funds for the Central Universities.</t>
  </si>
  <si>
    <t>WOS:000451039805013</t>
  </si>
  <si>
    <t>Abe, T; Ohki, M; Tadono, T</t>
  </si>
  <si>
    <t>Abe, Takahiro; Ohki, Masato; Tadono, Takeo</t>
  </si>
  <si>
    <t>OBSERVATION OF HUGE ICEBERG DETACHMENT FROM LARSEN-C ICE SHELF IN ANTARCTIC PENINSULA BY ALOS-2/PALSAR-2</t>
  </si>
  <si>
    <t>Larsen-C Ice Shelf; Iceberg; Calving; Antarctic Peninsula; ALOS-2; ALOS</t>
  </si>
  <si>
    <t>Ice shelves have a key role to assess mass balance in Antarctic Ice Sheet and its contribution to global sea-level rise. On July 12 2017, a large iceberg separated from Larsen-C Ice Shelf in Antarctic Peninsula, which lost greater than 12% of total ice mass. We use ALOS-2/PALSAR-2 ScanSAR images to capture the overall picture of this event and to understand what happens to Larsen-C. ALOS-2 images reveal that the iceberg has been gradually moved toward sea, sometimes affected by sea ice motion. The ALOS and ALOS-2 images show that the ice front has been advancing by similar to 8 km in the last 10 years. The interferometric coherence analysis reveals that there are some cracks on the ice shelf despite not seen in the intensity images. The distribution of the cracks derived from the coherence can be useful to assess the instability of Larsen-C.</t>
  </si>
  <si>
    <t>[Abe, Takahiro; Ohki, Masato; Tadono, Takeo] Japan Aerosp Explorat Agcy, Earth Observat Res Ctr, Chofu, Tokyo, Japan</t>
  </si>
  <si>
    <t>Japan Aerospace Exploration Agency (JAXA)</t>
  </si>
  <si>
    <t>Abe, T (corresponding author), Japan Aerosp Explorat Agcy, Earth Observat Res Ctr, Chofu, Tokyo, Japan.</t>
  </si>
  <si>
    <t>WOS:000451039805014</t>
  </si>
  <si>
    <t>Schmid, T; López-Martínez, J; Nieto, A; Pelayo, M; Guillaso, S</t>
  </si>
  <si>
    <t>Schmid, Thomas; Lopez-Martinez, Jeronimo; Nieto, Ana; Pelayo, Marta; Guillaso, Stephane</t>
  </si>
  <si>
    <t>USING REFLECTANCE SPECTROSCOPY TO CHARACTERIZE SURFACE LANDFORMS AND VOLCANIC DEPOSITS ON DECEPTION ISLAND (ANTARCTICA)</t>
  </si>
  <si>
    <t>Reflectance spectra; geomorphology; volcanic deposits; spectral library; multispectral; South Shetland Islands</t>
  </si>
  <si>
    <t>Deception Island is an active volcano in the Antarctic Peninsula region, affected by different geomorphological processes interacting to form a complex mosaic of landforms and deposits. The use of visible near infrared reflectance is an ideal tool for characterizing and monitoring surface covers and substrates. The objective of this work was to use reflectance spectroscopy to identify spectral characteristics of surface covers related to different volcanic deposits in ice-free areas of Deception Island, South-Shetland Islands. A site specific spectral library containing 220 reference spectra was compiled. Image-derived spectra from multispectral satellite data were easily labeled using the reference spectra. A preliminary distribution has distinguished five different deposit types over the entire area of Deception Island.</t>
  </si>
  <si>
    <t>[Schmid, Thomas; Pelayo, Marta] CIEMAT, Avda Complutense 40, E-28040 Madrid, Spain; [Lopez-Martinez, Jeronimo; Nieto, Ana] Univ Autonoma Madrid, Fac Ciencias, Dept Geol &amp; Geoquim, E-28049 Madrid, Spain; [Guillaso, Stephane] GFZ German Res Ctr Geosci, Sect Remote Sensing 1 4, Telegrafenberg, D-14473 Potsdam, Germany</t>
  </si>
  <si>
    <t>Centro de Investigaciones Energeticas, Medioambientales Tecnologicas; Autonomous University of Madrid; Helmholtz Association; Helmholtz-Center Potsdam GFZ German Research Center for Geosciences</t>
  </si>
  <si>
    <t>thomas.schmid@ciemat.es; jeronimo.lopez@uam.es; stephane.guillaso@gfz-potsdam.de</t>
  </si>
  <si>
    <t>Lopez-Martinez, Jeronimo/C-5744-2011; Schmid, Thomas/L-3397-2014; Pelayo Bayon, Marta/L-4861-2014</t>
  </si>
  <si>
    <t>Lopez-Martinez, Jeronimo/0000-0002-1750-8287; Schmid, Thomas/0000-0002-2849-4730; Pelayo Bayon, Marta/0000-0002-8589-2882</t>
  </si>
  <si>
    <t>Spanish RD National Plan [CTM2014-57119-R]</t>
  </si>
  <si>
    <t>Spanish RD National Plan(Spanish Government)</t>
  </si>
  <si>
    <t>This work is supported by Project CTM2014-57119-R of the Spanish R&amp;D National Plan. The authors are very grateful to Dr. T. O'Neill, Dr. B. Oliva-Urcia and Dr. L.J. Lamban for their participation in the fieldwork as well as the support provided by the logistic personnel of the Spanish Station Gabriel de Castilla.</t>
  </si>
  <si>
    <t>WOS:000451039805090</t>
  </si>
  <si>
    <t>Heuzé, C; Aldenhoff, W</t>
  </si>
  <si>
    <t>Heuze, Celine; Aldenhoff, Wiebke</t>
  </si>
  <si>
    <t>Near-Real Time Detection of the Re-Opening of the Weddell Polynya, Antarctica, from Spaceborne Infrared Imagery</t>
  </si>
  <si>
    <t>OCEAN DEEP CONVECTION</t>
  </si>
  <si>
    <t>A hole in the Antarctic sea ice cover, the Weddell Polynya, unexpectedly re-opened in winter 2017 for the first time since 1976. Models suggest that the polynya opened because warm oceanic water moved up to the surface, melting the ice from below. Here three temperature thresholds applied to near-hourly spaceborne infrared imagery (AVHRR) successfully detect the appearance of a warm spot up to five days before the polynya opened in June and September 2017. Traditional sea ice concentration and thickness criteria could only detect the polynya once it was open. An automatised warning system, using near-real time passive monitoring of warm spots, would allow researchers to reroute vessels or autonomous sensors in order to finally study the polynya as a whole when it opens again, from its preconditioning to its impacts on the climate system.</t>
  </si>
  <si>
    <t>[Heuze, Celine] Univ Gothenburg, Dept Marine Sci, Gothenburg, Sweden; [Aldenhoff, Wiebke] Chalmers Univ Technol, Dept Space Earth &amp; Environm, Gothenburg, Sweden</t>
  </si>
  <si>
    <t>University of Gothenburg; Chalmers University of Technology</t>
  </si>
  <si>
    <t>Heuzé, C (corresponding author), Univ Gothenburg, Dept Marine Sci, Gothenburg, Sweden.</t>
  </si>
  <si>
    <t>celine.heuze@marine.gu.se; wiebke.aldenhoff@chalmers.se</t>
  </si>
  <si>
    <t>Heuzé, Céline/U-5058-2017</t>
  </si>
  <si>
    <t>Heuzé, Céline/0000-0002-8850-5868</t>
  </si>
  <si>
    <t>VINNMER Marie Curie Cofund initiative [2015-01487, 140/13]</t>
  </si>
  <si>
    <t>VINNMER Marie Curie Cofund initiative</t>
  </si>
  <si>
    <t>The authors would like to thank the VINNMER Marie Curie Cofund initiative (Dnr. 2015-01487) and the Swedish National SpaceBoard (Dnr. 140/13) for their funding.</t>
  </si>
  <si>
    <t>WOS:000451039805115</t>
  </si>
  <si>
    <t>Singha, S</t>
  </si>
  <si>
    <t>Singha, Suman</t>
  </si>
  <si>
    <t>POTENTIAL OF COMPACT POLARIMETRY FOR OPERATIONAL SEA ICE MONITORING OVER ARCTIC AND ANTARCTIC REGION</t>
  </si>
  <si>
    <t>Sea Ice; Feature Extraction; SAR; Compact Pol; RISAT-1</t>
  </si>
  <si>
    <t>SAR Polarimetry has become a valuable tool in spaceborne SAR based sea ice analysis. The two major objectives in SAR based remote sensing of sea ice is on the one hand to have a large coverage of the imaged ground area, and on the other hand to obtain a radar response that carries as much information as possible. Whereas single-polarimetric acquisitions of existing sensors offer a wide coverage on the ground, dual polarimetric, or even better fully polarimetric data offer a higher information content which allows for a more reliable automated sea ice analysis. In order to reconcile the advantages of fully polarimetric acquisitions with the higher ground coverage of acquisitions with fewer polarimetric channels, compact polarimetric acquisitions offer a trade-off between the mentioned objectives. With the advent of the RISAT-1 satellite platform, we are able to explore the potential of compact polarimteric acquisitions for sea ice analysis and classification in operational environment. Our algorithmic approach for an automated sea ice classification consists of two steps. In the first step, we perform a feature extraction procedure. The resulting feature vectors are then ingested into a trained neural network classifier to arrive at a pixelwise supervised classification. We present our results on datasets acquired over both Arctic and Antarctic sea ice.</t>
  </si>
  <si>
    <t>[Singha, Suman] German Aerosp Ctr DLR, Maritime Safety &amp; Secur Lab, Remote Sensing Technol Inst, Heinrich Focke Str 4, D-28199 Bremen, Germany</t>
  </si>
  <si>
    <t>Helmholtz Association; German Aerospace Centre (DLR)</t>
  </si>
  <si>
    <t>Singha, S (corresponding author), German Aerosp Ctr DLR, Maritime Safety &amp; Secur Lab, Remote Sensing Technol Inst, Heinrich Focke Str 4, D-28199 Bremen, Germany.</t>
  </si>
  <si>
    <t>Suman.Singha@dlr.de</t>
  </si>
  <si>
    <t>WOS:000451039806210</t>
  </si>
  <si>
    <t>Angelliaume, S; Dubois-Fernandez, P; Jones, CE; Holt, B; Minchew, B; Amri, E; Miegebielle, V</t>
  </si>
  <si>
    <t>Angelliaume, Sebastien; Dubois-Fernandez, Pascale; Jones, Cathleen E.; Holt, Benjamin; Minchew, Brent; Amri, Emna; Miegebielle, Veronique</t>
  </si>
  <si>
    <t>OIL SLICK DETECTION IN THE OFFSHORE DOMAIN: EVALUATION OF POLARIZATION-DEPENDENT SAR PARAMETERS</t>
  </si>
  <si>
    <t>SAR; radar; polarization; detection; NESZ; noise floor; noise; ocean; sea; oil; spill; slick; marine pollution; ROC curves; probability of detection; probability of false alarm</t>
  </si>
  <si>
    <t>POLARIMETRIC SAR; SPILL DETECTION; IMAGES</t>
  </si>
  <si>
    <t>Remote sensing technology is an essential link in the global monitoring of the ocean surface and radars are efficient sensors for detecting marine pollution. When used operationally, a tradeoff must usually be made between the covered area and the quantity of information collected by the radar. To identify the most appropriate imaging mode, a methodology based on Receiver Operating Characteristic (ROC) curve analysis has been applied to an original dataset collected by an airborne system, SETHI, characterized by a very low instrument noise floor. The dataset was acquired during an oil spill clean-up exercise carried out in 2015 in the North Sea. Various polarization-dependent quantities are investigated and a relative ordering of the main polarimetric parameters is reported. VV offers the best tradeoff between the benefit of detection performance and the instrument and data requirements. When the sensor has a sufficiently low noise floor, HV is also recommended because it provides strong slick-sea contrast. Among all the investigated quad-polarimetric settings, no significant added value compared to single-polarized data was found.</t>
  </si>
  <si>
    <t>[Angelliaume, Sebastien; Dubois-Fernandez, Pascale; Amri, Emna] Off Natl Etud &amp; Rech Aerosp, Dept Electromagnet &amp; Radar, BA701, F-13661 Salon Air, France; [Jones, Cathleen E.; Holt, Benjamin] CALTECH, Jet Prop Lab, 4800 Oak Grove Dr, Pasadena, CA 91125 USA; [Minchew, Brent] British Antarctic Survey, Madingley Rd, Cambridge CB3 0ET, England; [Miegebielle, Veronique] CSTJF, TOTAL, Ave Larribau, F-64018 Pau, France</t>
  </si>
  <si>
    <t>California Institute of Technology; National Aeronautics &amp; Space Administration (NASA); NASA Jet Propulsion Laboratory (JPL); UK Research &amp; Innovation (UKRI); Natural Environment Research Council (NERC); NERC British Antarctic Survey; Total SA; Centre Scientifique et Technique Jean Feger (CSTJF)</t>
  </si>
  <si>
    <t>Angelliaume, S (corresponding author), Off Natl Etud &amp; Rech Aerosp, Dept Electromagnet &amp; Radar, BA701, F-13661 Salon Air, France.</t>
  </si>
  <si>
    <t>AMRI, Emna/AAS-8786-2021; Jones, Cathleen/IXD-9075-2023</t>
  </si>
  <si>
    <t>French National Research Agency (ANR) [ANR-13-ECOT-007]; TOTAL (the French petroleum company); ONERA (the French Aerospace Lab)</t>
  </si>
  <si>
    <t>French National Research Agency (ANR)(Agence Nationale de la Recherche (ANR)Norwegian Agency for Development Cooperation - NORAD); TOTAL (the French petroleum company)(Total SA); ONERA (the French Aerospace Lab)</t>
  </si>
  <si>
    <t>Research presented in this paper is part of the POLLUPROOF research program (ANR-13-ECOT-007) funded by the French National Research Agency (ANR) as well as the NAOMI (New Advanced Observation Method Integration) project, a common research program between TOTAL (the French petroleum company) and ONERA (the French Aerospace Lab).</t>
  </si>
  <si>
    <t>WOS:000451039807176</t>
  </si>
  <si>
    <t>Nghiem, S; Busche, T; Kraus, T; Bachmann, M; Kurtz, N; Sonntag, J; Woods, J; Ackley, S; Xie, HJ; Maksym, T; Tinto, K; Rack, W; Langhorne, P; Haas, C; Panowicz, C; Rigor, I; Morin, P; Nguyen, L; Neumann, G</t>
  </si>
  <si>
    <t>Nghiem, Son; Busche, Thomas; Kraus, Thomas; Bachmann, Markus; Kurtz, Nathan; Sonntag, John; Woods, John; Ackley, Stephen; Xie, Hongjie; Maksym, Ted; Tinto, Kirsteen; Rack, Wolfgang; Langhorne, Pat; Haas, Christian; Panowicz, Caryn; Rigor, Ignatius; Morin, Paul; Nguyen, Lisa; Neumann, Gregory</t>
  </si>
  <si>
    <t>REMOTE SENSING OF ANTARCTIC SEA ICE WITH COORDINATED AIRCRAFT AND SATELLITE DATA ACQUISITIONS</t>
  </si>
  <si>
    <t>Antarctic sea ice; SAR; TanDEM-X; Sentinel-1; RADARSAT-2; OIB; IcePOD; WorldView</t>
  </si>
  <si>
    <t>Remote sensing of Antarctic sea ice is required to characterize properties of the vast sea ice cover to understand its long-term increase in contrast to the decrease of Arctic sea ice. For this objective, the OIB/TanDEM-X Coordinated Science Campaign (OTASC) was successfully conducted in 2017 to obtain contemporaneous and collocated remote sensing data from NASA's Operation IceBridge (OIB) and the German Aerospace Center (DLR) TanDEM-X Synthetic Aperture Radar (SAR) system at X band together with Sentinel-1 and RADARSAT-2 SARs at C band in conjunction with WorldView satellite spectral sensors, surface measurements, and field observations. The Weddell Sea and the Ross Sea were two primary regions while SAR data were also collected over six other regions in the Southern Ocean. Satellite SAR data included both polarimetric and interferometric capabilities to infer snow and sea ice information in three dimensions (3D), while OIB/P-3 aircraft data include snow radar together with altimeter data for snow and sea ice observations in 3D over the Weddell Sea. Across the Ross Sea, IcePOD and AntNZ/York-University flights were carried out together with satellite SAR data acquisitions.</t>
  </si>
  <si>
    <t>[Nghiem, Son; Nguyen, Lisa; Neumann, Gregory] CALTECH, Jet Prop Lab, Pasadena, CA 91125 USA; [Busche, Thomas; Kraus, Thomas; Bachmann, Markus] German Aerosp Ctr, Microwaves &amp; Radar Inst, Oberpfaffenhofen, Germany; [Kurtz, Nathan; Sonntag, John; Woods, John] NASA, Goddard Space Flight Ctr, Greenbelt, MD USA; [Ackley, Stephen; Xie, Hongjie] Univ Texas San Antonio, Dept Geol Sci, San Antonio, TX USA; [Maksym, Ted] Woods Hole Oceanog Inst, Woods Hole, MA 02543 USA; [Tinto, Kirsteen] Columbia Univ, Lamont Doherty Earth Observ, Palisades, NY USA; [Rack, Wolfgang] Univ Canterbury, Gateway Antarctic, Christchurch, New Zealand; [Langhorne, Pat] Univ Otago, Dept Phys, Dunedin, New Zealand; [Haas, Christian] York Univ, Toronto, ON, Canada; [Haas, Christian] Alfred Wegener Inst, Bremerhaven, Germany; [Panowicz, Caryn] US Natl Ice Ctr, Washington, DC USA; [Rigor, Ignatius] Univ Washington, Polar Sci Ctr, Seattle, WA 98195 USA; [Morin, Paul] Univ Minnesota, Polar Geospatial Ctr, St Paul, MN 55108 USA</t>
  </si>
  <si>
    <t>California Institute of Technology; National Aeronautics &amp; Space Administration (NASA); NASA Jet Propulsion Laboratory (JPL); Helmholtz Association; German Aerospace Centre (DLR); National Aeronautics &amp; Space Administration (NASA); NASA Goddard Space Flight Center; University of Texas System; University of Texas at San Antonio (UTSA); Woods Hole Oceanographic Institution; Columbia University; University of Canterbury; University of Otago; York University - Canada; Helmholtz Association; Alfred Wegener Institute, Helmholtz Centre for Polar &amp; Marine Research; University of Washington; University of Washington Seattle; University of Minnesota System; University of Minnesota Twin Cities</t>
  </si>
  <si>
    <t>Nghiem, S (corresponding author), CALTECH, Jet Prop Lab, Pasadena, CA 91125 USA.</t>
  </si>
  <si>
    <t>Xie, Hongjie/B-5845-2009; Rack, Wolfgang/U-8898-2017</t>
  </si>
  <si>
    <t>Xie, Hongjie/0000-0003-3516-1210; Rack, Wolfgang/0000-0003-2447-377X</t>
  </si>
  <si>
    <t>NASA Cryospheric Sciences Program; German Federal Ministry of Economics and Technology [Foerderkennzeichen 50 EE 0601]; NSF</t>
  </si>
  <si>
    <t>NASA Cryospheric Sciences Program(National Aeronautics &amp; Space Administration (NASA)); German Federal Ministry of Economics and Technology(Federal Ministry for Economic Affairs and Energy (BMWi)); NSF(National Science Foundation (NSF))</t>
  </si>
  <si>
    <t>The research carried out at the Jet Propulsion Laboratory, California Institute of Technology, was supported by the NASA Cryospheric Sciences Program. The TanDEM-X project is partly funded by the German Federal Ministry of Economics and Technology (Foerderkennzeichen 50 EE 0601). The PIPERS/IcePOD research was funded by NSF.</t>
  </si>
  <si>
    <t>WOS:000451039808027</t>
  </si>
  <si>
    <t>Benn, DI; Åström, JA</t>
  </si>
  <si>
    <t>Benn, Douglas I.; Astrom, Jan A.</t>
  </si>
  <si>
    <t>Calving glaciers and ice shelves</t>
  </si>
  <si>
    <t>ADVANCES IN PHYSICS-X</t>
  </si>
  <si>
    <t>Ice fracture; iceberg calving; glaciers; numerical models</t>
  </si>
  <si>
    <t>FRACTURE-MECHANICS APPROACH; TIDEWATER GLACIERS; SUPRAGLACIAL LAKES; WEST GREENLAND; ANTARCTIC PENINSULA; DISCRETE-ELEMENT; HELHEIM GLACIER; EAST ANTARCTICA; OUTLET GLACIERS; BREAK-UP</t>
  </si>
  <si>
    <t>Calving, or the release of icebergs from glaciers and floating ice shelves, is an important process transferring mass into the world's oceans. Calving glaciers and ice sheets make a large contribution to sea-level rise, but large uncertainty remains about future ice sheet response to alternative carbon scenarios. In this review, we summarize recent progress in understanding calving processes and representing them in the models needed to predict future ice sheet evolution and sea-level rise. We focus on two main types of calving models: (1) discrete element models that represent ice as assemblages of particles linked by breakable bonds, which can explicitly simulate fracture and calving processes; and (2) continuum models, in which calving processes are parameterized using simple calving laws. With a series of examples using both synthetic and real-world ice geometries, we show how explicit models are yielding a detailed, process-based understanding of system physics that can be translated into predictive capability via improved calving laws. [GRAPHICS] .</t>
  </si>
  <si>
    <t>[Benn, Douglas I.] Univ St Andrews, Sch Geog &amp; Sustainable Dev, St Andrews, Fife, Scotland; [Astrom, Jan A.] CSC IT Ctr Sci, POB 405, Espoo 02101, Finland</t>
  </si>
  <si>
    <t>University of St Andrews</t>
  </si>
  <si>
    <t>Åström, JA (corresponding author), CSC IT Ctr Sci, POB 405, Espoo 02101, Finland.</t>
  </si>
  <si>
    <t>astrom@csc.fi</t>
  </si>
  <si>
    <t>Natural Environment Research Council [NE/P011365/1]; NERC [NE/P011365/1] Funding Source: UKRI</t>
  </si>
  <si>
    <t>Natural Environment Research Council(UK Research &amp; Innovation (UKRI)Natural Environment Research Council (NERC)); NERC(UK Research &amp; Innovation (UKRI)Natural Environment Research Council (NERC))</t>
  </si>
  <si>
    <t>This work was supported by the Natural Environment Research Council [grant number NE/P011365/1].</t>
  </si>
  <si>
    <t>2374-6149</t>
  </si>
  <si>
    <t>ADV PHYS-X</t>
  </si>
  <si>
    <t>Adv. Phys.-X</t>
  </si>
  <si>
    <t>UNSP 1513819</t>
  </si>
  <si>
    <t>10.1080/23746149.2018.1513819</t>
  </si>
  <si>
    <t>Physics, Multidisciplinary</t>
  </si>
  <si>
    <t>Physics</t>
  </si>
  <si>
    <t>GW0GJ</t>
  </si>
  <si>
    <t>WOS:000446541200001</t>
  </si>
  <si>
    <t>Cheptsov, VS; Vorobyova, EA; Osipov, GA; Manucharova, NA; Polyanskaya, LM; Gorlenko, MV; Pavlov, AK; Rosanova, MS; Lomasov, VN</t>
  </si>
  <si>
    <t>Cheptsov, Vladimir S.; Vorobyova, Elena A.; Osipov, George A.; Manucharova, Natalia A.; Polyanskaya, Lubov' M.; Gorlenko, Mikhail V.; Pavlov, Anatoli K.; Rosanova, Marina S.; Lomasov, Vladimir N.</t>
  </si>
  <si>
    <t>Microbial activity in Martian analog soils after ionizing radiation: implications for the preservation of subsurface life on Mars</t>
  </si>
  <si>
    <t>AIMS MICROBIOLOGY</t>
  </si>
  <si>
    <t>astrobiology; Mars; gamma radiation; microbial communities; radioresistance</t>
  </si>
  <si>
    <t>TRANSIENT LIQUID WATER; DEINOCOCCUS-RADIODURANS; RESISTANT BACTERIA; GROWTH; TEMPERATURE; PERMAFROST; SURVIVAL; COLD; ICE; MICROORGANISMS</t>
  </si>
  <si>
    <t>At present, the surface of Mars is affected by a set of factors that can prevent the survival of Earth-like life. However, the modern concept of the evolution of the planet assumes the existence more favorable for life climate in the past. If in the past on Mars had formed a biosphere, similar to the one that originated in the early Earth, it is supposed that it is preserved till now in anabiotic state in the bowels of the planet, like microbial communities inhabiting the ancient permafrost of Arctic and Antarctic. In the conditions of modern Martian regolith, this relic life seems to be deprived of the possibility of damage reparation (or these processes occur on a geological time scale), and ionizing radiation should be considered the main factor inhibiting such anabiotic life. In the present study, we studied soil samples, selected in two different extreme habitats of the Earth: ancient permafrost from the Dry Valleys of Antarctica and Xerosol soil from the mountain desert in Morocco, gamma-irradiated with 40 kGy dose at low pressure (1 Torr) and low temperature (-50 degrees C). Microbial communities inhabiting these samples showed in situ high resistance to the applied effects, retained high number of viable cells, metabolic activity, and high biodiversity. Based on the results, it is assumed that the putative biosphere could be preserved in the dormant state for at least 500 thousand years and 8 million years in the surface layer of Mars regolith and at 5 m depth, respectively, at the current level of ionizing radiation intensity.</t>
  </si>
  <si>
    <t>[Cheptsov, Vladimir S.; Vorobyova, Elena A.; Manucharova, Natalia A.; Polyanskaya, Lubov' M.; Gorlenko, Mikhail V.; Rosanova, Marina S.] Lomonosov Moscow State Univ, Soil Sci Fac, Moscow, Russia; [Cheptsov, Vladimir S.; Vorobyova, Elena A.] Russian Acad Sci, Space Res Inst, Moscow, Russia; [Osipov, George A.] ND Zelinskii Inst Organ Chem, Int Analyt Ctr, Interlab, Moscow, Russia; [Pavlov, Anatoli K.] Russian Acad Sci, Ioffe Phys Tech Inst, St Petersburg, Russia; [Lomasov, Vladimir N.] Peter Great St Petersburg State Polytech Univ, St Petersburg, Russia</t>
  </si>
  <si>
    <t>Lomonosov Moscow State University; Russian Academy of Sciences; Space Research Institute of the Russian Academy of Sciences; Russian Academy of Sciences; Zelinsky Institute of Organic Chemistry; Russian Academy of Sciences; St. Petersburg Scientific Centre of the Russian Academy of Sciences; Ioffe Physical Technical Institute; Peter the Great St. Petersburg Polytechnic University</t>
  </si>
  <si>
    <t>Cheptsov, VS (corresponding author), Lomonosov Moscow State Univ, Soil Sci Fac, Moscow, Russia.;Cheptsov, VS (corresponding author), Russian Acad Sci, Space Res Inst, Moscow, Russia.</t>
  </si>
  <si>
    <t>cheptcov.vladimir@gmail.com</t>
  </si>
  <si>
    <t>Manucharova, Natalia A./R-9951-2016; Vorobyova, Elena/ABF-3374-2021; Cheptsov, Vladimir/I-7843-2018</t>
  </si>
  <si>
    <t>Vorobyova, Elena/0000-0002-4636-9933; Cheptsov, Vladimir/0000-0002-2547-2931</t>
  </si>
  <si>
    <t>Russian Science Foundation [17-12-01184] Funding Source: Russian Science Foundation</t>
  </si>
  <si>
    <t>AMER INST MATHEMATICAL SCIENCES-AIMS</t>
  </si>
  <si>
    <t>SPRINGFIELD</t>
  </si>
  <si>
    <t>PO BOX 2604, SPRINGFIELD, MO 65801-2604 USA</t>
  </si>
  <si>
    <t>2471-1888</t>
  </si>
  <si>
    <t>AIMS MICROBIOL</t>
  </si>
  <si>
    <t>AIMS Microbiol.</t>
  </si>
  <si>
    <t>10.3934/microbiol.2018.3.541</t>
  </si>
  <si>
    <t>Microbiology</t>
  </si>
  <si>
    <t>GR3BU</t>
  </si>
  <si>
    <t>Green Submitted, Green Published, gold</t>
  </si>
  <si>
    <t>WOS:000442463600011</t>
  </si>
  <si>
    <t>Mirabelli, SL; Pujana, RR; Marenssi, SA; Santillana, SN</t>
  </si>
  <si>
    <t>Mirabelli, Sebastian L.; Pujana, Roberto R.; Marenssi, Sergio A.; Santillana, Sergio N.</t>
  </si>
  <si>
    <t>CONIFER FOSSIL WOODS FROM THE SOBRAL FORMATION (LOWER PALEOCENE, WESTERN ANTARCTICA)</t>
  </si>
  <si>
    <t>AMEGHINIANA</t>
  </si>
  <si>
    <t>Araucariaceae; Podocarpaceae; Antarctica; Seymour (Marambio) Island</t>
  </si>
  <si>
    <t>SEYMOUR ISLAND; DOMINATED FORESTS; TERTIARY; FLORA; CLASSIFICATION; PENINSULA; PATAGONIA; REVISION; EOCENE; CHINA</t>
  </si>
  <si>
    <t>Conifer fossil woods represent 54% of an assemblage of 116 specimens collected from sediments of the Sobral Formation in Seymour (Marambio) Island, Western Antarctica. These woods are anatomically described in detail and assigned to seven fossil-species of the following fossil-genera: Agathoxylon (Araucariaceae), Podocarpoxylon, Phyllocladoxylon, Protophyllocladoxylon (Podocarpaceae), and Cupressinoxylon (Podocarpaceae/Cupressaceae). The conifer wood assemblage reveals that the most common woods are those of Agathoxylon, therefore indicating a relative abundance of the Araucariaceae in the Antarctic Paleocene forests. This abundance of the Araucariaceae woods is locally continued in the overlying Cross Valley Formation (Paleocene). Podocarpaceae woods are found in almost similar proportions to those of the Araucariaceae. Almost the other half of the fossil woods are dicotyledon woods. The proportions of the identified fossil wood taxa are consistent with those of the palynological studies of the same stratigraphic unit.</t>
  </si>
  <si>
    <t>[Mirabelli, Sebastian L.; Pujana, Roberto R.] Consejo Nacl Invest Cient &amp; Tecn, Museo Argentino Ciencias Nat, Angel Gallardo 470,C1405DJR, Buenos Aires, DF, Argentina; [Marenssi, Sergio A.] UBA, CONICET, IGEBA, Intendente Guiraldes S-N,C1428EHA, Buenos Aires, DF, Argentina; [Santillana, Sergio N.] Inst Antartico Argentino, Balcarce 290,C1064ABR, Buenos Aires, DF, Argentina</t>
  </si>
  <si>
    <t>Consejo Nacional de Investigaciones Cientificas y Tecnicas (CONICET); Museo Argentino de Ciencias Naturales Bernardino Rivadavia (MACN); University of Buenos Aires; Consejo Nacional de Investigaciones Cientificas y Tecnicas (CONICET); Instituto Antartico Argentino</t>
  </si>
  <si>
    <t>Mirabelli, SL (corresponding author), Consejo Nacl Invest Cient &amp; Tecn, Museo Argentino Ciencias Nat, Angel Gallardo 470,C1405DJR, Buenos Aires, DF, Argentina.</t>
  </si>
  <si>
    <t>sebamirabelli@gmail.com; rpujana@gmail.com; smarenssi@hotmail.com; ssantillana@dna.gov.ar</t>
  </si>
  <si>
    <t>Pujana, Roberto Roman/0000-0001-8006-3332</t>
  </si>
  <si>
    <t>CONICET [PIP 2014-0259]; ANPCyT [PICT 2012-0911]; Instituto Antartico Argentino; British Antarctic Survey</t>
  </si>
  <si>
    <t>CONICET(Consejo Nacional de Investigaciones Cientificas y Tecnicas (CONICET)); ANPCyT(ANPCyT); Instituto Antartico Argentino; British Antarctic Survey</t>
  </si>
  <si>
    <t>The authors would like to thank the three reviewers and editors for their detailed suggestions and corrections. Funds for this work were provided by CONICET (PIP 2014-0259), ANPCyT (PICT 2012-0911), Instituto Antartico Argentino, and the British Antarctic Survey.</t>
  </si>
  <si>
    <t>ASOCIACION PALEONTOLOGICA ARGENTINA</t>
  </si>
  <si>
    <t>BUENOS AIRES</t>
  </si>
  <si>
    <t>MAIPU 645, 1ER PISO, 1006 BUENOS AIRES, ARGENTINA</t>
  </si>
  <si>
    <t>0002-7014</t>
  </si>
  <si>
    <t>1851-8044</t>
  </si>
  <si>
    <t>Ameghiniana</t>
  </si>
  <si>
    <t>10.5710/AMGH.27.07.2017.3095</t>
  </si>
  <si>
    <t>FX4QH</t>
  </si>
  <si>
    <t>WOS:000426062600005</t>
  </si>
  <si>
    <t>Halanych, KM; Mahon, AR</t>
  </si>
  <si>
    <t>Futuyma, DJ</t>
  </si>
  <si>
    <t>Halanych, Kenneth M.; Mahon, Andrew R.</t>
  </si>
  <si>
    <t>Challenging Dogma Concerning Biogeographic Patterns of Antarctica and the Southern Ocean</t>
  </si>
  <si>
    <t>ANNUAL REVIEW OF ECOLOGY, EVOLUTION, AND SYSTEMATICS, VOL 49</t>
  </si>
  <si>
    <t>Annual Review of Ecology Evolution and Systematics</t>
  </si>
  <si>
    <t>phylogeography; circumpolar; glaciation; biodiversity; marine; terrestrial</t>
  </si>
  <si>
    <t>NYMPHON-AUSTRALE HODGSON; POPULATION-STRUCTURE; GENETIC-STRUCTURE; VICTORIA LAND; POLAR FRONT; ICE-SHEET; MITOCHONDRIAL LINEAGES; GLACIAL REFUGIA; PROMACHOCRINUS-KERGUELENSIS; GRESSITTACANTHA-TERRANOVA</t>
  </si>
  <si>
    <t>Antarctica is enormous, cold, remote, and particularly sensitive to climate change. Most biological research below 60 degrees S has focused on the isolated nature of the biota and how organisms have adapted to the cold and ice. However, biogeographic patterns in Antarctica and the Southern Ocean, and the processes explaining how those patterns came about, still await adequate explanation. Both terrestrial and marine organisms have been influenced by climatic change (e.g., glaciation), physical phenomena (e.g., oceanic currents), and/or potential barriers to gene flow (e.g., steep thermal gradients). Whereas the Antarctic region contains diverse and complex marine communities, terrestrial systems tend to be comparatively simple with limited diversity. Here, we challenge the current dogma used to explain the diversity and biogeographic patterns present in the Antarctic. We assert that relatively modern processes within the last few million years, rather than geological events that occurred in the Eocene and Miocene, account for present patterns of biodiversity in the region. Additionally, reproductive life history stages appear to have little influence in structuring genetic patterns in the Antarctic, as currents and glacial patterns are noted to be more important drivers of organismal patterns of distribution. Finally, we highlight the need for additional sampling, high-throughput genomic approaches, and broad, multinational cooperation for addressing outstanding questions of Antarctic biogeography and biodiversity.</t>
  </si>
  <si>
    <t>[Halanych, Kenneth M.] Auburn Univ, Dept Biol Sci, Molette Biol Lab Environm &amp; Climate Change Studie, Auburn, AL 36849 USA; [Mahon, Andrew R.] Cent Michigan Univ, Dept Biol, Mt Pleasant, MI 48859 USA</t>
  </si>
  <si>
    <t>Auburn University System; Auburn University; Central Michigan University</t>
  </si>
  <si>
    <t>Halanych, KM (corresponding author), Auburn Univ, Dept Biol Sci, Molette Biol Lab Environm &amp; Climate Change Studie, Auburn, AL 36849 USA.</t>
  </si>
  <si>
    <t>ken@auburn.edu; mahon2a@cmich.edu</t>
  </si>
  <si>
    <t>Halanych, Ken M/A-9480-2009</t>
  </si>
  <si>
    <t>Mahon, Andrew/0000-0002-5074-8725</t>
  </si>
  <si>
    <t>ANNUAL REVIEWS</t>
  </si>
  <si>
    <t>PALO ALTO</t>
  </si>
  <si>
    <t>4139 EL CAMINO WAY, PO BOX 10139, PALO ALTO, CA 94303-0897 USA</t>
  </si>
  <si>
    <t>1543-592X</t>
  </si>
  <si>
    <t>1545-2069</t>
  </si>
  <si>
    <t>978-0-8243-1449-1</t>
  </si>
  <si>
    <t>ANNU REV ECOL EVOL S</t>
  </si>
  <si>
    <t>Annu. Rev. Ecol. Evol. Syst.</t>
  </si>
  <si>
    <t>10.1146/annurev-ecolsys-121415-032139</t>
  </si>
  <si>
    <t>Ecology; Evolutionary Biology</t>
  </si>
  <si>
    <t>Book Citation Index – Science (BKCI-S); Science Citation Index Expanded (SCI-EXPANDED)</t>
  </si>
  <si>
    <t>Environmental Sciences &amp; Ecology; Evolutionary Biology</t>
  </si>
  <si>
    <t>BL4NS</t>
  </si>
  <si>
    <t>WOS:000450612900016</t>
  </si>
  <si>
    <t>Pantucek, R; Sedlácek, I; Indráková, A; Vrbovská, V; Maslanová, I; Kovarovic, V; Svec, P; Králová, S; Kristofová, L; Kekláková, J; Petrás, P; Doskar, J</t>
  </si>
  <si>
    <t>Pantucek, Roman; Sedlacek, Ivo; Indrakova, Adela; Vrbovska, Veronika; Maslanova, Ivana; Kovarovic, Vojtech; Svec, Pavel; Kralova, Stanislava; Kristofova, Lucie; Keklakova, Jana; Petras, Petr; Doskar, Jiri</t>
  </si>
  <si>
    <t>Staphylococcus edaphicus sp nov., Isolated in Antarctica, Harbors the mecC Gene and Genomic Islands with a Suspected Role in Adaptation to Extreme Environments</t>
  </si>
  <si>
    <t>APPLIED AND ENVIRONMENTAL MICROBIOLOGY</t>
  </si>
  <si>
    <t>coagulase-negative staphylococci; methicillin resistance; genomics; polyphasic taxonomy; pathogenicity islands; drug resistance evolution; beta-lactams; chromosomal islands; mobile genetic elements; penicillin-binding proteins; phylogenetic analysis</t>
  </si>
  <si>
    <t>CHROMOSOMAL ISLANDS; AUREUS; POPULATIONS; SEQUENCE; HOMOLOG; SAPROPHYTICUS; ANNOTATION; DIVERSITY; ANIMALS; REVEALS</t>
  </si>
  <si>
    <t>Two Gram-stain-positive, coagulase-negative staphylococcal strains were isolated from abiotic sources comprising stone fragments and sandy soil in James Ross Island, Antarctica. Here, we describe properties of a novel species of the genus Staphylococcus that has a 16S rRNA gene sequence nearly identical to that of Staphylococcus saprophyticus. However, compared to S. saprophyticus and the next closest relatives, the new species demonstrates considerable phylogenetic distance at the whole-genome level, with an average nucleotide identity of &lt;85% and inferred DNA-DNA hybridization of &lt;30%. It forms a separate branch in the S. saprophyticus phylogenetic clade as confirmed by multilocus sequence analysis of six housekeeping genes, rpoB, hsp60, tuf, dnaJ, gap, and sod. Matrix-assisted laser desorption ionization-time of flight mass spectrometry (MALDI-TOF MS) and key biochemical characteristics allowed these bacteria to be distinguished from their nearest phylogenetic neighbors. In contrast to S. saprophyticus subsp. saprophyticus, the novel strains are pyrrolidonyl arylamidase and beta-glucuronidase positive and beta-galactosidase negative, nitrate is reduced, and acid produced aerobically from D-mannose. Whole-genome sequencing of the 2.69-Mb large chromosome revealed the presence of a number of mobile genetic elements, including the 27-kb pseudo-staphylococcus cassette chromosome mec of strain P5085(T) (psi SCCmec(P5085)), harboring the mecC gene, two composite phage-inducible chromosomal islands probably essential to adaptation to extreme environments, and one complete and one defective prophage. Both strains are resistant to penicillin G, ampicillin, ceftazidime, methicillin, cefoxitin, and fosfomycin. We hypothesize that antibiotic resistance might represent an evolutionary advantage against beta-lactam producers, which are common in a polar environment. Based on these results, a novel species of the genus Staphylococcus is described and named Staphylococcus edaphicus sp. nov. The type strain is P5085(T) (= CCM 8730(T) = DSM 104441(T)). IMPORTANCE The description of Staphylococcus edaphicus sp. nov. enables the comparison of multidrug-resistant staphylococci from human and veterinary sources evolved in the globalized world to their geographically distant relative from the extreme Antarctic environment. Although this new species was not exposed to the pressure of antibiotic treatment in human or veterinary practice, mobile genetic elements carrying antimicrobial resistance genes were found in the genome. The genomic characteristics presented here elucidate the evolutionary relationships in the Staphylococcus genus with a special focus on antimicrobial resistance, pathogenicity, and survival traits. Genes encoded on mobile genetic elements were arranged in unique combinations but retained conserved locations for the integration of mobile genetic elements. These findings point to enormous plasticity of the staphylococcal pangenome, shaped by horizontal gene transfer. Thus, S. edaphicus can act not only as a reservoir of antibiotic resistance in a natural environment but also as a mediator for the spread and evolution of resistance genes.</t>
  </si>
  <si>
    <t>[Pantucek, Roman; Indrakova, Adela; Vrbovska, Veronika; Maslanova, Ivana; Kovarovic, Vojtech; Doskar, Jiri] Masaryk Univ, Div Genet &amp; Mol Biol, Dept Expt Biol, Fac Sci, Brno, Czech Republic; [Sedlacek, Ivo; Vrbovska, Veronika; Svec, Pavel; Kralova, Stanislava; Kristofova, Lucie] Masaryk Univ, Czech Collect Microorganisms, Dept Expt Biol, Fac Sci, Brno, Czech Republic; [Keklakova, Jana; Petras, Petr] Natl Inst Publ Hlth, Reference Lab Staphylococci, Prague, Czech Republic</t>
  </si>
  <si>
    <t>Masaryk University Brno; Masaryk University Brno; National Institute of Public Health (SZU) - Czech Republic</t>
  </si>
  <si>
    <t>Pantucek, R (corresponding author), Masaryk Univ, Div Genet &amp; Mol Biol, Dept Expt Biol, Fac Sci, Brno, Czech Republic.</t>
  </si>
  <si>
    <t>pantucek@sci.muni.cz</t>
  </si>
  <si>
    <t>Kralova, Stanislava/AAW-4815-2021; Kovařovic, Vojtěch/JRX-4609-2023; Finstrlová, Adéla/AAA-9075-2022; Doskar, Jiri/O-1038-2017; Vrbovská, Veronika/J-7445-2017; Svec, Pavel/B-1209-2008; Pantůček, Roman/P-6758-2014; Sedlacek, Ivo/IWU-8828-2023; Maslanova, Ivana/A-3081-2014; Finstrlová, Adéla/ABF-9862-2021</t>
  </si>
  <si>
    <t>Kralova, Stanislava/0000-0003-3384-5328; Doskar, Jiri/0000-0001-5216-9586; Vrbovská, Veronika/0000-0003-2863-6812; Svec, Pavel/0000-0002-1051-5177; Pantůček, Roman/0000-0002-3950-675X; Maslanova, Ivana/0000-0002-2597-2848; Finstrlová, Adéla/0000-0003-2343-4357</t>
  </si>
  <si>
    <t>Ministry of Education, Youth and Sports of the Czech Republic [LM2015078]; Czech Antarctic Foundation; program Projects of Large Research, Development, and Innovations Infrastructures CESNET grant [LM2015042]; Ministry of Health of the Czech Republic [NT16-29916A]</t>
  </si>
  <si>
    <t>Ministry of Education, Youth and Sports of the Czech Republic(Ministry of Education, Youth &amp; Sports - Czech Republic); Czech Antarctic Foundation; program Projects of Large Research, Development, and Innovations Infrastructures CESNET grant; Ministry of Health of the Czech Republic(Ministry of Health, Czech Republic)</t>
  </si>
  <si>
    <t>We are grateful for the scientific infrastructure of the J.G. Mendel Czech Antarctic Station as part of the Czech Polar Research Infrastructure (CzechPolar2) and its crew for their assistance, supported by the Ministry of Education, Youth and Sports of the Czech Republic (grant number LM2015078), as well as the Czech Antarctic Foundation for their support. Access to computing and storage facilities owned by parties and projects contributing to the National Grid Infrastructure MetaCentrum provided under the program Projects of Large Research, Development, and Innovations Infrastructures CESNET (grant number LM2015042) is greatly appreciated. Daniel Krsek (NRL for the Diagnostic Electron Microscopy of Infectious Agents, National Institute of Public Health, Prague, Czech Republic) is gratefully acknowledged for transmission electron microscopy and Bernhard Schink (University of Constance) for name correction.; This work was supported by the Ministry of Health of the Czech Republic (grant number NT16-29916A). S.K. is a beneficiary of Brno Ph.D. Talent financial aid.</t>
  </si>
  <si>
    <t>AMER SOC MICROBIOLOGY</t>
  </si>
  <si>
    <t>1752 N ST NW, WASHINGTON, DC 20036-2904 USA</t>
  </si>
  <si>
    <t>0099-2240</t>
  </si>
  <si>
    <t>1098-5336</t>
  </si>
  <si>
    <t>APPL ENVIRON MICROB</t>
  </si>
  <si>
    <t>Appl. Environ. Microbiol.</t>
  </si>
  <si>
    <t>e01746-17</t>
  </si>
  <si>
    <t>10.1128/AEM.01746-17</t>
  </si>
  <si>
    <t>Biotechnology &amp; Applied Microbiology; Microbiology</t>
  </si>
  <si>
    <t>FR4PY</t>
  </si>
  <si>
    <t>WOS:000419048900009</t>
  </si>
  <si>
    <t>Tab, MM; Hashim, NHF; Najimudin, N; Mahadi, NM; Abu Bakar, FD; Murad, AMA</t>
  </si>
  <si>
    <t>Tab, Mahzan Md; Hashim, Noor Haza Fazlin; Najimudin, Nazalan; Mahadi, Nor Muhammad; Abu Bakar, Farah Diba; Murad, Abdul Munir Abdul</t>
  </si>
  <si>
    <t>Large-Scale Production of Glaciozyma antarctica Antifreeze Protein 1 (Afp1) by Fed-Batch Fermentation of Pichia pastoris</t>
  </si>
  <si>
    <t>ARABIAN JOURNAL FOR SCIENCE AND ENGINEERING</t>
  </si>
  <si>
    <t>Ice-binding protein; Cryopreservation; Thermal hysteresis; Bioreactor; Psychrophilic yeast; Heterologous expression</t>
  </si>
  <si>
    <t>ICE-BINDING PROTEIN; RECOMBINANT PROTEINS; EXPRESSION; ENDOGLUCANASE; PURIFICATION; PRESERVATION; MECHANISMS; BACTERIUM</t>
  </si>
  <si>
    <t>Antifreeze proteins (AFPs) are unique proteins that have an affinity toward ice. Due to their potential applications in the food and medical industries, many attempts have been made to produce AFPs in large quantities. In this study, recombinant Afp1 from Glaciozyma antarctica, a psychrophilic yeast, was overexpressed in a methylotrophic yeast, Pichia pastoris, followed by 5-L fermenter expression. The highest yield of Afp obtained from the fermentation was 39.5 mg/L when the cells were cultivated at and at pH 5.0. Afp1 was produced as a glycoprotein (55 kDa) based on gel staining using a glycoprotein kit. Antifreeze activities of the recombinant Afp1 were exhibited through thermal hysteresis (TH) and recrystallization inhibition (RI) where the highest TH value recorded was at at 10 mg/mL. This value is higher when compared to the recombinant Afp1 produced in Escherichia coli () as well as the native antifreeze protein from G. antarctica (). Both TH and RI activities increased when higher protein concentrations were used. Effects of temperature on stability showed that Afp1 had lost its activity after being incubated at a temperature higher than . The cryoprotective effects of Afp1 on cellulases showed that the treated cellulase retained up to 20% of its activity following several cycles of freeze-thawing. This indicates that Afp1 might act as a cryoprotective agent and has the potential for use in biotechnology applications.</t>
  </si>
  <si>
    <t>[Tab, Mahzan Md; Hashim, Noor Haza Fazlin; Abu Bakar, Farah Diba; Murad, Abdul Munir Abdul] Univ Kebangsaan Malaysia, Fac Sci &amp; Technol, Sch Biosci &amp; Biotechnol, Bangi 43600, Selangor, Malaysia; [Najimudin, Nazalan] Univ Sains Malaysia, Sch Biol Sci, Gelugor 11800, Penang, Malaysia; [Mahadi, Nor Muhammad] Malaysia Genome Inst, Jalan Bangi, Kajang 43000, Selangor, Malaysia</t>
  </si>
  <si>
    <t>Universiti Kebangsaan Malaysia; Universiti Sains Malaysia</t>
  </si>
  <si>
    <t>Murad, AMA (corresponding author), Univ Kebangsaan Malaysia, Fac Sci &amp; Technol, Sch Biosci &amp; Biotechnol, Bangi 43600, Selangor, Malaysia.</t>
  </si>
  <si>
    <t>munir@ukm.edu.my</t>
  </si>
  <si>
    <t>Najimudin, Nazalan/B-2952-2011; Abdul Murad, Abdul Munir/L-8575-2017; Murad, Abdul/CAG-9324-2022</t>
  </si>
  <si>
    <t>Abdul Murad, Abdul Munir/0000-0001-6402-7198; Hashim, Noor Haza Fazlin/0000-0002-6385-6469</t>
  </si>
  <si>
    <t>Ministry of Science, Technology and Innovation (MOSTI), Malaysia [08-05-MGI-GMB001, 07-05-MGI-GMB014]; Australian Antarctic Division; Malaysian Antarctic Research Program (MARP) of the Academy of Science, Malaysia</t>
  </si>
  <si>
    <t>Ministry of Science, Technology and Innovation (MOSTI), Malaysia(Ministry of Energy, Science, Technology, Environment and Climate Change (MESTECC), Malaysia); Australian Antarctic Division; Malaysian Antarctic Research Program (MARP) of the Academy of Science, Malaysia</t>
  </si>
  <si>
    <t>This research was funded by the Ministry of Science, Technology and Innovation (MOSTI), Malaysia under the research Grants 08-05-MGI-GMB001 and 07-05-MGI-GMB014. We acknowledge support given by the Australian Antarctic Division and the Malaysian Antarctic Research Program (MARP) of the Academy of Science, Malaysia. We thank Mr Shaman M. Gaspar, Regional-Manager at Infors HT, Southeast Asia, for assistance in the fermentation processes.</t>
  </si>
  <si>
    <t>SPRINGER HEIDELBERG</t>
  </si>
  <si>
    <t>HEIDELBERG</t>
  </si>
  <si>
    <t>TIERGARTENSTRASSE 17, D-69121 HEIDELBERG, GERMANY</t>
  </si>
  <si>
    <t>2193-567X</t>
  </si>
  <si>
    <t>2191-4281</t>
  </si>
  <si>
    <t>ARAB J SCI ENG</t>
  </si>
  <si>
    <t>Arab. J. Sci. Eng.</t>
  </si>
  <si>
    <t>10.1007/s13369-017-2738-1</t>
  </si>
  <si>
    <t>FR6JA</t>
  </si>
  <si>
    <t>WOS:000419170500012</t>
  </si>
  <si>
    <t>Wang, Y; Wang, Y; Wang, H; Xu, JG; Ye, CY</t>
  </si>
  <si>
    <t>Wang, Yi; Wang, Yan; Wang, Hong; Xu, Jianguo; Ye, Changyun</t>
  </si>
  <si>
    <t>A label-free technique for accurate detection of nucleic acid-based self-avoiding molecular recognition systems supplemented multiple cross-displacement amplification and nanoparticles based biosensor</t>
  </si>
  <si>
    <t>ARTIFICIAL CELLS NANOMEDICINE AND BIOTECHNOLOGY</t>
  </si>
  <si>
    <t>P. aeruginosa; MCDA; SAMRS; AUDG; AUDG-SAMRS-MCDA; LFB</t>
  </si>
  <si>
    <t>LATERAL FLOW BIOSENSOR; ISOTHERMAL AMPLIFICATION; SEQUENCE; DNA</t>
  </si>
  <si>
    <t>Here, we devised a novel isothermal technique on the basis of standard multiple cross-displacement amplification (MCDA), which is assisted with self-avoiding molecular recognition system (SAMRS) components and antarctic thermal-sensitive uracil-DNA-glycosylase enzyme (AUDG), termed AUDG-SAMRS-MCDA. To enable product detection on the dipsticks, we firstly developed an analysis strategy, which did not require the labelled primers or probes, and thus, the analysis system avoids the false-positive results arising from undesired hybridization (between two labelled primers, or the labelled probe and primer). The SAMRS components are incorporated into MCDA primers for improve the assay's specificity, which can prevent the false-positive results yielding from off-target hybrids, undesired interactions between (hetero-dimer) or within (self-dimerization) primers. Two additional components (AUDG enzyme and dUTP) were added into the reaction mixtures, which were used for removing the false-positive results generating from carryover contamination, and thus, the genuine positives results were produced from the amplification of target templates. For the demonstration, the label-free AUDG-SAMRS-MCDA technique was successfully applied to detect Pseudomonas aeruginosa from pure culture and blood samples. As a proof-of-concept technique, the label-free AUDG-SAMRS-MCDA method can be reconfigured to detect different target sequences by redesigning the specific primers.</t>
  </si>
  <si>
    <t>[Wang, Yi; Wang, Yan; Xu, Jianguo; Ye, Changyun] Chinese Ctr Dis Control &amp; Prevent, Collaborat Innovat Ctr Diag &amp; Treatment Infect Di, Natl Inst Communicable Dis Control &amp; Prevent, State Key Lab Infect Dis Prevent &amp; Control, Beijing, Peoples R China; [Wang, Hong] Zigong Ctr Dis Control &amp; Prevent, Zigong, Sichuan, Peoples R China</t>
  </si>
  <si>
    <t>Chinese Center for Disease Control &amp; Prevention; National Institute for Communicable Disease Control &amp; Prevention, Chinese Center for Disease Control &amp; Prevention; Collaborative Innovation Center for Diagnosis &amp; Treatment of Infectious Diseases</t>
  </si>
  <si>
    <t>Ye, CY (corresponding author), Chinese Ctr Dis Control &amp; Prevent, Natl Inst Communicable Dis Control &amp; Prevent, State Key Lab Infect Dis Prevent &amp; Control, Changbai Rd 155, Beijing 102206, Peoples R China.</t>
  </si>
  <si>
    <t>yechangyun@icdc.cn</t>
  </si>
  <si>
    <t>Wang, Yi/JAD-1967-2023; chen, yijia/KGM-4378-2024</t>
  </si>
  <si>
    <t>Wang, Yi/0000-0002-2031-087X;</t>
  </si>
  <si>
    <t>Ministry of Science and Technology, People's Republic of China [2013ZX10004-101]; State Key Laboratory of Infectious Disease Prevention and Control, China CDC [2015SKLID507]</t>
  </si>
  <si>
    <t>Ministry of Science and Technology, People's Republic of China(Ministry of Science and Technology, China); State Key Laboratory of Infectious Disease Prevention and Control, China CDC</t>
  </si>
  <si>
    <t>This study was supported by the grant (Mega Project of Research on the Prevention and Control of HIV/AIDS, Viral Hepatitis Infectious Diseases 2013ZX10004-101 to Changyun Ye) from the Ministry of Science and Technology, People's Republic of China, and grant (2015SKLID507 to Changyun Ye) from State Key Laboratory of Infectious Disease Prevention and Control, China CDC.</t>
  </si>
  <si>
    <t>2169-1401</t>
  </si>
  <si>
    <t>2169-141X</t>
  </si>
  <si>
    <t>ARTIF CELL NANOMED B</t>
  </si>
  <si>
    <t>Artif. Cell. Nanomed. Biotechnol.</t>
  </si>
  <si>
    <t>10.1080/21691401.2017.1389748</t>
  </si>
  <si>
    <t>Biotechnology &amp; Applied Microbiology; Engineering, Biomedical; Materials Science, Biomaterials</t>
  </si>
  <si>
    <t>Biotechnology &amp; Applied Microbiology; Engineering; Materials Science</t>
  </si>
  <si>
    <t>HC8DD</t>
  </si>
  <si>
    <t>WOS:000452031000015</t>
  </si>
  <si>
    <t>Jara, S; Celis, JE; Araneda, A; González, M; Espejo, W; Barra, R</t>
  </si>
  <si>
    <t>Jara, Solange; Celis, Jose E.; Araneda, Alberto; Gonzalez, Margarita; Espejo, Winfred; Barra, Ricardo</t>
  </si>
  <si>
    <t>Assessment of persistent organic pollutants and their relationship with immunoglobulins in blood of penguin colonies from Antarctica</t>
  </si>
  <si>
    <t>AUSTRAL JOURNAL OF VETERINARY SCIENCES</t>
  </si>
  <si>
    <t>POPs; seabirds; penguins; blood; antibodies; organic pollutants; Antarctica</t>
  </si>
  <si>
    <t>BREEDING GLAUCOUS GULLS; POLYCHLORINATED-BIPHENYLS; CHLORINATED HYDROCARBONS; PYGOSCELID PENGUINS; GENTOO PENGUINS; TRACE-METALS; ROSS SEA; CONTAMINANTS; LOCATIONS; ANTIBODIES</t>
  </si>
  <si>
    <t>Persistent organic pollutants (POPs) may affect the immune system of seabirds, and some field studies have examined this effect. There are evidences that POPs cause negative effects on the immune system, but in Antarctic penguins data are scarce. In order to assess the risks that POPs may have on wild animals, some immunological studies constitute a good alternative. Determining the levels of immunoglobulins can deliver relevant information about the potential impact of POPs in seabirds from different environments. However, there are very few records in penguins so far. The aim of the present work was to quantify the concentrations of polychlorinated biphenyls (PCBs), hexachlorobenzene (HCB), dichlorodiphenyltrichloroethane (Sigma DDT), endosulfans, and immunoglobulin IgY in blood samples of colonies of chinstrap penguins (Pygoscelis antarctica) that inhabit in the Antarctic Peninsula area. Analysis of POPs in blood samples was carried out through extraction with QuEChERS method, followed by gas chromatography. Detection of IgY concentrations was achieved by ELISA test, using anti-chicken antibodies. There was some significant correlation between immunoglobulin and the presence of PCBs and endosulfans. Even though the levels of these pollutants are low to cause any biological effect on the birds, the results are indicating some influence on the IgY concentrations in penguin blood.</t>
  </si>
  <si>
    <t>[Jara, Solange; Araneda, Alberto; Espejo, Winfred; Barra, Ricardo] Univ Concepcion, Fac Ciencias Ambientales, Dept Aquat Syst, Concepcion, Chile; [Jara, Solange; Araneda, Alberto; Espejo, Winfred; Barra, Ricardo] Univ Concepcion, Ctr EULA Chile, Concepcion, Chile; [Celis, Jose E.] Univ Concepcion, Fac Ciencias Vet, Dept Anim Sci, Chillan, Chile; [Gonzalez, Margarita] Univ Concepcion, Fac Farm, Dept Biochem &amp; Clin Immunol, Concepcion, Chile</t>
  </si>
  <si>
    <t>Universidad de Concepcion; Universidad de Concepcion; Universidad de Concepcion; Universidad de Concepcion</t>
  </si>
  <si>
    <t>Celis, JE (corresponding author), POB 537, Chillan, Chile.</t>
  </si>
  <si>
    <t>jcelis@udec.cl</t>
  </si>
  <si>
    <t>Espejo, Winfred/AAO-7150-2020; CELIS, JOSE/AAP-6048-2021; Barra, Ricardo O./A-5543-2009</t>
  </si>
  <si>
    <t>Barra, Ricardo O./0000-0002-1567-7722; CELIS, JOSE E./0000-0002-2458-1239; Araneda Castillo, Alberto/0000-0001-8483-6611; Espejo, Winfred/0000-0002-3753-2006</t>
  </si>
  <si>
    <t>project INACH [T18-09, RG09-14]; FONDAP CRHIAM [15130015]; project VRID [216.153.025-1.0]</t>
  </si>
  <si>
    <t>project INACH; FONDAP CRHIAM; project VRID</t>
  </si>
  <si>
    <t>Many thanks are given to the personnel of the Instituto Antartico Chileno (INACH) for providing logistic support during the field campaign. This work was financial supported through project INACH T18-09 (granted to Ricardo Barra) and project INACH RG09-14 (granted to Jose Celis). Also, we would like to thank FONDAP CRHIAM 15130015 and project VRID 216.153.025-1.0.</t>
  </si>
  <si>
    <t>UNIV AUSTRAL CHILE, FAC CIENCIAS VETERINARIAS</t>
  </si>
  <si>
    <t>VALDIVIA</t>
  </si>
  <si>
    <t>CASILLA 567, VALDIVIA, 00000, CHILE</t>
  </si>
  <si>
    <t>0719-8000</t>
  </si>
  <si>
    <t>AUSTRAL J VET SCI</t>
  </si>
  <si>
    <t>Austral J. Vet. Sci.</t>
  </si>
  <si>
    <t>10.4067/S0719-81322018000100108</t>
  </si>
  <si>
    <t>Veterinary Sciences</t>
  </si>
  <si>
    <t>GA8TA</t>
  </si>
  <si>
    <t>WOS:000428611400008</t>
  </si>
  <si>
    <t>Howitt, R</t>
  </si>
  <si>
    <t>Howitt, Rohan</t>
  </si>
  <si>
    <t>The Japanese Antarctic Expedition and the Idea of White Australia</t>
  </si>
  <si>
    <t>AUSTRALIAN HISTORICAL STUDIES</t>
  </si>
  <si>
    <t>When the Japanese Antarctic Expedition arrived unexpectedly in Sydney Harbour in May 1911, its members anticipated a hostile reception in a country renowned for its White Australia Policy. Contrary to this expectation, the Japanese explorers developed a positive relationship with the people and officials of Sydney. This article explains this relationship by placing it in the context of the flourishing expatriate Japanese community of early twentieth-century Sydney. In doing so it argues that rather than the indispensable condition of every other Australian policy' the White Australia Policy was mutable and inconsistently applied in different spatial and temporal contexts.</t>
  </si>
  <si>
    <t>[Howitt, Rohan] Univ Sydney, Sydney, NSW, Australia</t>
  </si>
  <si>
    <t>University of Sydney</t>
  </si>
  <si>
    <t>Howitt, R (corresponding author), Univ Sydney, Sydney, NSW, Australia.</t>
  </si>
  <si>
    <t>rohan.howitt@sydney.edu.au</t>
  </si>
  <si>
    <t>Howitt, Rohan/0000-0003-2384-7688</t>
  </si>
  <si>
    <t>1031-461X</t>
  </si>
  <si>
    <t>1940-5049</t>
  </si>
  <si>
    <t>AUST HISTORICAL STUD</t>
  </si>
  <si>
    <t>Aust. Hist. Stud.</t>
  </si>
  <si>
    <t>10.1080/1031461X.2018.1509881</t>
  </si>
  <si>
    <t>Arts &amp; Humanities Citation Index (A&amp;HCI)</t>
  </si>
  <si>
    <t>HC0YE</t>
  </si>
  <si>
    <t>WOS:000451525000008</t>
  </si>
  <si>
    <t>Mulder, JA; Berry, RF; Halpin, JA; Meffre, S; Everard, JL</t>
  </si>
  <si>
    <t>Mulder, J. A.; Berry, R. F.; Halpin, J. A.; Meffre, S.; Everard, J. L.</t>
  </si>
  <si>
    <t>Depositional age and correlation of the Oonah Formation: refining the timing of Neoproterozoic basin formation in Tasmania</t>
  </si>
  <si>
    <t>AUSTRALIAN JOURNAL OF EARTH SCIENCES</t>
  </si>
  <si>
    <t>Oonah Formation; Togari Group; detrital monazite; detrital zircon; Tasmania; southeast Australia; Rodinia; Neoproterozoic; rifting</t>
  </si>
  <si>
    <t>U-TH-PB; VASE-SHAPED MICROFOSSILS; DETRITAL-ZIRCON AGES; KING ISLAND; RODINIA SUPERCONTINENT; SOUTHEAST AUSTRALIA; METAMORPHIC COMPLEX; NORTHWEST TASMANIA; WESTERN TASMANIA; ARTHUR-LINEAMENT</t>
  </si>
  <si>
    <t>The Proterozoic Oonah Formation comprises a thick sequence of turbidites and mafic rocks that is widely exposed in western and northern Tasmania. The regional significance of the Oonah Formation is poorly understood as its contacts are faulted and estimates of its depositional age range from 1450 Ma to 700 Ma. Here we refine the depositional age of the Oonah Formation and clarify its relationship to other Proterozoic sequences in Tasmania. Magmatic apatite from the syn-sedimentary Cooee Dolerite has a Pb-207-corrected U-238/Pb-206 age of 733 +/- 9 Ma that provides a robust estimate of the depositional age of the Oonah Formation. The Oonah Formation contains abundant 750 Ma detrital monazite and has detrital zircon age populations at 1800-1700 Ma, 1590 Ma, and 1450 Ma. The new age and provenance data support the interpretation that the Oonah Formation is a lateral equivalent of the base of the Togari Group and correlatives in Tasmania. We demonstrate that the stratigraphy and provenance of Neoproterozoic strata in Tasmania differ from time-equivalent sequences in Adelaide Rift Complex but are similar to the Pahrump Group (Death Valley, California) and the Cobham Formation (Transantarctic Mountains), which supports a southwest LaurentiaTasmaniaEast Antarctica connection within supercontinent Rodinia.</t>
  </si>
  <si>
    <t>[Mulder, J. A.; Berry, R. F.; Meffre, S.] Univ Tasmania, Sch Phys Sci, ARC Ctr Excellence Ore Deposits CODES, Hobart, Tas 7001, Australia; [Halpin, J. A.] Univ Tasmania, Inst Marine &amp; Antarctic Studies, Hobart, Tas 7000, Australia; [Everard, J. L.] Mineral Resources Tasmania, POB 56, Rosny Pk, Tas 7018, Australia</t>
  </si>
  <si>
    <t>Mulder, JA (corresponding author), Univ Tasmania, Sch Phys Sci, ARC Ctr Excellence Ore Deposits CODES, Hobart, Tas 7001, Australia.</t>
  </si>
  <si>
    <t>jmulder@utas.edu.au</t>
  </si>
  <si>
    <t>Meffre, Sebastien/J-8700-2014; Meffre, Sebastien/O-6896-2019; Halpin, Jacqueline A/A-3776-2014</t>
  </si>
  <si>
    <t>Meffre, Sebastien/0000-0003-2741-6076; Meffre, Sebastien/0000-0003-2741-6076; Halpin, Jacqueline A/0000-0002-4992-8681; Mulder, Jacob/0000-0001-6197-0439; Berry, Ron/0000-0002-5547-3396</t>
  </si>
  <si>
    <t>ARC Centre of Excellence in Ore Deposits (CODES)</t>
  </si>
  <si>
    <t>ARC Centre of Excellence in Ore Deposits (CODES)(Australian Research Council)</t>
  </si>
  <si>
    <t>This work was supported by the ARC Centre of Excellence in Ore Deposits (CODES).</t>
  </si>
  <si>
    <t>0812-0099</t>
  </si>
  <si>
    <t>1440-0952</t>
  </si>
  <si>
    <t>AUST J EARTH SCI</t>
  </si>
  <si>
    <t>Aust. J. Earth Sci.</t>
  </si>
  <si>
    <t>10.1080/08120099.2018.1426629</t>
  </si>
  <si>
    <t>GE1WF</t>
  </si>
  <si>
    <t>WOS:000431006800005</t>
  </si>
  <si>
    <t>Flamant, C; Knippertz, P; Fink, AH; Akpo, A; Brooks, B; Chiu, CJ; Coe, H; Danuor, S; Evans, M; Jegede, O; Kalthoff, N; Konaré, A; Liousse, C; Lohou, F; Mari, C; Schlager, H; Schwarzenboeck, A; Adler, B; Amekudzi, L; Aryee, J; Ayoola, M; Batenburg, AM; Bessardon, G; Borrmann, S; Brito, J; Bower, K; Burnet, F; Catoire, V; Colomb, A; Denjean, C; Fosu-Amankwah, K; Hill, PG; Lee, J; Lothon, M; Maranan, M; Marsham, J; Meynadier, R; Ngamini, JB; Rosenberg, P; Sauer, D; Smith, V; Stratmann, G; Taylor, JW; Voigt, C; Yoboué, V</t>
  </si>
  <si>
    <t>Flamant, C.; Knippertz, P.; Fink, A. H.; Akpo, A.; Brooks, B.; Chiu, C. J.; Coe, H.; Danuor, S.; Evans, M.; Jegede, O.; Kalthoff, N.; Konare, A.; Liousse, C.; Lohou, F.; Mari, C.; Schlager, H.; Schwarzenboeck, A.; Adler, B.; Amekudzi, L.; Aryee, J.; Ayoola, M.; Batenburg, A. M.; Bessardon, G.; Borrmann, S.; Brito, J.; Bower, K.; Burnet, F.; Catoire, V.; Colomb, A.; Denjean, C.; Fosu-Amankwah, K.; Hill, P. G.; Lee, J.; Lothon, M.; Maranan, M.; Marsham, J.; Meynadier, R.; Ngamini, J. -B.; Rosenberg, P.; Sauer, D.; Smith, V.; Stratmann, G.; Taylor, J. W.; Voigt, C.; Yoboue, V.</t>
  </si>
  <si>
    <t>THE DYNAMICS-AEROSOL-CHEMISTRY-CLOUD INTERACTIONS IN WEST AFRICA FIELD CAMPAIGN: OVERVIEW AND RESEARCH HIGHLIGHTS</t>
  </si>
  <si>
    <t>BULLETIN OF THE AMERICAN METEOROLOGICAL SOCIETY</t>
  </si>
  <si>
    <t>LOW-LEVEL CLOUDS; SUMMER MONSOON; RETRIEVALS; PROGRAM; PROJECT; DRIZZLE</t>
  </si>
  <si>
    <t>The European Union (EU)-funded project Dynamics-Aerosol-Chemistry-Cloud Interactions in West Africa (DACCIWA) investigates the relationship between weather, climate, and air pollution in southern West Africaan area with rapid population growth, urbanization, and an increase in anthropogenic aerosol emissions. The air over this region contains a unique mixture of natural and anthropogenic gases, liquid droplets, and particles, emitted in an environment in which multilayer clouds frequently form. These exert a large influence on the local weather and climate, mainly owing to their impact on radiation, the surface energy balance, and thus the diurnal cycle of the atmospheric boundary layer.In June and July 2016, DACCIWA organized a major international field campaign in Ivory Coast, Ghana, Togo, Benin, and Nigeria. Three supersites in Kumasi, Save, and Ile-Ife conducted permanent measurements and 15 intensive observation periods. Three European aircraft together flew 50 research flights between 27 June and 16 July 2016, for a total of 155 h. DACCIWA scientists launched weather balloons several times a day across the region (772 in total), measured urban emissions, and evaluated health data. The main objective was to build robust statistics of atmospheric composition, dynamics, and low-level cloud properties in various chemical landscapes to investigate their mutual interactions.This article presents an overview of the DACCIWA field campaign activities as well as some first research highlights. The rich data obtained during the campaign will be made available to the scientific community and help to advance scientific understanding, modeling, and monitoring of the atmosphere over southern West Africa.</t>
  </si>
  <si>
    <t>[Flamant, C.; Meynadier, R.] UPMC Univ Paris 06, UVSQ, Sorbonne Univ, Lab Atmospheres,Milieux,Observat Spatiales, Paris, France; [Flamant, C.; Meynadier, R.] CNRS, Paris, France; [Knippertz, P.; Fink, A. H.; Kalthoff, N.; Adler, B.; Maranan, M.] Karlsruhe Inst Technol, Inst Meteorol &amp; Climate Res, Karlsruhe, Germany; [Akpo, A.; Brooks, B.; Marsham, J.; Smith, V.] Natl Ctr Atmospher Sci, Leeds, W Yorkshire, England; [Brooks, B.; Bessardon, G.; Marsham, J.; Rosenberg, P.] Univ Leeds, Leeds, W Yorkshire, England; [Chiu, C. J.; Hill, P. G.] Univ Reading, Dept Meteorol, Reading, Berks, England; [Coe, H.; Bower, K.; Taylor, J. W.] Univ Manchester, Sch Earth &amp; Environm Sci, Manchester, Lancs, England; [Danuor, S.; Amekudzi, L.; Aryee, J.; Fosu-Amankwah, K.] Kwame Nkrumah Univ Sci &amp; Technol, Dept Phys, Kumasi, Ghana; [Evans, M.; Lee, J.] Univ York, Natl Ctr Atmospher Sci, Wolfson Atmospher Chem Labs, York, N Yorkshire, England; [Jegede, O.; Ayoola, M.] Obafemi Awolowo Univ, Dept Phys &amp; Engn Phys, Ife, Nigeria; [Konare, A.; Yoboue, V.] Univ Cocody, Lab Phys Atmosphere &amp; Mecan Fluides, Abidjan, Cote Ivoire; [Liousse, C.; Lohou, F.; Mari, C.; Lothon, M.] Univ Toulouse, Lab Aerol, Toulouse, France; [Liousse, C.; Lohou, F.; Mari, C.; Burnet, F.; Denjean, C.; Lothon, M.] CNRS, Toulouse, France; [Schlager, H.; Sauer, D.; Stratmann, G.; Voigt, C.] Deutsch Zentrum Luft &amp; Raumfahrt, Inst Phys Atmosphare, Oberpfaffenhofen Wesslin, Germany; [Schwarzenboeck, A.; Brito, J.; Colomb, A.] Univ Blaise Pascal, CNRS, Lab Meteorol Phys, Clermont Ferrand, France; [Batenburg, A. M.; Borrmann, S.] Johannes Gutenberg Univ Mainz, Max Planck Inst Chem, Mainz, Germany; [Burnet, F.; Denjean, C.] Meteo France, Ctr Natl Rech Meteorol, Toulouse, France; [Catoire, V.] Univ Orleans, Lab Phys &amp; Chim Environm &amp; Espace, Orleans, France; [Catoire, V.] CNRS, Orleans, France; [Ngamini, J. -B.] Agence Securite Nav Aerienne Afrique &amp; Madagascar, Dakar, Senegal; [Voigt, C.] Johannes Gutenberg Univ Mainz, Inst Phys Atmosphare, Mainz, Germany</t>
  </si>
  <si>
    <t>Universite Paris Saclay; Universite Paris Cite; Sorbonne Universite; Centre National de la Recherche Scientifique (CNRS); Helmholtz Association; Karlsruhe Institute of Technology; University of Leeds; UK Research &amp; Innovation (UKRI); Natural Environment Research Council (NERC); NERC National Centre for Atmospheric Science; University of Leeds; University of Reading; University of Manchester; Kwame Nkrumah University Science &amp; Technology; University of York - UK; UK Research &amp; Innovation (UKRI); Natural Environment Research Council (NERC); NERC National Centre for Atmospheric Science; Obafemi Awolowo University; Universite Felix Houphouet-Boigny; Universite de Toulouse; Universite Toulouse III - Paul Sabatier; Centre National de la Recherche Scientifique (CNRS); Centre National de la Recherche Scientifique (CNRS); Helmholtz Association; German Aerospace Centre (DLR); Centre National de la Recherche Scientifique (CNRS); Universite Clermont Auvergne (UCA); Johannes Gutenberg University of Mainz; Max Planck Society; Meteo France; Universite de Orleans; Centre National de la Recherche Scientifique (CNRS); Johannes Gutenberg University of Mainz</t>
  </si>
  <si>
    <t>Flamant, C (corresponding author), UPMC Univ Paris 06, UVSQ, Sorbonne Univ, Lab Atmospheres,Milieux,Observat Spatiales, Paris, France.;Flamant, C (corresponding author), CNRS, Paris, France.</t>
  </si>
  <si>
    <t>cyrille.flamant@latmos.ipsl.fr</t>
  </si>
  <si>
    <t>Coe, Hugh/C-8733-2013; Sauer, Daniel/A-3033-2012; Knippertz, Peter/D-5861-2016; Hill, Peter G/H-5115-2011; Rosenberg, Phil/C-7724-2013; Borrmann, Stephan/E-3868-2010; /AAD-1610-2020; Adler, Bianca/B-4406-2018; Catoire, Valéry/E-9662-2015; F. de Brito, Joel/B-6181-2013; Fink, Andreas H./F-3024-2017; Taylor, Jonathan/AAD-2004-2022; Aryee, Jeffrey Nii Armah/IXN-8628-2023; Batenburg, Anneke M/E-7458-2011; Marsham, John/AAA-2277-2020; lee, sooyoon/JEP-0415-2023; Akpo, Aristide/JUV-2454-2023; Batenburg, Anneke/N-1066-2019; Chiu, Jui-Yuan Christine/E-5649-2013; Evans, Mathew John/A-3886-2012; Voigt, Christiane/G-3279-2010</t>
  </si>
  <si>
    <t>Sauer, Daniel/0000-0002-0317-5063; Knippertz, Peter/0000-0001-9856-619X; Hill, Peter G/0000-0002-9745-2120; Borrmann, Stephan/0000-0002-4774-9380; Adler, Bianca/0000-0002-0384-7456; F. de Brito, Joel/0000-0002-4420-9442; Fink, Andreas H./0000-0002-5840-2120; Taylor, Jonathan/0000-0002-2120-186X; Aryee, Jeffrey Nii Armah/0000-0002-4481-1441; Batenburg, Anneke M/0000-0002-3405-6593; Akpo, Aristide/0000-0002-4318-0123; Coe, Hugh/0000-0002-3264-1713; Rosenberg, Phil/0000-0002-6920-0559; BURNET, Frederic/0000-0003-0572-4422; Bessardon, Geoffrey/0000-0002-9067-7167; Chiu, Jui-Yuan Christine/0000-0002-8951-6913; Fosu-Amankwah, Kwabena/0000-0002-9510-2581; Lohou, Fabienne/0000-0002-4374-0127; MARI, Celine/0000-0002-2350-7475; Evans, Mathew John/0000-0003-4775-032X; Lee, James D/0000-0001-5397-2872; Marsham, John/0000-0003-3219-8472; Lothon, Marie/0000-0001-7280-6300; Bower, Keith/0000-0002-9802-3264; Voigt, Christiane/0000-0001-8925-7731; Amekudzi, Leonard Kofitse/0000-0002-2186-3425</t>
  </si>
  <si>
    <t>European Union Seventh Framework Programme [603502]; European Facility for Airborne Research (EUFAR) through project: MICWA; European Facility for Airborne Research (EUFAR) through project: APSOWA; European Facility for Airborne Research (EUFAR) through project: OLACTA; Centre National d'Etudes Spatiales (CNES); Service des Avions Francais Instrumentes pour la Recherche en Environnement (SAFIRE); British Antarctic Survey (BAS); Deutsches Zentrum fur Luft-und Raumfahrt; NERC [ncas10005, NE/R017026/1, NE/L013584/1, ncas10006, ncas10004, ncas10008, ncas10003] Funding Source: UKRI; Natural Environment Research Council [ncas10004, ncas10006, ncas10005, ncas10009, ncas10008, ncas10003] Funding Source: researchfish</t>
  </si>
  <si>
    <t>European Union Seventh Framework Programme(European Union (EU)); European Facility for Airborne Research (EUFAR) through project: MICWA; European Facility for Airborne Research (EUFAR) through project: APSOWA; European Facility for Airborne Research (EUFAR) through project: OLACTA; Centre National d'Etudes Spatiales (CNES)(Centre National D'etudes Spatiales); Service des Avions Francais Instrumentes pour la Recherche en Environnement (SAFIRE); British Antarctic Survey (BAS); Deutsches Zentrum fur Luft-und Raumfahrt(Helmholtz AssociationGerman Aerospace Centre (DLR)); NERC(UK Research &amp; Innovation (UKRI)Natural Environment Research Council (NERC)); Natural Environment Research Council(UK Research &amp; Innovation (UKRI)Natural Environment Research Council (NERC))</t>
  </si>
  <si>
    <t>The DACCIWA project has received funding from the European Union Seventh Framework Programme (FP7/2007-2013) under Grant Agreement 603502. The European Facility for Airborne Research (EUFAR; www.eufar.net/) also supported the project through the funding of three Transnational Activity projects: MICWA, APSOWA, and OLACTA (for additional details, see www.eufar.net/media/uploads/documents/filer_public/8a/93/8a93ecc5-c9b4-4536-8b9c-daa541ada8fc/eufar_newsletter_sept2016_issue17.pdf). The Centre National d'Etudes Spatiales (CNES) also provided financial support to the project. The authors are grateful to the numerous colleagues from European and African institutions that have contributed to the DACCIWA field campaign. We have listed them in the supplement to this overview paper. The Service des Avions Francais Instrumentes pour la Recherche en Environnement (SAFIRE, a joint entity of CNRS, Meteo-France, and CNES and operator of the ATR 42), the British Antarctic Survey (BAS, operator of the Twin Otter), and the Deutsches Zentrum fur Luft-und Raumfahrt (operator of the Falcon 20) are thanked for their support. The authors would also like to thank Gregor Pante for help with producing Fig. 4. We are thankful to the anonymous referees and the editor for having taken the time to review the paper and make suggestions on how to improve it. This paper is dedicated to the memory of our friend and colleague Dr. Abdou Konare, who played an important role in the preparation and accomplishment of the DACCIWA field campaign.</t>
  </si>
  <si>
    <t>AMER METEOROLOGICAL SOC</t>
  </si>
  <si>
    <t>BOSTON</t>
  </si>
  <si>
    <t>45 BEACON ST, BOSTON, MA 02108-3693 USA</t>
  </si>
  <si>
    <t>0003-0007</t>
  </si>
  <si>
    <t>1520-0477</t>
  </si>
  <si>
    <t>B AM METEOROL SOC</t>
  </si>
  <si>
    <t>Bull. Amer. Meteorol. Soc.</t>
  </si>
  <si>
    <t>10.1175/BAMS-D-16-0256.1</t>
  </si>
  <si>
    <t>FU5FN</t>
  </si>
  <si>
    <t>WOS:000423878600006</t>
  </si>
  <si>
    <t>Nuccitelli, D</t>
  </si>
  <si>
    <t>Nuccitelli, Dana</t>
  </si>
  <si>
    <t>How much and how fast will global sea level rise?</t>
  </si>
  <si>
    <t>BULLETIN OF THE ATOMIC SCIENTISTS</t>
  </si>
  <si>
    <t>Antarctic ice sheet; climate change; global warming; oceans; sea-level rise</t>
  </si>
  <si>
    <t>The basic physics of how global warming contributes to sea-level rise has long been understood, but new research gives us a clearer picture of what to expect. Prior to the 1990s, most sea-level rise was attributed to melting glaciers and the thermal expansion of warming ocean waters. However, ice sheets such as those covering Greenland and Antarctica have also begun to melt and play a significant role in raising ocean levels. The author reviews the results of a number of recent studies. Two of them conclude that the seas could rise by 3 or more feet by the year 2100, and one argued that 5 feet or more by 2100 is a possibility. Exactly what happens, and when, will be influenced by the degree to which humans reduce carbon emissions, and the uncertain dynamics of the Antarctic ice sheet. Considerable sea-level rise will occur as a consequence of the global warming humans have already caused.</t>
  </si>
  <si>
    <t>dana.nuccitelli@gmail.com</t>
  </si>
  <si>
    <t>Nuccitelli, Dana/AAT-9304-2020</t>
  </si>
  <si>
    <t>SAGE PUBLICATIONS LTD</t>
  </si>
  <si>
    <t>1 OLIVERS YARD, 55 CITY ROAD, LONDON EC1Y 1SP, ENGLAND</t>
  </si>
  <si>
    <t>0096-3402</t>
  </si>
  <si>
    <t>1938-3282</t>
  </si>
  <si>
    <t>B ATOM SCI</t>
  </si>
  <si>
    <t>Bull. Atom. Scient.</t>
  </si>
  <si>
    <t>10.1080/00963402.2018.1461894</t>
  </si>
  <si>
    <t>International Relations; Social Issues</t>
  </si>
  <si>
    <t>GE9CF</t>
  </si>
  <si>
    <t>WOS:000431526800001</t>
  </si>
  <si>
    <t>Smellie, JL; Rocchi, S; Johnson, JS; Di Vincenzo, G; Schaefer, JM</t>
  </si>
  <si>
    <t>Smellie, J. L.; Rocchi, S.; Johnson, J. S.; Di Vincenzo, G.; Schaefer, J. M.</t>
  </si>
  <si>
    <t>A tuff cone erupted under frozen-bed ice (northern Victoria Land, Antarctica): linking glaciovolcanic and cosmogenic nuclide data for ice sheet reconstructions</t>
  </si>
  <si>
    <t>BULLETIN OF VOLCANOLOGY</t>
  </si>
  <si>
    <t>Glaciovolcanism; Subglacial explosive eruption; Mt. Melbourne volcanic field; Pleistocene; Environmental change; 40Ar-39Ar; Cosmogenic dating; Polythermal glacier</t>
  </si>
  <si>
    <t>MARIE-BYRD LAND; BRITISH-COLUMBIA; ROSS SEA; VOLCANO; ICELAND; ERUPTIONS; EVOLUTION; PRODUCTS; ISLAND; STRATIGRAPHY</t>
  </si>
  <si>
    <t>The remains of a small volcanic centre are preserved on a thin bedrock ridge at Harrow Peaks, northern Victoria Land, Antarctica. The outcrop is interpreted as a monogenetic tuff cone relict formed by a hydrovolcanic (phreatomagmatic) eruption of mafic magma at 642 +/- 20 ka (by 40Ar-39Ar), corresponding to the peak of the Marine Isotope Stage 16 (MIS16) glacial. Although extensively dissected and strewn with glacial erratics, the outcrop shows no evidence for erosion by ice. From interpretation of the lithofacies and eruptive mechanisms, the weight of the evidence suggests that eruptions took place under a cold-based (frozen-bed) ice sheet. This is the first time that a tuff cone erupted under cold ice has been described. The most distinctive feature of the lithofacies is the dominance of massive lapilli tuff rich in fine ash matrix and abraded lapilli. The lack of stratification is probably due to repeated eruption through a conduit blasted through the ice covering the vent. The ice thickness is uncertain but it might have been as little as 100 m and the preserved tephra accumulated mainly as a crater (or ice conduit) infill. The remainder of the tuff cone edifice was probably deposited supraglacially and underwent destruction by ice advection and, particularly, collapse during a younger interglacial. Dating using Be-10 cosmogenic exposure of granitoid basement erratics indicates that the erratics are unrelated to the eruptive period. The Be-10 ages suggest that the volcanic outcrop was most recently exposed by ice decay at c. 20.8 +/- 0.8 ka (MIS2) and the associated ice was thicker than at 642 ka and probably polythermal rather than cold-based, which is normally assumed for the period.</t>
  </si>
  <si>
    <t>[Smellie, J. L.] Univ Leicester, Dept Geol, Leicester LE1 7RH, Leics, England; [Rocchi, S.] Univ Pisa, Dipartimento Sci Terra, I-56126 Pisa, Italy; [Johnson, J. S.] British Antarctic Survey, Cambridge CB3 0ET, England; [Di Vincenzo, G.] CNR, Ist Geosci &amp; Georisorse, I-56127 Pisa, Italy; [Schaefer, J. M.] Columbia Univ, Lamont Doherty Earth Observ, New York, NY 10964 USA</t>
  </si>
  <si>
    <t>University of Leicester; University of Pisa; UK Research &amp; Innovation (UKRI); Natural Environment Research Council (NERC); NERC British Antarctic Survey; Consiglio Nazionale delle Ricerche (CNR); Istituto di Geoscienze e Georisorse (IGG-CNR); Columbia University</t>
  </si>
  <si>
    <t>Smellie, JL (corresponding author), Univ Leicester, Dept Geol, Leicester LE1 7RH, Leics, England.</t>
  </si>
  <si>
    <t>jls55@le.ac.uk</t>
  </si>
  <si>
    <t>Rocchi, Sergio/A-7752-2018</t>
  </si>
  <si>
    <t>Rocchi, Sergio/0000-0001-6868-1939; DI VINCENZO, GIANFRANCO/0000-0002-9669-9789; Johnson, Joanne/0000-0003-4537-4447</t>
  </si>
  <si>
    <t>Programma Nazionale di Recherche in Antartide (PNRA) of Italy; NERC [bas0100030] Funding Source: UKRI</t>
  </si>
  <si>
    <t>Programma Nazionale di Recherche in Antartide (PNRA) of Italy; NERC(UK Research &amp; Innovation (UKRI)Natural Environment Research Council (NERC))</t>
  </si>
  <si>
    <t>The authors gratefully acknowledge the support of the Programma Nazionale di Recherche in Antartide (PNRA) of Italy, which provided all of the logistics involved and supported the research. We are also grateful to the British Antarctic Survey for supporting the acquisition of cosmogenic surface exposure ages; to the pilots Mark Read, Giles de Garnham and Bob McElhinney, and ground crews of Helicopters New Zealand who flew us so safely during the fieldwork; and Alberto Della Rovere and Giuseppe De Rossi, Base Commanders at the Italian Mario Zuchelli Station, and all the station support personnel who made us very welcome during our stay in 2005-06 and 2011-12, when the fieldwork for this study took place. The authors are also grateful for the helpful reviews of our paper by Guido Giordano, Naki Akcar, Benjamin Edwards and associate editor Pierre-Simon Ross, and final constructive comments by the senior editor Andy Harris.</t>
  </si>
  <si>
    <t>ONE NEW YORK PLAZA, SUITE 4600, NEW YORK, NY, UNITED STATES</t>
  </si>
  <si>
    <t>0258-8900</t>
  </si>
  <si>
    <t>1432-0819</t>
  </si>
  <si>
    <t>B VOLCANOL</t>
  </si>
  <si>
    <t>Bull. Volcanol.</t>
  </si>
  <si>
    <t>10.1007/s00445-017-1185-x</t>
  </si>
  <si>
    <t>FS4EL</t>
  </si>
  <si>
    <t>WOS:000419740400004</t>
  </si>
  <si>
    <t>Shi, G; Teng, J; Ma, H; Wang, D; Li, Y</t>
  </si>
  <si>
    <t>Shi, G.; Teng, J.; Ma, H.; Wang, D.; Li, Y.</t>
  </si>
  <si>
    <t>Metals in topsoil in Larsemann Hills, an ice-free area in East Antarctica: Lithological and anthropogenic inputs</t>
  </si>
  <si>
    <t>CATENA</t>
  </si>
  <si>
    <t>Metal; Topsoil; Larsemann Hills; Source</t>
  </si>
  <si>
    <t>KING GEORGE ISLAND; TRACE-ELEMENT CONTAMINATION; DRY DEPOSITION FLUXES; HEAVY-METALS; FILDES PENINSULA; SURFACE SOILS; VICTORIA LAND; BASE-LINE; STATION; SEDIMENTS</t>
  </si>
  <si>
    <t>Although metal accumulation has been investigated in coastal Antarctic soil, the information about to what extent station activities influence soil quality remains limited, especially in East Antarctica. Here, we carried out an investigation on element accumulation (Pb, Zn, Cu, Ni, Mn, Cr, Ti, Zr, Fe, Ca, K, Al, Mg and Na) in topsoils collected from Larsemann Hills, the second largest oasis along East Antarctica. Results show that metal contents in soils generally fall within the ranges of local rocks, suggesting a dominant source of parent minerals. In spatial, a content gradient of Pb was found, with elevated values inside station areas, while no obvious trend was found for other metals. Contents of total organic carbon (TOC) and nitrogen are rather low, and no association exists between metals and TOC or nitrogen, suggesting a minor role of nutrients in soil metal accumulation in this cold-xeric environment. Chemical weathering assessment suggests a low degree of chemical weathering in topsoils in Larsemann Hills. The results of multivariate statistical analysis suggest that lithological inputs are the dominant source of soil metals, and the different metal groups are likely associated with different geochemistry of elements during weathering process. Among the observed 14 metals, only soil Pb levels was affected by local human activities, but this influence is only confined to inside station areas. The influences of marine inputs and long-range pollutant transport on metal levels in topsoils were found to be negligible.</t>
  </si>
  <si>
    <t>[Shi, G.; Wang, D.] East China Normal Univ, Sch Geog Sci, Shanghai 200241, Peoples R China; [Shi, G.; Ma, H.; Li, Y.] Polar Res Inst China, Shanghai 200136, Peoples R China; [Teng, J.] Shanghai Acad Landscape Architecture Sci &amp; Planni, Shanghai 200232, Peoples R China</t>
  </si>
  <si>
    <t>East China Normal University; Polar Research Institute of China</t>
  </si>
  <si>
    <t>Shi, G (corresponding author), 451 Jinqiao Rd, Shanghai 200136, Peoples R China.</t>
  </si>
  <si>
    <t>gt_shi@163.com</t>
  </si>
  <si>
    <t>Wang, Dongqi/D-7754-2013</t>
  </si>
  <si>
    <t>Wang, Dongqi/0000-0002-7850-3834</t>
  </si>
  <si>
    <t>National Science Foundation of China [41576190, 41206188]; Chinese Arctic and Antarctic Administration [201601]; Chinese Polar Environment Comprehensive Investigation and Assessment Programmes [CHINARE 201X-02-02, 201X-04-01]</t>
  </si>
  <si>
    <t>National Science Foundation of China(National Natural Science Foundation of China (NSFC)); Chinese Arctic and Antarctic Administration; Chinese Polar Environment Comprehensive Investigation and Assessment Programmes</t>
  </si>
  <si>
    <t>This project was supported by the National Science Foundation of China (Grant nos. 41576190 and 41206188), the International Cooperative Project of the Chinese Arctic and Antarctic Administration (Grant no. 201601), and Chinese Polar Environment Comprehensive Investigation and Assessment Programmes (Grant nos. CHINARE 201X-02-02 and 201X-04-01). The authors express their appreciation to CHINARE members for providing help during sampling. The authors would like to thank all the editors and two anonymous reviewers for their help in the development and improvement of this paper.</t>
  </si>
  <si>
    <t>0341-8162</t>
  </si>
  <si>
    <t>1872-6887</t>
  </si>
  <si>
    <t>Catena</t>
  </si>
  <si>
    <t>10.1016/j.catena.2017.09.001</t>
  </si>
  <si>
    <t>Geosciences, Multidisciplinary; Soil Science; Water Resources</t>
  </si>
  <si>
    <t>Geology; Agriculture; Water Resources</t>
  </si>
  <si>
    <t>FM3BX</t>
  </si>
  <si>
    <t>WOS:000414880400005</t>
  </si>
  <si>
    <t>Zhao, CJ; Yao, YB; Kong, J; Li, LL</t>
  </si>
  <si>
    <t>Zhao, Cunjie; Yao, Yibin; Kong, Jian; Li, Leilei</t>
  </si>
  <si>
    <t>Influence of Three Ionospheric Models on Navigation Positioning Accuracy in China</t>
  </si>
  <si>
    <t>CHINA SATELLITE NAVIGATION CONFERENCE (CSNC) 2018 PROCEEDINGS, VOL II</t>
  </si>
  <si>
    <t>Ionospheric delay; NeQuick model; GPS klobuchar model; BDS klobuchar model; Single point positioning</t>
  </si>
  <si>
    <t>Ionospheric delay error is one of the most important errors in navigation and positioning. Ignoring the effects of the second and the upper order terms of the ionosphere, dual-frequency/multi-frequency receivers eliminate the effects of ionospheric delay error through ionosphere-free combination model, while single frequency receivers can only weak the ionospheric delay error through the ionospheric model parameters broadcasted by satellite navigation and positioning systems. In the current major satellite navigation systems, GPS uses the Klobuchar ionosphere model, BDS uses the improved Klobuchar ionosphere model, and Galileo uses the NeQuick ionosphere model. Analysing the influence of GPS Klobuchar model, BDS Klobuchar model and NeQuick model on navigation and positioning accuracy in China has great significance to guide the single frequency receivers in China to select the suitable ionospheric parameters broadcasted by satellite navigation and positioning systems. In this paper, GPS L1 single-frequency observation data of 8 sites in Crustal Movement Observation Network of China are used, the GPS Klobuchar model, BDS Klobuchar model and NeQuick model are selected for single point positioning. The final positioning results are compared to evaluate the correction accuracy of the three models in China. The results show that choosing the NeQuick ionosphere parameters in China is more conducive to improving the navigation positioning accuracy in the region, followed by selecting the BDS Klobuchar ionosphere parameters and finally selecting the GPS Klobuchar ionosphere parameters.</t>
  </si>
  <si>
    <t>[Zhao, Cunjie; Yao, Yibin] Wuhan Univ, Sch Geodesy &amp; Geomat, Wuhan, Hubei, Peoples R China; [Kong, Jian] Chinese Antarctic Ctr Surveying &amp; Mapping, Wuhan, Hubei, Peoples R China; [Li, Leilei] Chongqing Univ, Coll Aerosp Engn, Chongqing, Peoples R China</t>
  </si>
  <si>
    <t>Wuhan University; Chongqing University</t>
  </si>
  <si>
    <t>Zhao, CJ (corresponding author), Wuhan Univ, Sch Geodesy &amp; Geomat, Wuhan, Hubei, Peoples R China.</t>
  </si>
  <si>
    <t>zhao.cunjie@163.com</t>
  </si>
  <si>
    <t>Yao, Yibin/AAM-9653-2020; Kong, Jian/HZH-7744-2023</t>
  </si>
  <si>
    <t>Yao, Yibin/0000-0002-7723-4601;</t>
  </si>
  <si>
    <t>978-981-13-0014-1; 978-981-13-0013-4</t>
  </si>
  <si>
    <t>10.1007/978-981-13-0014-1_41</t>
  </si>
  <si>
    <t>BL5FQ</t>
  </si>
  <si>
    <t>WOS:000451375100041</t>
  </si>
  <si>
    <t>Ma, JC; Stevens, GW; Mumford, KA</t>
  </si>
  <si>
    <t>Ma, Junchao; Stevens, Geoffrey W.; Mumford, Kathryn A.</t>
  </si>
  <si>
    <t>The effect of temperature on hydrocarbon adsorption by diphenyldichlorosilane coated zeolite and its application in permeable reactive barriers in cold regions</t>
  </si>
  <si>
    <t>COLD REGIONS SCIENCE AND TECHNOLOGY</t>
  </si>
  <si>
    <t>Permeable reactive barriers; Toluene adsorption; DPDSCI coated zeolite; Adsorption isotherms</t>
  </si>
  <si>
    <t>SURFACTANT-MODIFIED ZEOLITE; CHLORINATED ORGANIC-COMPOUNDS; MODIFIED NATURAL ZEOLITE; ACTIVATED CARBON; PETROLEUM-HYDROCARBONS; REMEDIATION; SORPTION; REMOVAL; WATER; ANTARCTICA</t>
  </si>
  <si>
    <t>Zeolite was modified and characterized for its potential application in permeable reactive barriers tasked with fuel removal. Characterization was accomplished to compare the material structure before and after the modification process. Batch sorption tests were performed to detect hydrocarbon capture performance, and regeneration experiments were conducted to determine longevity. Adsorption isotherms and thermodynamics were studied to determine the mechanism of hydrocarbon capture. Diphenyldichlorosilane (DPDSCI), a unique reactive chlorosilane with two phenyl groups, was selected to coat the zeolite. The surface characterization results revealed that the modification was successful and the inner structure of zeolite maintained its porosity. Hydrocarbon adsorption tests presented good toluene adsorption performance even under cold temperatures. Regeneration experiments indicated this modified zeolite could be used multiple times without a significant reduction in adsorption efficiency. The Langmuir adsorption isotherm fitted toluene adsorption well and the process occurred spontaneously. Based on this performance, this modified zeolite was found suitable for future application for groundwater remediation in cold regions.</t>
  </si>
  <si>
    <t>[Ma, Junchao; Stevens, Geoffrey W.; Mumford, Kathryn A.] Univ Melbourne, Dept Chem &amp; Biomol Engn, Particulate Fluids Proc Ctr, Melbourne, Vic 3010, Australia</t>
  </si>
  <si>
    <t>University of Melbourne; Melbourne Bioinformatics</t>
  </si>
  <si>
    <t>Mumford, KA (corresponding author), Univ Melbourne, Dept Chem &amp; Biomol Engn, Particulate Fluids Proc Ctr, Melbourne, Vic 3010, Australia.</t>
  </si>
  <si>
    <t>junchaom@student.unimelb.edu.au; gstevens@unimelb.edu.au; mumfordk@unimelb.edu.au</t>
  </si>
  <si>
    <t>Mumford, Kathryn A/M-6566-2015</t>
  </si>
  <si>
    <t>Stevens, Geoffrey/0000-0002-5788-4682</t>
  </si>
  <si>
    <t>Particulate Fluids Processing Centre, a Special Research Centre of the Australia Research Council; Australian Antarctic Division; University of Melbourne; Chinese Scholarship Council</t>
  </si>
  <si>
    <t>Particulate Fluids Processing Centre, a Special Research Centre of the Australia Research Council; Australian Antarctic Division; University of Melbourne(University of Melbourne); Chinese Scholarship Council(China Scholarship Council)</t>
  </si>
  <si>
    <t>This study was supported by the Particulate Fluids Processing Centre, a Special Research Centre of the Australia Research Council. The Australian zeolite was supplied by the Australian Antarctic Division. Thanks to University of Melbourne and Chinese Scholarship Council for scholarship support.</t>
  </si>
  <si>
    <t>0165-232X</t>
  </si>
  <si>
    <t>1872-7441</t>
  </si>
  <si>
    <t>COLD REG SCI TECHNOL</t>
  </si>
  <si>
    <t>Cold Reg. Sci. Tech.</t>
  </si>
  <si>
    <t>10.1016/j.coldregions.2017.10.020</t>
  </si>
  <si>
    <t>Engineering, Environmental; Engineering, Civil; Geosciences, Multidisciplinary</t>
  </si>
  <si>
    <t>Engineering; Geology</t>
  </si>
  <si>
    <t>FN2PC</t>
  </si>
  <si>
    <t>WOS:000415834800018</t>
  </si>
  <si>
    <t>Blagoveshchenskaya, NF; Borisova, TD; Kalishin, AS; Kayatkin, VN; Yeoman, TK; Häggström, I</t>
  </si>
  <si>
    <t>Blagoveshchenskaya, N. F.; Borisova, T. D.; Kalishin, A. S.; Kayatkin, V. N.; Yeoman, T. K.; Haggstrom, I.</t>
  </si>
  <si>
    <t>Comparison of the Effects Induced by the Ordinary (O-Mode) and Extraordinary (X-Mode) Polarized Powerful HF Radio Waves in the High-Latitude Ionospheric F Region</t>
  </si>
  <si>
    <t>COSMIC RESEARCH</t>
  </si>
  <si>
    <t>LANGMUIR TURBULENCE; EISCAT; TROMSO; INSTABILITIES; BACKSCATTER; FREQUENCIES; CUTLASS; RADARS</t>
  </si>
  <si>
    <t>Using the results of coordinated experiments on the modification of the high-latitude ionosphere by powerful HF radio emission of the EISCAT/Heating facility, effects of the impact of powerful HF radio waves of the ordinary (O-mode) and extraordinary (X-mode) polarization on the high-latitude ionospheric F region have been compared. During the experiments, a powerful HF radio wave was emitted in the magnetic zenith direction at frequencies within the 4.5-7.9 MHz range. The effective power of the emission was 150650 MW. The behavior and characteristics of small-scale artificial ionospheric irregularities (SAIIs) during O-and X-heating at low and high frequencies are considered in detail. A principal difference has been found in the development of the Langmuir and ion-acoustic turbulence (intensified by the heating of the plasma and ion-acoustic lines in the spectrum of the EISCAT radar of incoherent scatter of radio waves) in the O and X-heating cycles after switching on the heating facility. It has been shown that, under the influence on the ionospheric plasma of a powerful HF radio wave of the.-polarization, intense spectral components in the spectrum of the narrow-band artificial ionospheric radio emission (ARI) were registered at distances on the order of 1200 km from the heating facility.</t>
  </si>
  <si>
    <t>[Blagoveshchenskaya, N. F.; Borisova, T. D.; Kalishin, A. S.; Kayatkin, V. N.] Arctic &amp; Antarctic Res Inst, St Petersburg, Russia; [Yeoman, T. K.] Univ Leicester, Dept Phys &amp; Astron, Leicester, Leics, England; [Haggstrom, I.] EISCAT Sci Assoc, SE-96128 Kiruna, Sweden</t>
  </si>
  <si>
    <t>Arctic &amp; Antarctic Research Institute; University of Leicester</t>
  </si>
  <si>
    <t>Blagoveshchenskaya, NF (corresponding author), Arctic &amp; Antarctic Res Inst, St Petersburg, Russia.</t>
  </si>
  <si>
    <t>nataly@aari.nw.ru</t>
  </si>
  <si>
    <t>Borisova, Tatiana/AAK-7698-2020; Yeoman, Timothy k/L-9105-2014</t>
  </si>
  <si>
    <t>Yeoman, Timothy k/0000-0002-8434-4825; Kalishin, Alexey/0000-0001-7299-6546; Haggstrom, Ingemar/0000-0003-1070-6915</t>
  </si>
  <si>
    <t>Finnish Meteorological Institute; Swedish Institute of Space Physics; NERC [NE/K011766/1]; NERC [NE/R01700X/1, eiscat01001] Funding Source: UKRI; STFC [ST/N000749/1] Funding Source: UKRI; Natural Environment Research Council [NE/R01700X/1, eiscat01001] Funding Source: researchfish; Science and Technology Facilities Council [ST/N000749/1] Funding Source: researchfish</t>
  </si>
  <si>
    <t>Finnish Meteorological Institute; Swedish Institute of Space Physics; NERC(UK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</si>
  <si>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The authors thank the EISCAT European Scientific Association. The system of CUTLASS radars in Finland and Iceland is sponsored by the Finnish Meteorological Institute and Swedish Institute of Space Physics. T.K. Yeoman was supported by the NERC grant NE/K011766/1. We thank M.T. Rietveld for the help in conducting experiments at Tromso, Norway.</t>
  </si>
  <si>
    <t>MAIK NAUKA/INTERPERIODICA/SPRINGER</t>
  </si>
  <si>
    <t>233 SPRING ST, NEW YORK, NY 10013-1578 USA</t>
  </si>
  <si>
    <t>0010-9525</t>
  </si>
  <si>
    <t>1608-3075</t>
  </si>
  <si>
    <t>COSMIC RES+</t>
  </si>
  <si>
    <t>Cosmic Res.</t>
  </si>
  <si>
    <t>10.1134/S0010952518010045</t>
  </si>
  <si>
    <t>Engineering, Aerospace; Astronomy &amp; Astrophysics</t>
  </si>
  <si>
    <t>Engineering; Astronomy &amp; Astrophysics</t>
  </si>
  <si>
    <t>FT7GJ</t>
  </si>
  <si>
    <t>WOS:000423320600002</t>
  </si>
  <si>
    <t>Kumar, R; Mukherji, S</t>
  </si>
  <si>
    <t>Kumar, Reeti; Mukherji, Suparna</t>
  </si>
  <si>
    <t>Threat Posed by Persistent Organochlorine Pesticides and their Mobility in the Environment</t>
  </si>
  <si>
    <t>CURRENT ORGANIC CHEMISTRY</t>
  </si>
  <si>
    <t>Bioaccumulation; biomagnification; carcinogenesis; endocrine disruption; fate; toxicity</t>
  </si>
  <si>
    <t>HUMAN BREAST-MILK; POLYBROMINATED DIPHENYL ETHERS; POLYCHLORINATED-BIPHENYLS PCBS; ORGANIC POLLUTANTS; SURFACE-WATER; RISK-ASSESSMENT; SERUM-LEVELS; HUMAN BLOOD; CHLORINATED PESTICIDES; CONTAMINATION LEVELS</t>
  </si>
  <si>
    <t>Organochlorine pesticides have been extensively used for eradication of pests in an attempt to increase food security. They are also used for control of vectors that spread infectious diseases. Pest outbreaks and spread of infectious diseases is dominant in tropical countries, such as, India, characterized by high temperature and humidity. This has consequently promoted indiscriminate use of pesticides. Environmental conditions in tropical countries are also conducive for rapid dissipation of toxic pesticide residues from their point of application. Despite the ban on organochlorine pesticides, these are still being used illegally. Due to large-scale production, extensive usage and persistent nature, presence of pesticides is reported throughout the environment, in air, water and soil/sediments. Pesticide residues have also been found both in the Arctic and Antarctic as a result of global distillation. The fate of pesticides is affected by their physicochemical properties, the prevailing environmental conditions and the geographic location. Pesticides may get volatilized into the atmosphere through aerial drift, may enter surface water bodies in dissolved and particulate forms with run-off and may also leach through the soil to contaminate groundwater. Pesticides may get partially transformed through chemical and biological processes. Lipophilic pesticides and their residues have been linked with dramatic population loss in some organisms due to bioaccumulation within tissues and interference in functioning of the endocrine system. This paper attempts to elucidate the fate of organochlorine pesticides in the environment, inherent toxicity and transport and transformation mechanisms that affect their behaviour in the environment.</t>
  </si>
  <si>
    <t>[Kumar, Reeti; Mukherji, Suparna] Indian Inst Technol, CESE, Bombay 400076, Maharashtra, India</t>
  </si>
  <si>
    <t>Indian Institute of Technology System (IIT System); Indian Institute of Technology (IIT) - Bombay</t>
  </si>
  <si>
    <t>Mukherji, S (corresponding author), Indian Inst Technol, CESE, Bombay 400076, Maharashtra, India.</t>
  </si>
  <si>
    <t>mitras@iitb.ac.in</t>
  </si>
  <si>
    <t>BENTHAM SCIENCE PUBL LTD</t>
  </si>
  <si>
    <t>SHARJAH</t>
  </si>
  <si>
    <t>EXECUTIVE STE Y-2, PO BOX 7917, SAIF ZONE, 1200 BR SHARJAH, U ARAB EMIRATES</t>
  </si>
  <si>
    <t>1385-2728</t>
  </si>
  <si>
    <t>1875-5348</t>
  </si>
  <si>
    <t>CURR ORG CHEM</t>
  </si>
  <si>
    <t>Curr. Org. Chem.</t>
  </si>
  <si>
    <t>10.2174/1385272822666171227150106</t>
  </si>
  <si>
    <t>Chemistry, Organic</t>
  </si>
  <si>
    <t>Chemistry</t>
  </si>
  <si>
    <t>GI1NS</t>
  </si>
  <si>
    <t>WOS:000434137900003</t>
  </si>
  <si>
    <t>Meilland, J; Schiebel, R; Lo Monaco, C; Sanchez, S; Howa, H</t>
  </si>
  <si>
    <t>Meilland, J.; Schiebel, R.; Lo Monaco, C.; Sanchez, S.; Howa, H.</t>
  </si>
  <si>
    <t>Abundances and test weights of living planktic foraminifers across the Southwest Indian Ocean: Implications for carbon fluxes</t>
  </si>
  <si>
    <t>DEEP-SEA RESEARCH PART I-OCEANOGRAPHIC RESEARCH PAPERS</t>
  </si>
  <si>
    <t>Biological carbon pump; Southern Ocean; Kerguelen Plateau; Crozet Islands</t>
  </si>
  <si>
    <t>NATURAL IRON-FERTILIZATION; SOUTHERN-OCEAN; SEDIMENT TRAPS; GLOBIGERINA BULLOIDES; KERGUELEN ISLANDS; DISSOLVED IRON; NORTH-ATLANTIC; EXPORT FLUXES; POLAR FRONT; TEMPERATURE</t>
  </si>
  <si>
    <t>Calcifying marine organisms include planktic foraminifers that contribute to the marine carbon turnover by generating inorganic carbon production (CaCO3, shell) and flux. In this study, we have analyzed assemblages at the morphospecies level and abundances of living planktic foraminifers (LPF) from ten stations located in the Southwest Indian Ocean, and sampled in austral summer 2012. LPF density ranges from zero in the Subtropical Zone (STZ) to 944 individuals m(-3) in the Polar Frontal Zone (PFZ), and is composed by up to 80% by the four species Neogloboquadrina pachyderma, Neogloboquadrina incompta, Globigerina bulloides, and Globigerinita uvula. For the entire region, we measured the individual morphometry and test mass (CaCO3) of 454 tests of living planktic foraminifers in order to calculate inorganic carbon standing stocks, as well as carbon flux. In the STZ, the average daily planktic foraminifer CaCO3 flux at 100 in water depth is low (&lt; 0.22 mg m(-2) d(-1)), whereas south of the Sub-Antarctic Zone (SAZ), in the PFZ and Antarctic Zone (AAZ), it reaches up to 49.41 mg m(-2) d(-1) and 2.20 mg m(-2) d(-1), respectively. The large regional variability in CaCO3 production and flux of LPF assemblages affects the marine carbonate system to varying degrees, depending on hydrological conditions. We conclude that recent changes in the position of hydrological fronts could induce a decrease in the LPF-related carbonate counter pump, which increases the oceanic uptake of CO2, and counteracts climate warming.</t>
  </si>
  <si>
    <t>[Meilland, J.; Schiebel, R.; Sanchez, S.; Howa, H.] Angers Univ, UMR 6112, LPG BIAF, Recent &amp; Fossil Bioindicators, 2 Blvd Lavoisier, F-49045 Angers, France; [Schiebel, R.] Max Planck Inst Chem, Hahn Meitner Weg 1, D-55128 Mainz, Germany; [Lo Monaco, C.] Univ Paris 06, UPMC, Sorbonne Univ, CNRS IRD MNHN,LOCEAN Lab, 4 Pl Jussieu, F-75084 Paris, France</t>
  </si>
  <si>
    <t>Centre National de la Recherche Scientifique (CNRS); CNRS - National Institute for Earth Sciences &amp; Astronomy (INSU); Universite d'Angers; Max Planck Society; Museum National d'Histoire Naturelle (MNHN); Sorbonne Universite; Institut de Recherche pour le Developpement (IRD)</t>
  </si>
  <si>
    <t>Meilland, J (corresponding author), Angers Univ, UMR 6112, LPG BIAF, Recent &amp; Fossil Bioindicators, 2 Blvd Lavoisier, F-49045 Angers, France.</t>
  </si>
  <si>
    <t>meilland.julie@wanadoo.fr</t>
  </si>
  <si>
    <t>Meilland, Julie/AAE-9031-2021; Monaco, Claire Lo/E-1696-2012</t>
  </si>
  <si>
    <t>Meilland, Julie/0000-0001-8966-3115; Schiebel, Ralf/0000-0002-6252-7647; Lo Monaco, Claire/0000-0002-5653-5018; Howa, Helene/0000-0003-1532-4211</t>
  </si>
  <si>
    <t>Ministry of Higher Education and Scientific Research, France; LEFE/CYBER</t>
  </si>
  <si>
    <t>The authors want to thank the crew and captain of R.V. Marion Dufresne, as well as the scientific participants for their support in sampling during the cruise Indien-Sud, MD189. We gratefully acknowledge the help of the OISO team, supported by the French agencies INSU (Institut National des Sciences de l'Univers) and IPEV (Institut Polaire Francais Paul-Emile Victor), for providing technical support and data. The work was financially supported by the Ministry of Higher Education and Scientific Research, France, and contributes to the SOforCO2 project supported by LEFE/CYBER. We thank the editor, one anonymous reviewer and Lukas Jonkers for their suggestions, which have helped to further improve our manuscript.</t>
  </si>
  <si>
    <t>0967-0637</t>
  </si>
  <si>
    <t>1879-0119</t>
  </si>
  <si>
    <t>DEEP-SEA RES PT I</t>
  </si>
  <si>
    <t>Deep-Sea Res. Part I-Oceanogr. Res. Pap.</t>
  </si>
  <si>
    <t>10.1016/j.dsr.2017.11.004</t>
  </si>
  <si>
    <t>FW3JS</t>
  </si>
  <si>
    <t>WOS:000425203300003</t>
  </si>
  <si>
    <t>Fan, LL; Gao, HJ; Xiao, QK</t>
  </si>
  <si>
    <t>Fan, Lili; Gao, Hongjun; Xiao, Qingkun</t>
  </si>
  <si>
    <t>An exact solution for geophysical trapped waves in the presence of an underlying current</t>
  </si>
  <si>
    <t>DYNAMICS OF PARTIAL DIFFERENTIAL EQUATIONS</t>
  </si>
  <si>
    <t>Exact solution; Lagrangian variables; Coriolis force; Wave-current interactions</t>
  </si>
  <si>
    <t>ANTARCTIC CIRCUMPOLAR CURRENT; BETA-PLANE APPROXIMATION; EDGE WAVES; GERSTNER WAVES; SLOPING BEACH; ROTATION; WATER</t>
  </si>
  <si>
    <t>In this paper we propose an exact and explicit nonlinear solution to the governing equations which retains all the Coriolis terms. In the presence of an underlying current, we seek the trapped waves induced by these solutions in Northern and Southern hemisphere respectively, showing that the retention of the Coriolis force in the governing equations affects significantly the range of the admissible following and adverse currents.</t>
  </si>
  <si>
    <t>[Fan, Lili] Henan Normal Univ, Coll Math &amp; Informat Sci, Xinxiang 453007, Peoples R China; [Gao, Hongjun] Nanjing Normal Univ, Inst Math, Sch Math Sci, Nanjing 210023, Jiangsu, Peoples R China; [Gao, Hongjun] Nanjing Normal Univ, Jiangsu Ctr Collaborat Innovat Geog Informat Reso, Nanjing 210023, Jiangsu, Peoples R China; [Xiao, Qingkun] Nanjing Agr Univ, Coll Sci, Nanjing 210095, Jiangsu, Peoples R China</t>
  </si>
  <si>
    <t>Henan Normal University; Nanjing Normal University; Nanjing Normal University; Nanjing Agricultural University</t>
  </si>
  <si>
    <t>Gao, HJ (corresponding author), Nanjing Normal Univ, Inst Math, Sch Math Sci, Nanjing 210023, Jiangsu, Peoples R China.;Gao, HJ (corresponding author), Nanjing Normal Univ, Jiangsu Ctr Collaborat Innovat Geog Informat Reso, Nanjing 210023, Jiangsu, Peoples R China.</t>
  </si>
  <si>
    <t>fanlily89@126.com; gaohj@njnu.edu.cn; xiaoqk@njau.edu.cn</t>
  </si>
  <si>
    <t>Gao, Hongjun/0000-0002-5111-1179</t>
  </si>
  <si>
    <t>NSFC [11701155, 11171158]; NSF of Henan Normal University [2016QK03]; Startup Foundation for Introducing Talent of Henan Normal University [qd16150]; National Basic Research Program of China (973 Program) [2013CB834100]; PAPD of Jiangsu Higher Education Institutions; Fundamental Research Funds for the Central Universities [KYZ201748]</t>
  </si>
  <si>
    <t>NSFC(National Natural Science Foundation of China (NSFC)); NSF of Henan Normal University; Startup Foundation for Introducing Talent of Henan Normal University; National Basic Research Program of China (973 Program)(National Basic Research Program of China); PAPD of Jiangsu Higher Education Institutions; Fundamental Research Funds for the Central Universities(Fundamental Research Funds for the Central Universities)</t>
  </si>
  <si>
    <t>The work of Fan is supported by a NSFC Grant No. 11701155, NSF of Henan Normal University, Grant No. 2016QK03, and the Startup Foundation for Introducing Talent of Henan Normal University, Grant No. qd16150. The work of Gao is partially supported by the NSFC grant No. 11171158, National Basic Research Program of China (973 Program) No. 2013CB834100, and PAPD of Jiangsu Higher Education Institutions. The work of Xiao is partially supported by the Fundamental Research Funds for the Central Universities (Grant No. KYZ201748).</t>
  </si>
  <si>
    <t>INT PRESS BOSTON, INC</t>
  </si>
  <si>
    <t>SOMERVILLE</t>
  </si>
  <si>
    <t>PO BOX 43502, SOMERVILLE, MA 02143 USA</t>
  </si>
  <si>
    <t>1548-159X</t>
  </si>
  <si>
    <t>DYNAM PART DIFFER EQ</t>
  </si>
  <si>
    <t>Dyn. Partial Differ. Equ.</t>
  </si>
  <si>
    <t>10.4310/DPDE.2018.v15.n3.a3</t>
  </si>
  <si>
    <t>Mathematics, Applied</t>
  </si>
  <si>
    <t>Mathematics</t>
  </si>
  <si>
    <t>GH4QU</t>
  </si>
  <si>
    <t>WOS:000433390000003</t>
  </si>
  <si>
    <t>Miller, MF</t>
  </si>
  <si>
    <t>Miller, Martin F.</t>
  </si>
  <si>
    <t>Precipitation regime influence on oxygen triple-isotope distributions in Antarctic precipitation and ice cores</t>
  </si>
  <si>
    <t>water isotopologues; precipitation; O-17-excess; Antarctica; ice cores</t>
  </si>
  <si>
    <t>STABLE-ISOTOPES; SURFACE SNOW; FRACTIONATION LAWS; EAST ANTARCTICA; VOSTOK STATION; WATER-VAPOR; DOME FUJI; D-EXCESS; O-17-EXCESS; DELTA-O-17</t>
  </si>
  <si>
    <t>The relative abundance of O-17 in meteoric precipitation is usually reported in terms of the O-17-excess parameter. Variations of O-17-excess in Antarctic precipitation and ice cores have hitherto been attributed to normalised relative humidity changes at the moisture source region, or to the influence of a temperature-dependent supersaturation-controlled kinetic isotope effect during in-cloud ice formation below -20 degrees C. Neither mechanism, however, satisfactorily explains the large range of O-17-excess values reported from measurements. A different approach, based on the regression characteristics of 10(3)ln(1 + delta O-17) versus 10(3)ln(1 + delta O-18), is applied here to previously published isotopic data sets. The analysis indicates that clear-sky precipitation ('diamond dust'), which occurs widely in inland Antarctica, is characterised by an unusual relative abundance of O-17, distinct from that associated with cloud-derived, synoptic snowfall. Furthermore, this distinction appears to be largely preserved in the ice core record. The respective mass contributions to snowfall accumulation-on both temporal and spatial scales-provides the basis of a simple, first-order explanation for the observed oxygen triple-isotope ratio variations in Antarctic precipitation, surface snow and ice cores. Using this approach, it is shown that precipitation during the last major deglaciation, both in western Antarctica at the West Antarctic Ice Sheet (WAIS) Divide and at Vostok on the eastern Antarctic plateau, consisted essentially of diamond dust only, despite a large temperature differential (and thus different water vapour supersaturation conditions) at the two locations. In contrast, synoptic snowfall events dominate the accumulation record throughout the Holocene at both sites. (C) 2017 Elsevier B.V. All rights reserved.</t>
  </si>
  <si>
    <t>[Miller, Martin F.] Open Univ, Sch Phys Sci, Planetary &amp; Space Sci, Walton Hall, Milton Keynes MK7 6AA, Bucks, England; [Miller, Martin F.] British Antarctic Survey, Madingley Rd, Cambridge CB3 0ET, England</t>
  </si>
  <si>
    <t>Open University - UK; UK Research &amp; Innovation (UKRI); Natural Environment Research Council (NERC); NERC British Antarctic Survey</t>
  </si>
  <si>
    <t>Miller, MF (corresponding author), Open Univ, Sch Phys Sci, Planetary &amp; Space Sci, Walton Hall, Milton Keynes MK7 6AA, Bucks, England.;Miller, MF (corresponding author), British Antarctic Survey, Madingley Rd, Cambridge CB3 0ET, England.</t>
  </si>
  <si>
    <t>m.f.miller@open.ac.uk</t>
  </si>
  <si>
    <t>Miller, Martin F./AAG-7303-2022; Miller, Martin F./AFL-7337-2022</t>
  </si>
  <si>
    <t>Miller, Martin F./0000-0002-7735-0098; Miller, Martin F./0000-0002-7735-0098</t>
  </si>
  <si>
    <t>Open University; NERC [bas010011] Funding Source: UKRI</t>
  </si>
  <si>
    <t>Open University(Open University - UK); NERC(UK Research &amp; Innovation (UKRI)Natural Environment Research Council (NERC))</t>
  </si>
  <si>
    <t>Harro A.J. Meijer and Andreas Pack are thanked for their authoritative and constructive reviews. In his review, Prof. Dr. Meijer included new information derived from archived (unpublished) data and generously gave permission for those findings to be included in this paper (Section 3.1). Appreciation is also expressed to the Open University for a Visiting Research Fellowship, which facilitated the preparation of this work.</t>
  </si>
  <si>
    <t>JAN 1</t>
  </si>
  <si>
    <t>10.1016/j.epsl.2017.10.035</t>
  </si>
  <si>
    <t>FQ8QB</t>
  </si>
  <si>
    <t>WOS:000418626900032</t>
  </si>
  <si>
    <t>Krüger, L; Ramos, JA; Xavier, JC; Grémillet, D; González-Solís, J; Petry, MV; Phillips, RA; Wanless, RM; Paiva, VH</t>
  </si>
  <si>
    <t>Kruger, L.; Ramos, J. A.; Xavier, J. C.; Gremillet, D.; Gonzalez-Solis, J.; Petry, M. V.; Phillips, R. A.; Wanless, R. M.; Paiva, V. H.</t>
  </si>
  <si>
    <t>Projected distributions of Southern Ocean albatrosses, petrels and fisheries as a consequence of climatic change</t>
  </si>
  <si>
    <t>ECOGRAPHY</t>
  </si>
  <si>
    <t>AT-SEA DISTRIBUTION; PENGUINS APTENODYTES-PATAGONICUS; SPECIES DISTRIBUTION MODELS; PELAGIC LONGLINE FISHERY; TOP PREDATORS; ROUND DISTRIBUTION; SEABIRD BYCATCH; RANGE SHIFTS; BY-CATCH; POPULATION-DYNAMICS</t>
  </si>
  <si>
    <t>Given the major ongoing influence of environmental change on the oceans, there is a need to understand and predict the future distributions of marine species in order to plan appropriate mitigation to conserve vulnerable species and ecosystems. In this study we use tracking data from seven large seabird species of the Southern Ocean (black-browed albatross Thalassarche melanophris, grey-headed albatross T. chrysostoma, northern giant petrel Macronectes halli, southern giant petrel M. giganteus, Tristan albatross Diomedea dabbenena, wandering albatross D. exulans and white-chinned petrel Procellaria aequinoctialis, and on fishing effort in two types of fisheries (characterised by low or high-bycatch rates), to model the associations with environmental variables (bathymetry, chlorophyll-a concentration, sea surface temperature and wind speed) through ensemble species distribution models. We then projected these distributions according to four climate change scenarios built by the Intergovernmental Panel for Climate Change for 2050 and 2100. The resulting projections were consistent across scenarios, indicating that there is a strong likelihood of poleward shifts in distribution of seabirds, and several range contractions (resulting from a shift in the northern, but no change in the southern limit of the range in four species). Current trends for southerly shifts in fisheries distributions are also set to continue under these climate change scenarios at least until 2100; some of these may reflect habitat loss for target species that are already over-fished. It is of particular concern that a shift in the distribution of several highly threatened seabird species would increase their overlap with fisheries where there is a high-bycatch risk. Under such scenarios, the associated shifts in distribution of seabirds and increases in bycatch risk will require much-improved fisheries management in these sensitive areas to minimise impacts on populations in decline.</t>
  </si>
  <si>
    <t>[Kruger, L.; Ramos, J. A.; Xavier, J. C.; Paiva, V. H.] Univ Coimbra, Fac Sci &amp; Technol, Marine &amp; Environm Sci Ctr MARE, Dept Life Sci, Coimbra, Portugal; [Gremillet, D.] Univ Montpellier, Univ Paul Valery Montpellier, EPHE, Ctr Ecol Fonct &amp; Evolut,UMR 5175,CNRS, Montpellier, France; [Gonzalez-Solis, J.] Univ Barcelona, Fac Biol, Dept Anim Biol, Barcelona, Spain; [Petry, M. V.] Univ Vale Rio dos Sinos, Lab Ornitol &amp; Anim Marinhos, Sao Leopoldo, Brazil; [Kruger, L.; Petry, M. V.] INCT APA, Rio De Janeiro, RJ, Brazil; [Xavier, J. C.; Phillips, R. A.] NERC, British Antarctic Survey, Cambridge, England; [Gremillet, D.; Wanless, R. M.] Univ Cape Town, Percy Fitzpatrick Inst African Ornithol, DST NRF Ctr Excellence, Rondebosch, South Africa; [Wanless, R. M.] BirdLife South Africa, Seabird Conservat Programme, Johannesburg, South Africa</t>
  </si>
  <si>
    <t>Universidade de Coimbra;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Barcelona; Universidade do Vale do Rio dos Sinos (Unisinos); UK Research &amp; Innovation (UKRI); Natural Environment Research Council (NERC); NERC British Antarctic Survey; National Research Foundation - South Africa; University of Cape Town</t>
  </si>
  <si>
    <t>Krüger, L (corresponding author), Univ Coimbra, Fac Sci &amp; Technol, Marine &amp; Environm Sci Ctr MARE, Dept Life Sci, Coimbra, Portugal.</t>
  </si>
  <si>
    <t>biokruger@gmail.com</t>
  </si>
  <si>
    <t>Ramos, Jaime A./B-6616-2018; Paiva, Vitor H./J-1092-2019; Petry, Maria Virginia/AAG-5333-2021; Paiva, Vitor Hugo/GRX-9179-2022; Xavier, José/KFB-6739-2024; González-Solís, Jacob/AAB-1161-2019; Krüger, Lucas/O-8912-2015; Gonzalez-Solis, Jacob/C-3942-2008; petry, maria/K-8410-2013; Gremillet, David/W-1946-2018</t>
  </si>
  <si>
    <t>Ramos, Jaime A./0000-0002-9533-987X; Paiva, Vitor H./0000-0001-6368-9579; Krüger, Lucas/0000-0003-4637-5302; Gonzalez-Solis, Jacob/0000-0002-8691-9397; petry, maria/0000-0002-7870-7394; /0000-0002-9621-6660; Gremillet, David/0000-0002-7711-9398</t>
  </si>
  <si>
    <t>National Council of Technological and Scientific Development CNPq [245540/2]; Fundacao para a Ciencia e Tecnologia [SFRH/BD/47467/2008, SFRH/BPD/85024/2012]; Biodiversity Research Inst. (IRBio); Investigator FCT program [IF/00616/2013]; National Inst. of Science and Technology Antarctic Environmental Research (INCT-APA); National Council of Technological and Scientific Development (CNPq) [574018/2008-5]; Carlos Chagas Research Support Foundation of the State of Rio de Janeiro (FAPERJ) [E-16/170.023/2008]; FCT [MARE - UID/MAR/04292/2013]; NERC [bas0100035] Funding Source: UKRI; Fundação para a Ciência e a Tecnologia [SFRH/BD/47467/2008] Funding Source: FCT</t>
  </si>
  <si>
    <t>National Council of Technological and Scientific Development CNPq(Conselho Nacional de Desenvolvimento Cientifico e Tecnologico (CNPQ)); Fundacao para a Ciencia e Tecnologia(Fundacao para a Ciencia e a Tecnologia (FCT)); Biodiversity Research Inst. (IRBio); Investigator FCT program(Fundacao para a Ciencia e a Tecnologia (FCT)); National Inst. of Science and Technology Antarctic Environmental Research (INCT-APA); National Council of Technological and Scientific Development (CNPq)(Conselho Nacional de Desenvolvimento Cientifico e Tecnologico (CNPQ)); Carlos Chagas Research Support Foundation of the State of Rio de Janeiro (FAPERJ)(Fundacao Carlos Chagas Filho de Amparo a Pesquisa do Estado do Rio De Janeiro (FAPERJ)); FCT(Fundacao para a Ciencia e a Tecnologia (FCT)); NERC(UK Research &amp; Innovation (UKRI)Natural Environment Research Council (NERC)); Fundação para a Ciência e a Tecnologia(Fundacao para a Ciencia e a Tecnologia (FCT))</t>
  </si>
  <si>
    <t>LK acknowledges the National Council of Technological and Scientific Development CNPq for his PhD scholarship (Programa Ciencia sem Fronteiras processo 245540/2). VHP acknowledge the support given by 'Fundacao para a Ciencia e Tecnologia' (SFRH/BD/47467/2008 and SFRH/BPD/85024/2012) and the Biodiversity Research Inst. (IRBio). JCX was supported by the Investigator FCT program (IF/00616/2013). We acknowledge the Brazilian Navy for field research support in Antarctica for collecting data of southern giant petrels at Elephant Island, which also received funding from the National Inst. of Science and Technology Antarctic Environmental Research (INCT-APA) that receives scientific and financial support from the National Council of Technological and Scientific Development (CNPq process: no. 574018/2008-5) and Carlos Chagas Research Support Foundation of the State of Rio de Janeiro (FAPERJ no. E-16/170.023/2008). This study benefited from the strategic program of MARE, financed by FCT (MARE - UID/MAR/04292/2013).</t>
  </si>
  <si>
    <t>WILEY</t>
  </si>
  <si>
    <t>HOBOKEN</t>
  </si>
  <si>
    <t>111 RIVER ST, HOBOKEN 07030-5774, NJ USA</t>
  </si>
  <si>
    <t>0906-7590</t>
  </si>
  <si>
    <t>1600-0587</t>
  </si>
  <si>
    <t>Ecography</t>
  </si>
  <si>
    <t>10.1111/ecog.02590</t>
  </si>
  <si>
    <t>Biodiversity Conservation; Ecology</t>
  </si>
  <si>
    <t>Biodiversity &amp; Conservation; Environmental Sciences &amp; Ecology</t>
  </si>
  <si>
    <t>FR4RA</t>
  </si>
  <si>
    <t>Green Accepted, Bronze</t>
  </si>
  <si>
    <t>WOS:000419052200018</t>
  </si>
  <si>
    <t>Du, MJ; Gu, WW; Li, XX; Fan, FQ; Li, Y</t>
  </si>
  <si>
    <t>Chen, B; Zhang, B; Zhu, Z; Lee, K</t>
  </si>
  <si>
    <t>Du, Meijin; Gu, Wenwen; Li, Xixi; Fan, Fuqiang; Li, Yu</t>
  </si>
  <si>
    <t>Modification of Hexachlorobenzene to Molecules with Lower Long-Range Transport Potentials Using 3D-QSAR Models with a Full Factor Experimental Design</t>
  </si>
  <si>
    <t>EMERGING POLLUTANTS AND THEIR EFFECTS ON MARINE ECOSYSTEMS</t>
  </si>
  <si>
    <t>Advances in Marine Biology</t>
  </si>
  <si>
    <t>AIR PARTITION-COEFFICIENTS; POLYBROMINATED DIPHENYL ETHERS; POLYCHLORINATED NAPHTHALENES; ORGANOCHLORINE COMPOUNDS; QSAR MODELS; OCTANOL; POPS; PCBS; 1,2,4-TRICHLOROBENZENE; CHLOROBENZENES</t>
  </si>
  <si>
    <t>In this study, the hexachlorobenzene molecule was modified by three-dimensional quantitative structure-activity relationship (3D-QSAR) models and a full factor experimental design to obtain new hexachlorobenzene molecules with low migration ability. The 3D-QSAR models (comparative molecular field analysis (CoMFA) and comparative molecular similarity indices analysis (CoMSIA)) were constructed by SYBLY-X 2.0 software, using experimental data of octanol-air partition coefficients (K-OA) for 12 chlorobenzenes (CBs) congeners as the dependent variable, and the structural parameters of CBs as independent variables, respectively. A target molecule (hexachlorobenzene; HCB: its long-distance migration capability leads to pollution of the marine environment in Antarctic and Arctic) was modified using the 3D-QSAR contour maps associated with resolution V of the 2(10-3) full-factorial experimental design method, and 11 modified HCB molecules were produced with a single chlorine atom (-Cl-2) and three chlorine atoms (-Cl-1, -Cl-3, and -Cl-5) replaced with electropositive groups (-COOH, -CN, -CF3, -COF, -NO2, -F, -CHF2, -ONO2, and -SiF3) to increase the logKOA. The new molecules had essentially similar biological enrichment functions and toxicities as HCB but were found to be more easily degraded. A 2D-QSAR model and molecular docking technology indicated that both dipole moments and highest occupied orbital energies of the substituents markedly affected migration and degradation of the new molecules. The abilities of the compounds to undergo long distance migration were assessed. The modified HCB molecules (i.e. 2-CN-HCB, 2-CF3-HCB, 1-F-3-COOH-5-NO2-HCB, 1-NO2-3-CN-5-CHF2-HCB and 1-CN-3-F-5-NO2-HCB) moved from a long-range transport potential of the modified molecules to a relatively low mobility class, and the transport potentials of the remaining modified HCB molecules (i. e. 2-COOH-HCB, 2-COF-HCB, 1-COF-3-ONO2-5-NO2-HCB, 1-F-3-CN-5-SiF3-HCB, 1-F-3-COOH-5-SiF3-HCB and 1-CN-3-SiF3-5-ONO2-HCB) also significantly decreased. These results provide a basic theoretical basis for designing environmentally benign molecules based on HCB.</t>
  </si>
  <si>
    <t>[Du, Meijin; Gu, Wenwen; Li, Yu] North China Elect Power Univ, Coll Environm Sci &amp; Engn, Beijing, Peoples R China; [Li, Xixi] Mem Univ Newfoundland, Fac Engn &amp; Appl Sci, Northern Reg Persistent Organ Pollut Control NRPO, St John, NF, Canada; [Fan, Fuqiang] Mem Univ, Fac Engn &amp; Appl Sci, St John, NF, Canada</t>
  </si>
  <si>
    <t>North China Electric Power University; Memorial University Newfoundland; Memorial University Newfoundland</t>
  </si>
  <si>
    <t>Li, Y (corresponding author), North China Elect Power Univ, Coll Environm Sci &amp; Engn, Beijing, Peoples R China.</t>
  </si>
  <si>
    <t>liyuxx8@hotmail.com</t>
  </si>
  <si>
    <t>ELSEVIER ACADEMIC PRESS INC</t>
  </si>
  <si>
    <t>525 B STREET, SUITE 1900, SAN DIEGO, CA 92101-4495 USA</t>
  </si>
  <si>
    <t>0065-2881</t>
  </si>
  <si>
    <t>2162-5875</t>
  </si>
  <si>
    <t>978-0-12-815105-1</t>
  </si>
  <si>
    <t>ADV MAR BIOL</t>
  </si>
  <si>
    <t>Adv. Mar. Biol.</t>
  </si>
  <si>
    <t>10.1016/bs.amb.2018.09.004</t>
  </si>
  <si>
    <t>BL5OC</t>
  </si>
  <si>
    <t>WOS:000452394700006</t>
  </si>
  <si>
    <t>Boersch-Supan, PH; Johnson, LR; Phillips, RA; Ryan, SJ</t>
  </si>
  <si>
    <t>Boersch-Supan, Philipp H.; Johnson, Leah R.; Phillips, Richard A.; Ryan, Sadie J.</t>
  </si>
  <si>
    <t>Surface temperatures of albatross eggs and nests</t>
  </si>
  <si>
    <t>EMU-AUSTRAL ORNITHOLOGY</t>
  </si>
  <si>
    <t>Egg temperature; incubation; seabirds; Thalassarche; Diomedea</t>
  </si>
  <si>
    <t>BODY TEMPERATURES; WATER-LOSS; HEAT; METABOLISM</t>
  </si>
  <si>
    <t>Knowledge of thermal traits is essential for understanding and modelling physiological responses to environmental change. Egg temperatures are poorly studied in most tubenose species. We employed a contactless infrared thermometer to measure egg and nest surface temperatures throughout the incubation period for four albatross species at Bird Island, South Georgia. The observed mean warm-side temperature of 33.4 degrees C for Wandering Albatross (Diomedea exulans) was similar to measurements obtained from this species using dummy eggs elsewhere. Observed mean warm-side temperatures for Black-browed Albatross (Thalassarche melanophris), Grey-headed Albatross (Thalassarche chrysostoma), and Light-mantled Albatross (Phoebetria palpebrata), reported here for the first time, were 30.7-31.5 degrees C, which is lower than the egg temperatures reported for most Procellariiformes. Temperature gradients across viable eggs declined by up to 9 degrees C during incubation, reflecting increased embryonic circulation and metabolic heat production. This suggests that bioenergetic models should not assume constant egg temperatures during embryo development. Non-viable (addled) eggs could be identified by large temperature gradients in late incubation, indicating that infrared thermometry can be used to determine whether the embryo has died or the egg is infertile in monitoring and managed breeding (e.g. translocation) programmes. Egg temperatures were correlated with ground temperatures, indicating that incubated eggs are vulnerable to environmental variability.</t>
  </si>
  <si>
    <t>[Boersch-Supan, Philipp H.; Ryan, Sadie J.] Univ Florida, Dept Geog, Gainesville, FL 32611 USA; [Boersch-Supan, Philipp H.; Ryan, Sadie J.] Univ Florida, Emerging Pathogens Inst, Gainesville, FL 32611 USA; [Boersch-Supan, Philipp H.] Univ S Florida, Dept Integrat Biol, Tampa, FL 33620 USA; [Johnson, Leah R.] Virginia Polytech Inst &amp; State Univ, Dept Stat, Blacksburg, VA 24061 USA; [Phillips, Richard A.] NERC, British Antarctic Survey, Cambridge, England</t>
  </si>
  <si>
    <t>State University System of Florida; University of Florida; State University System of Florida; University of Florida; State University System of Florida; University of South Florida; Virginia Polytechnic Institute &amp; State University; UK Research &amp; Innovation (UKRI); Natural Environment Research Council (NERC); NERC British Antarctic Survey</t>
  </si>
  <si>
    <t>Boersch-Supan, PH (corresponding author), Univ Florida, Dept Geog, Gainesville, FL 32611 USA.;Boersch-Supan, PH (corresponding author), Univ Florida, Emerging Pathogens Inst, Gainesville, FL 32611 USA.;Boersch-Supan, PH (corresponding author), Univ S Florida, Dept Integrat Biol, Tampa, FL 33620 USA.</t>
  </si>
  <si>
    <t>pboesu@gmail.com</t>
  </si>
  <si>
    <t>Boersch-Supan, Philipp H/A-3040-2012; Ryan, Sadie Jane/H-7488-2019</t>
  </si>
  <si>
    <t>Boersch-Supan, Philipp H/0000-0001-6723-6833; Ryan, Sadie Jane/0000-0002-4308-6321; Johnson, Leah/0000-0002-9922-579X</t>
  </si>
  <si>
    <t>US National Science Foundation [PLR-1341649]; Natural Environment Research Council [Polar Science for Planet Earth Programme]; NERC [bas0100035] Funding Source: UKRI</t>
  </si>
  <si>
    <t>US National Science Foundation(National Science Foundation (NSF)); Natural Environment Research Council [Polar Science for Planet Earth Programme]; NERC(UK Research &amp; Innovation (UKRI)Natural Environment Research Council (NERC))</t>
  </si>
  <si>
    <t>This work was supported by the US National Science Foundation [PLR-1341649]; and Natural Environment Research Council [Polar Science for Planet Earth Programme].</t>
  </si>
  <si>
    <t>TAYLOR &amp; FRANCIS AUSTRALASIA</t>
  </si>
  <si>
    <t>MELBOURNE</t>
  </si>
  <si>
    <t>LEVEL 2, 11 QUEENS RD, MELBOURNE, VIC 3004, AUSTRALIA</t>
  </si>
  <si>
    <t>0158-4197</t>
  </si>
  <si>
    <t>1448-5540</t>
  </si>
  <si>
    <t>EMU</t>
  </si>
  <si>
    <t>Emu</t>
  </si>
  <si>
    <t>10.1080/01584197.2017.1406311</t>
  </si>
  <si>
    <t>Ornithology</t>
  </si>
  <si>
    <t>HC3PR</t>
  </si>
  <si>
    <t>WOS:000451715100010</t>
  </si>
  <si>
    <t>Zverina, O; Coufalik, P; Barták, M; Petrov, M; Komárek, J</t>
  </si>
  <si>
    <t>Zverina, Ondrej; Coufalik, Pavel; Bartak, Milos; Petrov, Michal; Komarek, Josef</t>
  </si>
  <si>
    <t>The contents and distributions of cadmium, mercury, and lead in Usnea antarctica lichens from Solorina Valley, James Ross Island (Antarctica)</t>
  </si>
  <si>
    <t>ENVIRONMENTAL MONITORING AND ASSESSMENT</t>
  </si>
  <si>
    <t>Lichen; Biomonitoring; Antarctica; Heavy metals</t>
  </si>
  <si>
    <t>KING GEORGE ISLAND; HEAVY-METALS; SPRINGTIME DEPLETION; DEPOSITION PATTERNS; ATMOSPHERIC MERCURY; SHETLAND ISLANDS; AURANTIACOATRA; ECOSYSTEMS; PENINSULA; MOSSES</t>
  </si>
  <si>
    <t>Lichens are efficient and cost-effective biomonitors of the environment. Their geographic distribution together with their slow growth rate enable investigation of the deposition patterns of various elements and substances. In this research, levels of cadmium, lead, and mercury in Usnea antarctica lichens in the area of James Ross Island, Antarctica, were investigated. The lichens were microwave-digested, and the metals were determined by means of atomic absorption spectrometry with graphite furnace and a direct mercury analyzer. Median total contents of Cd, Hg, and Pb were 0.04, 0.47, and 1.6 mg/kg in whole lichens, respectively. The bottom-up distributions of these metals in the fruticose lichen thalli were investigated, and it was revealed that the accumulation patterns for mercury and lead were opposite to that for cadmium. The probable reason for this phenomenon may lie in the inner structure of thalli. The total contents of metalswere comparable with those published for other unpolluted areas of maritime Antarctica. However, this finding was not expected for mercury, since the sampling locality was close to an area with some of the highest mercury contents published for Antarctic lichens. In short, lichens proved their usability as biological monitors, even in harsh conditions. However, the findings emphasize the need to take into account the distributions of elements both in the environment and in the lichen itself.</t>
  </si>
  <si>
    <t>[Zverina, Ondrej] Masaryk Univ, Dept Publ Hlth, Fac Med, Kamenice 5, Brno 62500, Czech Republic; [Zverina, Ondrej; Coufalik, Pavel; Komarek, Josef] Masaryk Univ, Fac Sci, Dept Chem, Kotlarska 2, CS-61137 Brno, Czech Republic; [Coufalik, Pavel] Czech Acad Sci, Inst Analyt Chem, Vvi, Veveri 97, Brno 60200, Czech Republic; [Bartak, Milos] Masaryk Univ, Inst Expt Biol, Dept Plant Physiol &amp; Anat, Kamenice 5, Brno 62500, Czech Republic; [Petrov, Michal] TESCAN Brno Sro, Libusina Trida 1, Brno 62300, Czech Republic; [Petrov, Michal] Brno Univ Technol, Inst Phys Engn, Tech 2, Brno 61669, Czech Republic</t>
  </si>
  <si>
    <t>Masaryk University Brno; Masaryk University Brno; Czech Academy of Sciences; Institute of Analytical Chemistry of the Czech Academy of Sciences; Masaryk University Brno; Brno University of Technology</t>
  </si>
  <si>
    <t>Zverina, O (corresponding author), Masaryk Univ, Fac Sci, Dept Chem, Kotlarska 2, CS-61137 Brno, Czech Republic.</t>
  </si>
  <si>
    <t>zverina@med.muni.cz</t>
  </si>
  <si>
    <t>Zvěřina, Ondřej/AAA-2400-2022; Barták, Miloš/F-4714-2019; Zvěřina, Ondřej/AAE-5507-2019; Coufalik, Pavel/G-9819-2014; Petrov, Michal/R-8723-2017</t>
  </si>
  <si>
    <t>Zvěřina, Ondřej/0000-0003-0035-6851; Zvěřina, Ondřej/0000-0003-0035-6851; Coufalik, Pavel/0000-0001-6332-9020; Bartak, Milos/0000-0002-3898-3626; Petrov, Michal/0000-0002-8680-6317</t>
  </si>
  <si>
    <t>Institute of Analytical Chemistry of the CAS under the Institutional Research Plan [RVO: 68081715]; Ecopolaris project [CZ.02.1.01/0.0/0.0/16_013/0001708]</t>
  </si>
  <si>
    <t>Institute of Analytical Chemistry of the CAS under the Institutional Research Plan; Ecopolaris project</t>
  </si>
  <si>
    <t>We thank the CzechPolar-2 project for the possibility to use the facilities of the J. G. Mendel Station. We also thank all the personnel of the station and Diana Sychova for their assistance and support. The involvement of Pavel Coufalik was supported by the Institute of Analytical Chemistry of the CAS under the Institutional Research Plan RVO: 68081715. Milos Bartak was supported by Ecopolaris project CZ.02.1.01/0.0/0.0/16_013/0001708.</t>
  </si>
  <si>
    <t>DORDRECHT</t>
  </si>
  <si>
    <t>VAN GODEWIJCKSTRAAT 30, 3311 GZ DORDRECHT, NETHERLANDS</t>
  </si>
  <si>
    <t>0167-6369</t>
  </si>
  <si>
    <t>1573-2959</t>
  </si>
  <si>
    <t>ENVIRON MONIT ASSESS</t>
  </si>
  <si>
    <t>Environ. Monit. Assess.</t>
  </si>
  <si>
    <t>10.1007/s10661-017-6397-1</t>
  </si>
  <si>
    <t>FS8RR</t>
  </si>
  <si>
    <t>WOS:000422680800030</t>
  </si>
  <si>
    <t>Nadzir, MSM; Ashfold, MJ; Khan, MF; Robinson, AD; Bolas, C; Latif, MT; Wallis, BM; Mead, MI; Hamid, HHA; Harris, NRP; Ramly, ZTA; Lai, GT; Liew, JN; Ahamad, F; Uning, R; Abu Samah, A; Maulud, KN; Suparta, W; Zainudin, SK; Wahab, MIA; Sahani, M; Müller, M; Yeok, FS; Rahman, NA; Mujahid, A; Morris, KI; Dal Sasso, N</t>
  </si>
  <si>
    <t>Nadzir, Mohd Shahrul Mohd; Ashfold, Matthew J.; Khan, Md Firoz; Robinson, Andrew D.; Bolas, Conor; Latif, Mohd Talib; Wallis, Benjamin M.; Mead, Mohammed Iqbal; Hamid, Haris Hafizal Abdul; Harris, Neil R. P.; Ramly, Zamzam Tuah Ahmad; Goh Thian Lai; Liew, Ju Neng; Ahamad, Fatimah; Uning, Royston; Abu Samah, Azizan; Maulud, Khairul Nizam; Suparta, Wayan; Zainudin, Siti Khalijah; Wahab, Muhammad Ikram Abdul; Sahani, Mazrura; Mueller, Moritz; Yeok, Foong Swee; Rahman, Nasaruddin Abdul; Mujahid, Aazani; Morris, Kenobi Isima; Dal Sasso, Nicholas</t>
  </si>
  <si>
    <t>Spatial-temporal variations in surface ozone over Ushuaia and the Antarctic region: observations from in situ measurements, satellite data, and global models</t>
  </si>
  <si>
    <t>ENVIRONMENTAL SCIENCE AND POLLUTION RESEARCH</t>
  </si>
  <si>
    <t>Surface O-3; Carbon monoxide (CO); Seasonal cycles; Satellite and MACC reanalysis and HYSPLIT trajectories</t>
  </si>
  <si>
    <t>MARINE BOUNDARY-LAYER; TROPOSPHERIC OZONE; DATA ASSIMILATION; CARBON-MONOXIDE; SOUTH-POLE; CHEMISTRY; NO; REANALYSIS; SPECIATION; STATION</t>
  </si>
  <si>
    <t>The Antarctic continent is known to be an unpopulated region due to its extreme weather and climate conditions. However, the air quality over this continent can be affected by long-lived anthropogenic pollutants from the mainland. The Argentinian region of Ushuaia is often the main source area of accumulated hazardous gases over the Antarctic Peninsula. The main objective of this study is to report the first in situ observations yet known of surface ozone (O-3) over Ushuaia, the Drake Passage, and Coastal Antarctic Peninsula (CAP) on board the RV Australis during the Malaysian Antarctic Scientific Expedition Cruise 2016 (MASEC'16). Hourly O-3 data was measured continuously for 23 days using an EcoTech O-3 analyzer. To understand more about the distribution of surface O-3 over the Antarctic, we present the spatial and temporal of surface O-3 of long-term data (2009-2015) obtained online from the World Meteorology Organization of World Data Centre for greenhouse gases (WMO WDCGG). Furthermore, surface O-3 satellite data from the free online NOAA-Atmospheric Infrared Sounder (AIRS) database and online data assimilation from the European Centre for Medium-Range Weather Forecasts (ECMWF)-Monitoring Atmospheric Composition and Climate (MACC) were used. The data from both online products are compared to document the data sets and to give an indication of its quality towards in situ data. Finally, we used past carbon monoxide (CO) data as a proxy of surface O-3 formation over Ushuaia and the Antarctic region. Our key findings were that the surface O-3 mixing ratio during MASEC'16 increased from a minimum of 5 ppb to similar to 10-13 ppb approaching the Drake Passage and the Coastal Antarctic Peninsula (CAP) region. The anthropogenic and biogenic O-3 precursors from Ushuaia and the marine region influenced the mixing ratio of surface O-3 over the Drake Passage and CAP region. The past data from WDCGG showed that the annual O-3 cycle has a maximum during the winter of 30 to 35 ppb between June and August and a minimum during the summer (January to February) of 10 to 20 ppb. The surface O-3 mixing ratio during the summer was controlled by photochemical processes in the presence of sunlight, leading to the depletion process. During the winter, the photochemical production of surface O-3 was more dominant. The NOAA-AIRS and ECMWF-MACC analysis agreed well with the MASEC'16 data but twice were higher during the expedition period. Finally, the CO past data showed the surface O-3 mixing ratio was influenced by the CO mixing ratio over both the Ushuaia and Antarctic regions. Peak surface O-3 and CO hourly mixing ratios reached up to similar to 38 ppb (O-3) and similar to 500 ppb (CO) over Ushuaia. High CO over Ushuaia led to the depletion process of surface O-3 over the region. Monthly CO mixing ratio over Antarctic (South Pole) were low, leading to the production of surface O-3 over the Antarctic region.</t>
  </si>
  <si>
    <t>[Nadzir, Mohd Shahrul Mohd; Latif, Mohd Talib; Hamid, Haris Hafizal Abdul; Goh Thian Lai; Liew, Ju Neng; Ahamad, Fatimah; Uning, Royston] Univ Kebangsaan Malaysia, Fac Sci &amp; Technol, Sch Environm Sci &amp; Nat Resources, Ukm Bangi 43600, Selangor, Malaysia; [Nadzir, Mohd Shahrul Mohd; Khan, Md Firoz] Univ Kebangsaan Malaysia, Inst Climate Change, Ctr Trop Climate Change Syst IKLIM, Ukm Bangi 43600, Selangor, Malaysia; [Ashfold, Matthew J.; Wallis, Benjamin M.; Goh Thian Lai; Morris, Kenobi Isima] Univ Nottingham Malaysia Campus, Sch Environm &amp; Geog Sci, Jalan Broga, Semenyih 43500, Selangor, Malaysia; [Robinson, Andrew D.; Bolas, Conor] Univ Cambridge, Ctr Atmospher Sci, Chem Dept, Cambridge CB2 1EW, England; [Latif, Mohd Talib] Univ Kebangsaan Malaysia, Inst Environm &amp; Dev LESTARI, Bangi 43600, Selangor, Malaysia; [Mead, Mohammed Iqbal; Harris, Neil R. P.] Cranfield Univ, Ctr Atmospher Informat &amp; Emiss Technol, Cranfield MK43 0AL, Beds, England; [Ramly, Zamzam Tuah Ahmad] Univ Putra Malaysia, Fac Environm Studies, Dept Environm Sci, Serdang 43400, Selangor, Malaysia; [Abu Samah, Azizan] Univ Malaya, Natl Antarctic Res Ctr, IPS Bldg, Kuala Lumpur 50603, Malaysia; [Maulud, Khairul Nizam] Univ Kebangsaan Malaysia, Inst Climate Change, EOC, Bangi 43600, Selangor Darul, Malaysia; [Maulud, Khairul Nizam] Univ Kebangsaan Malaysia, Fac Engn &amp; Built Environm, Dept Civil &amp; Struct Engn, Ukm Bangi 43600, Selangor, Malaysia; [Suparta, Wayan; Zainudin, Siti Khalijah] Univ Kebangsaan Malaysia, Inst Climate Change, Space Sci Ctr ANGKASA, Level 5,Res Complex Bldg, Ukm Bangi 43600, Selangor, Malaysia; [Wahab, Muhammad Ikram Abdul; Sahani, Mazrura] Univ Kebangsaan Malaysia, Fac Hlth Sci, Sch Diagnost Sci &amp; Appl Hlth, Environm Hlth &amp; Ind Safety Program, Jalan Raja Muda Abdul Aziz, Kuala Lumpur 50300, Malaysia; [Mueller, Moritz] Swinburne Univ Technol Sarawak Campus SUTS, Biotechnol Fac Engn, Biotechnol Fac Engn Comp &amp; Sci, Kuching 93350, Sarawak, Malaysia; [Yeok, Foong Swee] Univ Sains Malaysia, Sch Biol Sci, George Town 11800, Penang, Malaysia; [Rahman, Nasaruddin Abdul] Sultan Mizan Antarctic Res Fdn, 902-4 Jalan Tun Ismail, Kuala Lumpur 50480, Malaysia; [Mujahid, Aazani] Univ Malaysia Sarawak, Fac Resource Sci &amp; Technol, Dept Aquat Sci, Kota Samarahan 94300, Sarawak, Malaysia; [Morris, Kenobi Isima] CESIRI, Port Harcourt, Rivers State, Nigeria; [Dal Sasso, Nicholas] Ecotech Pty Ltd, 1492 Ferntree Gully Rd, Knoxfield, Vic 3180, Australia</t>
  </si>
  <si>
    <t>Universiti Kebangsaan Malaysia; Universiti Kebangsaan Malaysia; University of Nottingham Malaysia; University of Cambridge; Universiti Kebangsaan Malaysia; Cranfield University; Universiti Putra Malaysia; Universiti Malaya; Universiti Kebangsaan Malaysia; Universiti Kebangsaan Malaysia; Universiti Kebangsaan Malaysia; Universiti Kebangsaan Malaysia; Universiti Sains Malaysia; University of Malaysia Sarawak</t>
  </si>
  <si>
    <t>Nadzir, MSM (corresponding author), Univ Kebangsaan Malaysia, Fac Sci &amp; Technol, Sch Environm Sci &amp; Nat Resources, Ukm Bangi 43600, Selangor, Malaysia.;Nadzir, MSM (corresponding author), Univ Kebangsaan Malaysia, Inst Climate Change, Ctr Trop Climate Change Syst IKLIM, Ukm Bangi 43600, Selangor, Malaysia.</t>
  </si>
  <si>
    <t>shahrulnadzir@ukm.edu.my</t>
  </si>
  <si>
    <t>Ashfold, Matthew/K-3909-2019; Müller, Moritz/F-5205-2010; Khan, Md Firoz/I-6065-2013; FOONG, Swee Yeok/AAX-2431-2020; Müller, Moritz/D-1553-2013; Latif, Mohd Talib/E-9560-2010; SAHANI, MAZRURA/J-5547-2014; Lee, Muhammad Hisyam/G-1914-2017; SUPARTA, WAYAN/K-3110-2013; Ahamad, Fatimah/ABH-6310-2020; Uning, Royston/O-7355-2019; Ashfold, Matthew/IVU-9997-2023; ABU SAMAH, AZIZAN HJ/B-8295-2010; Liew, Juneng/R-3434-2019; Mujahid, Aazani/AAI-4421-2020; Abdul Maulud, Khairul Nizam/J-4136-2015; Morris, Kenobi/F-1625-2015</t>
  </si>
  <si>
    <t>Ashfold, Matthew/0000-0002-2191-1554; Müller, Moritz/0000-0001-8485-1598; Khan, Md Firoz/0000-0003-3567-9634; FOONG, Swee Yeok/0000-0001-5099-227X; Müller, Moritz/0000-0001-8485-1598; Latif, Mohd Talib/0000-0003-2339-3321; Lee, Muhammad Hisyam/0000-0002-3700-2363; SUPARTA, WAYAN/0000-0002-6193-1867; Ahamad, Fatimah/0000-0001-6264-8476; Uning, Royston/0000-0002-1958-0784; Ashfold, Matthew/0000-0002-2191-1554; Liew, Juneng/0000-0001-8839-5198; Mujahid, Aazani/0000-0002-8672-8021; Abdul Maulud, Khairul Nizam/0000-0002-9215-2778; Mead, Mohammed Iqbal/0000-0003-0436-4074; Morris, Kenobi/0000-0002-3330-054X; Harris, Neil/0000-0003-1256-3006</t>
  </si>
  <si>
    <t>Sultan Mizan Antarctic Research Foundation Grant (YPASM) program as part of the Malaysia Antarctic Research Programme (MARP) under Malaysian Ministry of Science, Technology, and Innovation (MOSTI) [ZF-2015-001]; Universiti Kebangsaan Malaysia (UKM) [GUP-2014-041]; Natural Environment Research Council [1663140] Funding Source: researchfish</t>
  </si>
  <si>
    <t>Sultan Mizan Antarctic Research Foundation Grant (YPASM) program as part of the Malaysia Antarctic Research Programme (MARP) under Malaysian Ministry of Science, Technology, and Innovation (MOSTI); Universiti Kebangsaan Malaysia (UKM); Natural Environment Research Council(UK Research &amp; Innovation (UKRI)Natural Environment Research Council (NERC))</t>
  </si>
  <si>
    <t>We would like to thank Sultan Mizan Antarctic Research Foundation Grant (YPASM) program registered as ZF-2015-001 as part of the Malaysia Antarctic Research Programme (MARP) under Malaysian Ministry of Science, Technology, and Innovation (MOSTI) and Universiti Kebangsaan Malaysia (UKM) GUP-2014-041 for giving opportunities and financial support for the Centre Tropical System &amp; Climate Change (IKLIM) UKM to participate in this scientific cruise. Secondly, we like to thank MASEC'16 scientists on board R/V Australis and their crews and Envirotech Sdn. Bhd who helped a lot on the exploration activities, Dr. Mohd Aftar Abu Bakar (UKM) and Dr. Noratiqah Mohd Ariff (UKM) for their assistance in statistical data analysis and Dr. Rose Norman (UK) for her assistance in proofreading this article. This study relies on archived surface O3 data sets that were retrieved from the WMO World Data Centre for greenhouse gases (http://gaw.kishou.go.jp/wdcgg.html). We would like also to thank all international research stations who provided all data to the website.</t>
  </si>
  <si>
    <t>0944-1344</t>
  </si>
  <si>
    <t>1614-7499</t>
  </si>
  <si>
    <t>ENVIRON SCI POLLUT R</t>
  </si>
  <si>
    <t>Environ. Sci. Pollut. Res.</t>
  </si>
  <si>
    <t>10.1007/s11356-017-0521-1</t>
  </si>
  <si>
    <t>FT2KN</t>
  </si>
  <si>
    <t>WOS:000422970600019</t>
  </si>
  <si>
    <t>Rastrojo, A; Alcamí, A</t>
  </si>
  <si>
    <t>Malmstrom, CM</t>
  </si>
  <si>
    <t>Rastrojo, Alberto; Alcami, Antonio</t>
  </si>
  <si>
    <t>Viruses in Polar Lake and Soil Ecosystems</t>
  </si>
  <si>
    <t>ENVIRONMENTAL VIROLOGY AND VIRUS ECOLOGY</t>
  </si>
  <si>
    <t>Advances in Virus Research</t>
  </si>
  <si>
    <t>LIVINGSTON ISLAND; MICROBIAL ECOLOGY; BYERS PENINSULA; RNA VIRUSES; ICE; VIROPHAGE; ANTARCTICA; DIVERSITY</t>
  </si>
  <si>
    <t>Viruses play an important role in the control of microbial communities, and it has been suggested that the influence of viruses in polar ecosystems, with low nutrients and under extreme environmental conditions, may be greater. Viral metagenomics allows the genetic characterization of complex viral communities without the need to isolate and grow viruses. Recent investigations in Antarctica and the Arctic are uncovering a great diversity of DNA viruses, including bacteriophages, circular single-stranded DNA viruses, algal-infecting phycodnaviruses, and virophages, adapted to these extreme environments. The limited sequence similarity between viruses in Antarctica and the Arctic suggests that viral communities in the two polar regions have evolved independently since the formation of the Antarctic continent, estimated to occur 25 million years ago. The community of RNA viruses in Antarctica is dominated by the order Picornavirales and their quasispecies composition suggests that higher genetic variability may correlate with viral adaptation to new environmental conditions.</t>
  </si>
  <si>
    <t>[Rastrojo, Alberto; Alcami, Antonio] Univ Autonoma Madrid, Consejo Super Invest Cient, Ctr Biol Mol Severo Ochoa, Madrid, Spain</t>
  </si>
  <si>
    <t>Consejo Superior de Investigaciones Cientificas (CSIC); CSIC - Centro de Biologia Molecular Severo Ochoa (CBM); Autonomous University of Madrid</t>
  </si>
  <si>
    <t>Alcamí, A (corresponding author), Univ Autonoma Madrid, Consejo Super Invest Cient, Ctr Biol Mol Severo Ochoa, Madrid, Spain.</t>
  </si>
  <si>
    <t>aalcami@cbm.csic.es</t>
  </si>
  <si>
    <t>Rastrojo, Alberto/N-4607-2014; Alcami, Antonio/F-8512-2015</t>
  </si>
  <si>
    <t>Rastrojo, Alberto/0000-0003-4381-7267; Alcami, Antonio/0000-0002-3333-6016</t>
  </si>
  <si>
    <t>0065-3527</t>
  </si>
  <si>
    <t>978-0-12-814415-2</t>
  </si>
  <si>
    <t>ADV VIRUS RES</t>
  </si>
  <si>
    <t>Adv.Virus Res.</t>
  </si>
  <si>
    <t>10.1016/bs.aivir.2018.02.002</t>
  </si>
  <si>
    <t>BL5OG</t>
  </si>
  <si>
    <t>WOS:000452396000003</t>
  </si>
  <si>
    <t>Forsberg, R; Olesen, AV; Ferraccioli, F; Jordan, TA; Matsuoka, K; Zakrajsek, A; Ghidella, M; Greenbaum, JS</t>
  </si>
  <si>
    <t>Siegert, MJ; Jamieson, SSR; White, DA</t>
  </si>
  <si>
    <t>Forsberg, Rene; Olesen, Arne V.; Ferraccioli, Fausto; Jordan, Tom A.; Matsuoka, Kenichi; Zakrajsek, Andres; Ghidella, Marta; Greenbaum, Jamin S.</t>
  </si>
  <si>
    <t>Exploring the Recovery Lakes region and interior Dronning Maud Land, East Antarctica, with airborne gravity, magnetic and radar measurements</t>
  </si>
  <si>
    <t>EXPLORATION OF SUBSURFACE ANTARCTICA: UNCOVERING PAST CHANGES AND MODERN PROCESSES</t>
  </si>
  <si>
    <t>SUBGLACIAL GEOLOGY; CAVITY</t>
  </si>
  <si>
    <t>Long-range airborne geophysical measurements were carried out in the ICEGRAV campaigns, covering hitherto unexplored parts of interior East Antarctica and part of the Antarctic Peninsula. The airborne surveys provided a regional coverage of gravity, magnetic and icepenetrating radar measurements for major Dronning Maud Land ice stream systems, from the grounding lines up to the Recovery Lakes drainage basin, and filled in major data voids in Antarctic data compilations, such as AntGP for gravity data, ADMAP for magnetic data and BEDMAP2 for ice thickness data and the sub-ice topography. We present the first maps of gravity, magnetic and ice thickness data and bedrock topography for the region and show examples of bedrock topography and basal reflectivity patterns. The 2013 Recovery Lakes campaign was carried out with a British Antarctic Survey Twin Otter aircraft operating from the Halley and Belgrano II stations, as well as a remote field camp located at the Recovery subglacial Lake B site. Gravity measurements were the primary driver for the survey, with two airborne gravimeters (Lacoste and Romberg and Chekan-AM) providing measurements at an accuracy level of around 2 mGal r.m.s., supplementing GOCE (Gravity Field and Steady-State Ocean Circulation Explorer) satellite data and confirming an excellent sub-milligal agreement between satellite and airborne data at longer wavelengths.</t>
  </si>
  <si>
    <t>[Forsberg, Rene; Olesen, Arne V.] Tech Univ Denmark, Natl Space Inst, Lyngby, Denmark; [Ferraccioli, Fausto; Jordan, Tom A.] British Antarctic Survey, Cambridge, England; [Matsuoka, Kenichi] Norwegian Polar Res Inst, Tromso, Norway; [Zakrajsek, Andres; Ghidella, Marta] DNA Inst Antartico Argentino, Buenos Aires, DF, Argentina; [Greenbaum, Jamin S.] Univ Texas Austin, Inst Geophys, Austin, TX USA</t>
  </si>
  <si>
    <t>Technical University of Denmark; UK Research &amp; Innovation (UKRI); Natural Environment Research Council (NERC); NERC British Antarctic Survey; Norwegian Polar Institute; University of Texas System; University of Texas Austin</t>
  </si>
  <si>
    <t>Forsberg, R (corresponding author), Tech Univ Denmark, Natl Space Inst, Lyngby, Denmark.</t>
  </si>
  <si>
    <t>rf@space.dtu.dk</t>
  </si>
  <si>
    <t>Olesen, Arne V/M-3398-2016; Matsuoka, Kenichi/B-7298-2017</t>
  </si>
  <si>
    <t>Ferraccioli, Fausto/0000-0002-9347-4736; Forsberg, Rene/0000-0002-7288-9545; Matsuoka, Kenichi/0000-0002-3587-3405</t>
  </si>
  <si>
    <t>NERC [NE/R016038/1, bas0100029] Funding Source: UKRI</t>
  </si>
  <si>
    <t>978-1-78620-322-9</t>
  </si>
  <si>
    <t>10.1144/SP461.17</t>
  </si>
  <si>
    <t>Geochemistry &amp; Geophysics; Geology</t>
  </si>
  <si>
    <t>BK1KQ</t>
  </si>
  <si>
    <t>Green Accepted, Green Published, hybrid</t>
  </si>
  <si>
    <t>WOS:000431852000003</t>
  </si>
  <si>
    <t>Beem, LH; Cavitte, MGP; Blankenship, DD; Carter, SP; Young, DA; Muldoon, GR; Jackson, CS; Siegert, MJ</t>
  </si>
  <si>
    <t>Beem, L. H.; Cavitte, M. G. P.; Blankenship, D. D.; Carter, S. P.; Young, D. A.; Muldoon, G. R.; Jackson, C. S.; Siegert, M. J.</t>
  </si>
  <si>
    <t>Ice-flow reorganization within the East Antarctic Ice Sheet deep interior</t>
  </si>
  <si>
    <t>SOUTH-POLE; STREAM-C; OLD ICE; ACCUMULATION; SURFACE; RADAR; HEAT; INVENTORY; LIFE</t>
  </si>
  <si>
    <t>Near the South Pole, a large subglacial lake exists beneath the East Antarctic Ice Sheet less than 10 km from where the bed temperature is inferred to be -9 degrees C. A thermodynamic model was used to investigate the apparent contradiction of basal water existing in the vicinity of a cold bed. Model results indicate that South Pole Lake is freezing and that neither present-day geothermal flux nor ice flow is capable of producing the necessary heat to sustain basal water at this location. We hypothesize that the lake comprises relict water formed during a different configuration of ice dynamics when significant frictional heating from ice sliding was available. Additional modelling of assumed basal sliding shows frictional heating was capable of producing the necessary heat to fill South Pole Lake. Independent evidence of englacial structures measured by airborne radar revel ice-sheet flow was more dynamic in the past. Ice sliding is estimated to have ceased between 16.8 and 10.7 ka based on an ice chronology from a nearby borehole. These findings reveal major post-Last Glacial Maximum ice-dynamic change within the interior of East Antarctica, demonstrating that the present interior ice flow is different than that under full glacial conditions.</t>
  </si>
  <si>
    <t>[Beem, L. H.; Cavitte, M. G. P.; Blankenship, D. D.; Young, D. A.; Muldoon, G. R.; Jackson, C. S.] Univ Texas Austin, Inst Geophys, 10100 Burnet Rd, Austin, TX 78758 USA; [Carter, S. P.] Univ Calif San Diego, Scripps Inst Oceanog, Inst Geophys &amp; Oceanog, La Jolla, CA 92093 USA; [Siegert, M. J.] Imperial Coll London, Grantham Inst, London SW7 2AZ, England; [Siegert, M. J.] Imperial Coll London, Dept Earth Sci &amp; Engn, London SW7 2AZ, England</t>
  </si>
  <si>
    <t>University of Texas System; University of Texas Austin; University of California System; University of California San Diego; Scripps Institution of Oceanography; Imperial College London; Imperial College London</t>
  </si>
  <si>
    <t>Beem, LH (corresponding author), Univ Texas Austin, Inst Geophys, 10100 Burnet Rd, Austin, TX 78758 USA.</t>
  </si>
  <si>
    <t>lhbeem@gmail.com</t>
  </si>
  <si>
    <t>Siegert, Martin/M-9939-2019; Cavitte, Marie/AAB-8533-2020; Jackson, Charles/AAE-1420-2019; Young, Duncan A./G-6256-2010; Blankenship, Donald D./G-5935-2010</t>
  </si>
  <si>
    <t>Siegert, Martin/0000-0002-0090-4806; Cavitte, Marie/0000-0002-5777-0933; Jackson, Charles/0000-0002-2870-4494;</t>
  </si>
  <si>
    <t>Office of Polar Programs (OPP); Directorate For Geosciences [1142139] Funding Source: National Science Foundation</t>
  </si>
  <si>
    <t>Office of Polar Programs (OPP); Directorate For Geosciences(National Science Foundation (NSF)NSF - Directorate for Geosciences (GEO))</t>
  </si>
  <si>
    <t>10.1144/SP461.14</t>
  </si>
  <si>
    <t>WOS:000431852000004</t>
  </si>
  <si>
    <t>Jeofry, H; Ross, N; Corr, HFJ; Li, JL; Gogineni, P; Siegert, MJ</t>
  </si>
  <si>
    <t>Jeofry, Hafeez; Ross, Neil; Corr, Hugh F. J.; Li, Jilu; Gogineni, Prasad; Siegert, Martin J.</t>
  </si>
  <si>
    <t>A deep subglacial embayment adjacent to the grounding line of Institute Ice Stream, West Antarctica</t>
  </si>
  <si>
    <t>FILCHNER-RONNE ICE; WEDDELL SEA SECTOR; ACTIVE RESERVOIR BENEATH; PINE ISLAND GLACIER; LASER ALTIMETRY; MARINE ICE; LEVEL RISE; SHEET INSTABILITY; EAST ANTARCTICA; LAKE WHILLANS</t>
  </si>
  <si>
    <t>The Institute Ice Stream (IIS) in West Antarctica may be increasingly vulnerable to melting at the grounding line through modifications in ocean circulation. Understanding such change requires knowledge of grounding-line boundary conditions, including the topography on which it rests. Here, we discuss evidence from new radio-echo sounding (RES) data on the subglacial topography adjacent to the grounding line of the IIS. In doing so, we reveal a previously unknown subglacial embayment immediately inland of the IIS grounding zone which is not represented in the Bedmap2 compilation. We discuss whether there is an open-water connection between the embayment and the ice-shelf cavity. The exact location of the grounding line over the embayment has been the subject of considerable uncertainty, with several positions being proposed recently. From our compilation of data, we are able to explain which of these grounding lines is most likely and, in doing so, highlight the need for accurate bed topography in conjunction with satellite observations to fully comprehend ice-sheet processes in this region and other vulnerable locations at the grounded margin of Antarctica.</t>
  </si>
  <si>
    <t>[Jeofry, Hafeez; Siegert, Martin J.] Imperial Coll London, Grantham Inst, London, England; [Jeofry, Hafeez; Siegert, Martin J.] Imperial Coll London, Dept Earth Sci &amp; Engn, London, England; [Jeofry, Hafeez] Univ Malaysia Terengganu, Sch Marine Sci &amp; Environm, Kuala Terengganu, Terengganu, Malaysia; [Ross, Neil] Newcastle Univ, Sch Geog Polit &amp; Sociol, Claremont Rd, Newcastle Upon Tyne, Tyne &amp; Wear, England; [Corr, Hugh F. J.] British Antarctic Survey, Nat Environm Res Council, Cambridge, England; [Li, Jilu] Univ Kansas, Ctr Remote Sensing Ice Sheets, Lawrence, KS 66045 USA; [Gogineni, Prasad] Univ Alabama, Elect &amp; Comp Engn, Tuscaloosa, AL USA</t>
  </si>
  <si>
    <t>Imperial College London; Imperial College London; Universiti Malaysia Terengganu; Newcastle University - UK; UK Research &amp; Innovation (UKRI); Natural Environment Research Council (NERC); NERC British Antarctic Survey; University of Kansas; University of Alabama System; University of Alabama Tuscaloosa</t>
  </si>
  <si>
    <t>Jeofry, H (corresponding author), Imperial Coll London, Grantham Inst, London, England.;Jeofry, H (corresponding author), Imperial Coll London, Dept Earth Sci &amp; Engn, London, England.;Jeofry, H (corresponding author), Univ Malaysia Terengganu, Sch Marine Sci &amp; Environm, Kuala Terengganu, Terengganu, Malaysia.</t>
  </si>
  <si>
    <t>h.jeofry15@imperial.ac.uk</t>
  </si>
  <si>
    <t>Jeofry, Hafeez/AAG-5474-2019; Corr, Hugh/C-5398-2011; Siegert, Martin/M-9939-2019</t>
  </si>
  <si>
    <t>Siegert, Martin/0000-0002-0090-4806; Jeofry, Muhammad Hafeez/0000-0003-4638-4516</t>
  </si>
  <si>
    <t>NERC [NE/G00465X/3] Funding Source: UKRI</t>
  </si>
  <si>
    <t>10.1144/SP461.11</t>
  </si>
  <si>
    <t>hybrid, Green Published, Green Submitted</t>
  </si>
  <si>
    <t>WOS:000431852000012</t>
  </si>
  <si>
    <t>Alekhina, I; Ekaykin, A; Moskvin, A; Lipenkov, V</t>
  </si>
  <si>
    <t>Alekhina, Irina; Ekaykin, Alexey; Moskvin, Alexey; Lipenkov, Vladimir</t>
  </si>
  <si>
    <t>Chemical characteristics of the ice cores obtained after the first unsealing of subglacial Lake Vostok</t>
  </si>
  <si>
    <t>ANTARCTICA; STATION; LIFE</t>
  </si>
  <si>
    <t>Drilling fluid (DF) is one of the main sources of chemical and biological contamination of deep ice cores and lake water samples in the exploration of Subgalcial Antarctic Lake Environments (SALE). In this study, we investigated the contamination of an ice core that represented the first samples of refrozen lake water obtained 1 year after the unsealing of Lake Vostok in 2012. We show that these samples contain inclusions of the DF with a concentration of at least 16.7 mg l(-1) (0.0019% or 19 ppmv). This makes it extremely difficult to obtain reliable data on the real chemical composition of the lake water. The focus of our study is the organic components of the DF, which built up in the secondary ice while the water was freezing in the borehole. Of all the possible organic compounds of the DF, only phenol congeners (up to 32.4 mg l(-1)) and dichlorofluoroethane HCFC-141b (14.4 mg l(-1)), a DF densifier, were found in the central channel, which is the last part of the core to freeze in the borehole. We conclude that the phenol compounds emerge due to physical processes, namely fractionation, during freezing, rather than any chemical reaction between the DF and the lake water.</t>
  </si>
  <si>
    <t>[Alekhina, Irina; Ekaykin, Alexey; Lipenkov, Vladimir] Arctic &amp; Antarctic Res Inst, Climate &amp; Environm Res Lab CERL, St Petersburg 199397, Russia; [Ekaykin, Alexey; Moskvin, Alexey] St Petersburg State Univ, 7-9 Univ Embankment, St Petersburg 198504, Russia</t>
  </si>
  <si>
    <t>Arctic &amp; Antarctic Research Institute; Saint Petersburg State University</t>
  </si>
  <si>
    <t>Alekhina, I (corresponding author), Arctic &amp; Antarctic Res Inst, Climate &amp; Environm Res Lab CERL, St Petersburg 199397, Russia.</t>
  </si>
  <si>
    <t>alekhina@aari.ru</t>
  </si>
  <si>
    <t>Alekhina, Irina A/L-2163-2016; Ekaykin, Alexey A./K-9894-2015</t>
  </si>
  <si>
    <t>10.1144/SP461.3</t>
  </si>
  <si>
    <t>WOS:000431852000014</t>
  </si>
  <si>
    <t>Odeyemi, OA; Burke, CM; Bolch, CJS; Stanley, R</t>
  </si>
  <si>
    <t>Odeyemi, Olumide A.; Burke, Christopher M.; Bolch, Christopher J. S.; Stanley, Roger</t>
  </si>
  <si>
    <t>Evaluation of spoilage potential and volatile metabolites production by Shewanella baltica isolated from modified atmosphere packaged live mussels</t>
  </si>
  <si>
    <t>FOOD RESEARCH INTERNATIONAL</t>
  </si>
  <si>
    <t>Seafood spoilage; Microbial shelf-life; Volatile metabolites</t>
  </si>
  <si>
    <t>POLYMERASE-CHAIN-REACTION; VIBRIO-PARAHAEMOLYTICUS; MYTILUS-GALLOPROVINCIALIS; MICROBIOLOGICAL SPOILAGE; SENSORY ASSESSMENT; FISH INTAKE; GROWTH; VULNIFICUS; BACTERIA; STRAINS</t>
  </si>
  <si>
    <t>Under the current commercial practice, live mussels only have 10 days' shelf-life. Observed spoilage indices reduce consumers' acceptance, palatability and shelf-life of modified atmosphere packaged (MAP) live mussels. The aims of this study are to isolate specific spoilage bacteria from modified atmosphere packaged live mussels, evaluate isolates for microbial spoilage indices using qualitative methods and volatile metabolites production. Forty-six hydrogen sulphide producing bacteria were isolated and evaluated for trimethylamine n-oxide (TMAO) reduction, proteolytic and lipolytic activities and hydrogen sulphide production. Twenty-eight isolates were obtained from pouch water and 18 from mussel meat. All the isolates could produce H2S on Iron agar at 25 degrees C while 30/46 produced H2S at 4 degrees C and tolerate 0-6% NaCl. Four (4/46) isolates could not hydrolyse mussel protein. Over 80% isolates reduced TMAO to TMA in 3 days with the production of H2S. Results of this study shows hydrogen sulphide producing bacteria isolated from MAP live mussels produce microbial spoilage indices. Isolate with highest enzymatic activities and hydrogen sulphide production was identified as Shewanella baltica using 16S rRNA gene. Axenic culture of the isolate was inoculated into sterile mussel broth. Inoculated sample was further stored at 4 degrees C for 10 days for spoilage study. Volatile metabolites produced during storage were evaluated using headspace solid phase micro-extraction gas chromatography mass spectrometry (HS-SPME GC/MS). A total of 44 compounds were identified in the sample after 10 days while 27 compounds were identified in inoculated mussel broth. Group of compounds identified are alcohols, aldehydes, phenol, furans, ketone, esters, organic acid, aromatic hydrocarbons, alkanes, nitrogen and sulphur containing compounds. Dimethyl trisulphide, methyl-phenol, 3,5-octadiene and thiohexene were unique to inoculated mussel broth. Understanding spoilage mechanism and attendant spoilage indices will help in designing effective mussel quality protocols and shelf-life extension.</t>
  </si>
  <si>
    <t>[Odeyemi, Olumide A.; Burke, Christopher M.; Bolch, Christopher J. S.] Univ Tasmania, Ecol &amp; Biodivers Ctr, IMAS, Launceston, Tas, Australia; [Stanley, Roger] Univ Tasmania, Ctr Food Innovat, TIA, Launceston, Tas, Australia</t>
  </si>
  <si>
    <t>Odeyemi, OA (corresponding author), Univ Tasmania, Ecol &amp; Biodivers Ctr, IMAS, Launceston, Tas, Australia.</t>
  </si>
  <si>
    <t>olumide.odeyemi@utas.edu.au</t>
  </si>
  <si>
    <t>Odeyemi, Olumide A/ABE-3206-2021; Stanley, Roger/A-9226-2011; Bolch, Christopher J/J-7619-2014</t>
  </si>
  <si>
    <t>Odeyemi, Olumide A/0000-0002-6041-5027;</t>
  </si>
  <si>
    <t>University of Tasmania</t>
  </si>
  <si>
    <t>This research was supported by research operational fund from University of Tasmania. Tuition and living allowance scholarships awarded to Olumide Odeyemi are acknowledged. Specials thanks David Nichols at Central Science Laboratory for technical support, David Milnes and Mike Williams, Institute of Marine and Antarctic Studies, University of Tasmania, Launceston. Appreciation to Spring Bay Seafoods, Tasmania for supply of live mussels.</t>
  </si>
  <si>
    <t>0963-9969</t>
  </si>
  <si>
    <t>1873-7145</t>
  </si>
  <si>
    <t>FOOD RES INT</t>
  </si>
  <si>
    <t>Food Res. Int.</t>
  </si>
  <si>
    <t>10.1016/j.foodres.2017.10.068</t>
  </si>
  <si>
    <t>Food Science &amp; Technology</t>
  </si>
  <si>
    <t>FU9LF</t>
  </si>
  <si>
    <t>WOS:000424176700045</t>
  </si>
  <si>
    <t>de França, P; Camilo, E; Fantinatti-Garboginni, F</t>
  </si>
  <si>
    <t>de Franca, Paula; Camilo, Esther; Fantinatti-Garboginni, Fabiana</t>
  </si>
  <si>
    <t>Draft Genome Sequence of Marinobacter sp. Strain ANT_B65, Isolated from Antarctic Marine Sponge</t>
  </si>
  <si>
    <t>GENOME ANNOUNCEMENTS</t>
  </si>
  <si>
    <t>SP-NOV.; GENE-CLUSTER; WATER</t>
  </si>
  <si>
    <t>Marinobacter sp. strain ANT_B65 was isolated from sponge collected in King George Island, Antarctica. The draft genome of 4,173,840 bp encodes 3,743 protein-coding open reading frames. The genome will provide insights into the strain's potential use in the production of natural products.</t>
  </si>
  <si>
    <t>[de Franca, Paula; Fantinatti-Garboginni, Fabiana] Univ Estadual Campinas, Multidisciplinary Ctr Chem Biol &amp; Agr Res, Paulinia, SP, Brazil; [de Franca, Paula] Univ Estadual Campinas, Inst Biol, Grad Program Genet &amp; Mol Biol, Campinas, SP, Brazil; [Camilo, Esther] Mot Bioinformat ME, Sertaozinho, SP, Brazil</t>
  </si>
  <si>
    <t>Universidade Estadual de Campinas; Universidade Estadual de Campinas; Universidade de Sao Paulo</t>
  </si>
  <si>
    <t>de França, P (corresponding author), Univ Estadual Campinas, Multidisciplinary Ctr Chem Biol &amp; Agr Res, Paulinia, SP, Brazil.;de França, P (corresponding author), Univ Estadual Campinas, Inst Biol, Grad Program Genet &amp; Mol Biol, Campinas, SP, Brazil.</t>
  </si>
  <si>
    <t>pauladfranca@gmail.com</t>
  </si>
  <si>
    <t>Franca, Paula/KHW-1787-2024; Fantinatti-Garboggini, Fabiana/F-3991-2012; de França, Paula/ABD-7750-2021</t>
  </si>
  <si>
    <t>de França, Paula/0000-0002-4416-0845</t>
  </si>
  <si>
    <t>Sao Paulo Research Foundation (FAPESP); PROANTAR Program; Coordination for the Improvement of Higher Education Personnel (CAPES)</t>
  </si>
  <si>
    <t>Sao Paulo Research Foundation (FAPESP)(Fundacao de Amparo a Pesquisa do Estado de Sao Paulo (FAPESP)); PROANTAR Program; Coordination for the Improvement of Higher Education Personnel (CAPES)(Coordenacao de Aperfeicoamento de Pessoal de Nivel Superior (CAPES))</t>
  </si>
  <si>
    <t>This research was supported by the Sao Paulo Research Foundation (FAPESP), PROANTAR Program, and Coordination for the Improvement of Higher Education Personnel (CAPES).</t>
  </si>
  <si>
    <t>2169-8287</t>
  </si>
  <si>
    <t>Genom. Ann.</t>
  </si>
  <si>
    <t>e01404-17</t>
  </si>
  <si>
    <t>10.1128/genomeA.01404-17</t>
  </si>
  <si>
    <t>HD1WG</t>
  </si>
  <si>
    <t>WOS:000452302400020</t>
  </si>
  <si>
    <t>Papadimitriou, S; Loucaides, S; Rérolle, VMC; Kennedy, P; Achterberg, EP; Dickson, AG; Mowlem, M; Kennedy, H</t>
  </si>
  <si>
    <t>Papadimitriou, Stathys; Loucaides, Socratis; Rerolle, Victoire M. C.; Kennedy, Paul; Achterberg, Eric P.; Dickson, Andrew G.; Mowlem, Matthew; Kennedy, Hilary</t>
  </si>
  <si>
    <t>The stoichiometric dissociation constants of carbonic acid in seawater brines from 298 to 267 K</t>
  </si>
  <si>
    <t>Carbonic acid; Dissociation constants; Below-zero temperature; Brines; Sea ice</t>
  </si>
  <si>
    <t>HIGH-FREQUENCY MEASUREMENT; ANTARCTIC SEA-ICE; SUBZERO TEMPERATURES; INORGANIC CARBON; BORIC-ACID; OCEAN; CO2; SYSTEM; THERMODYNAMICS; SOLUBILITY</t>
  </si>
  <si>
    <t>The stoichiometric dissociation constants of carbonic acid (K-1C(*) and K-2C(*)) were determined by measurement of all four measurable parameters of the carbonate system (total alkalinity, total dissolved inorganic carbon, pH on the total proton scale, and CO2 fugacity) in natural seawater and seawater-derived brines, with a major ion composition equivalent to that of Reference Seawater, to practical salinity (S-P) 100 and from 25 similar to degrees C to the freezing point of these solutions and -6 degrees C temperature minimum. These values, reported in the total proton scale, provide the first such determinations at below-zero temperatures and for SP &gt;50. The temperature (T, in Kelvin) and SP dependence of the current pK(1C)(*) and pK(2C)(*) (as negative common logarithms) within the salinity and temperature ranges of this study (33 &lt;= S-P &lt;= 100, -6 degrees C &lt;= t &lt;= 25 degrees C) is described by the following best-fit equations: pK(1C)(*) = -176.48 + 6.14528 S-P(0.5) - 0.127714 S-P + 7.396 x 10(-5) S-P(2) + (9914.37 - 622.886 S-P(0.5) P + 29.714 S-P) T-1 + (26.05129 - 0.666812 S-P(0:57)) lnT (sigma = 0.011, n = 62), and pK(2C)(*) = -323.52692 + 27.557655 S-P(0:5) + 0.154922 S-P - 2.48396 x 10(-4) S-P(2) + (14763.287 - 1014.819 S-P(0:5) - 14.35223 S-P) T-1 + (50.385807 - 4.4630415 S-P(0:5)) lnT (sigma = 0.020, n = 62). These functions are suitable for application to investigations of the carbonate system of internal sea ice brines with a conservative major ion composition relative to that of Reference Seawater and within the temperature and salinity ranges of this study. (C) 2017 Elsevier Ltd. All rights reserved.</t>
  </si>
  <si>
    <t>[Papadimitriou, Stathys; Kennedy, Paul; Kennedy, Hilary] Bangor Univ, Coll Nat Sci, Ocean Sci, Menai Bridge LL59 5AB, Anglesey, Wales; [Loucaides, Socratis; Rerolle, Victoire M. C.; Mowlem, Matthew] Natl Oceanog Ctr, Southampton SO14 3ZH, Hants, England; [Achterberg, Eric P.] Univ Southampton, Natl Oceanog Ctr, Southampton SO14 3ZH, Hants, England; [Dickson, Andrew G.] Univ Calif San Diego, Scripps Inst Oceanog, Marine Phys Lab, 9500 Gilman Dr, La Jolla, CA 92093 USA; [Rerolle, Victoire M. C.] FLUIDION SAS, F-75001 Paris, France; [Achterberg, Eric P.] Helmholtz Ctr Ocean Res, GEOMAR, D-24148 Kiel, Germany</t>
  </si>
  <si>
    <t>Bangor University; NERC National Oceanography Centre; University of Southampton; NERC National Oceanography Centre; University of California System; University of California San Diego; Scripps Institution of Oceanography; Helmholtz Association; GEOMAR Helmholtz Center for Ocean Research Kiel</t>
  </si>
  <si>
    <t>Papadimitriou, S (corresponding author), Bangor Univ, Coll Nat Sci, Ocean Sci, Menai Bridge LL59 5AB, Anglesey, Wales.</t>
  </si>
  <si>
    <t>s.papadimitriou@bangor.ac.uk</t>
  </si>
  <si>
    <t>Dickson, Andrew Gilmore/HPE-2168-2023; Kennedy, Hilary A/M-5574-2014; Achterberg, Eric P/C-5820-2009</t>
  </si>
  <si>
    <t>Kennedy, Hilary A/0000-0003-2290-2120; Papadimitriou, Stathys/0000-0001-8540-1169; Loucaides, Socratis/0000-0001-5285-660X; Mowlem, Matthew/0000-0001-7613-6121</t>
  </si>
  <si>
    <t>NERC-UK grant [NE/J011096/1]; Natural Environment Research Council [NE/J007129/1, NE/P02081X/1, NE/R015953/1, NE/J011096/1, noc010013] Funding Source: researchfish; NERC [NE/J007129/1, noc010013, NE/P02081X/1, NE/J011096/1, NE/R015953/1] Funding Source: UKRI</t>
  </si>
  <si>
    <t>NERC-UK grant; Natural Environment Research Council(UK Research &amp; Innovation (UKRI)Natural Environment Research Council (NERC)); NERC(UK Research &amp; Innovation (UKRI)Natural Environment Research Council (NERC))</t>
  </si>
  <si>
    <t>This work was supported by a NERC-UK grant (grant NE/J011096/1). We thank Susan Allender for the dissolved macro nutrient analyses and Dr. Ben Butler for the analyses of the major ions in the experimental solutions. We also thank three anonymous reviewers for their supportive and insightful comments.</t>
  </si>
  <si>
    <t>10.1016/j.gca.2017.09.037</t>
  </si>
  <si>
    <t>FO1FO</t>
  </si>
  <si>
    <t>WOS:000416502300004</t>
  </si>
  <si>
    <t>Purdie, H; Anderson, B; Mackintosh, A; Lawson, W</t>
  </si>
  <si>
    <t>Purdie, Heather; Anderson, Brian; Mackintosh, Andrew; Lawson, Wendy</t>
  </si>
  <si>
    <t>Revisiting glaciological measurements on Haupapa/Tasman Glacier, New Zealand, in a contemporary context</t>
  </si>
  <si>
    <t>GEOGRAFISKA ANNALER SERIES A-PHYSICAL GEOGRAPHY</t>
  </si>
  <si>
    <t>Tasman Glacier; New Zealand; mass balance; calving; debris-cover; velocity</t>
  </si>
  <si>
    <t>COOK NATIONAL-PARK; TASMAN GLACIER; SOUTHERN ALPS; MASS-BALANCE; SNOW ACCUMULATION; CALVING PROCESSES; CLIMATE-CHANGE; ICE FLOW; VELOCITY; LAKE</t>
  </si>
  <si>
    <t>Compilation of fragmented glaciological data, spanning more than a century at Haupapa/Tasman Glacier, provides new insight on how this glacier is changing over time. Despite consistency in high accumulation on the glacier, dramatic surface thinning and up-glacier expansion of supraglacial debris highlights that the glacier is currently in disequilibrium with climate. However, pauses in the rate of debris emergence indicate that despite ongoing terminus retreat at the proglacial lake, a subtle response to climate is still detectable mid-glacier. Analysis of surface velocity data at key locations reveals no trend over time at the Malte Brun site in the upper ablation area, but recent deceleration was recorded near the Ball Glacier confluence, located 5km up-glacier from the current terminus. Near-terminus acceleration during a period of rapid lake expansion, followed by more recent deceleration, demonstrates that at this time, ice thinning at Haupapa/Tasman Glacier is likely being driven by negative surface mass balance as opposed to dynamic thinning associated with proglacial lake enlargement.</t>
  </si>
  <si>
    <t>[Purdie, Heather] Univ Canterbury, Dept Geog, Private Bag 4800, Christchurch 8140, New Zealand; [Anderson, Brian; Mackintosh, Andrew] Victoria Univ Wellington, Antarctic Res Ctr, Wellington, New Zealand; [Mackintosh, Andrew] Victoria Univ Wellington, Sch Geog Environm &amp; Earth Sci, Wellington, New Zealand; [Lawson, Wendy] Univ Canterbury, Coll Sci, Christchurch, New Zealand</t>
  </si>
  <si>
    <t>University of Canterbury; Victoria University Wellington; Victoria University Wellington; University of Canterbury</t>
  </si>
  <si>
    <t>Purdie, H (corresponding author), Univ Canterbury, Dept Geog, Private Bag 4800, Christchurch 8140, New Zealand.</t>
  </si>
  <si>
    <t>heather.purdie@canterbury.ac.nz</t>
  </si>
  <si>
    <t>Mackintosh, Andrew/0000-0002-6430-4711</t>
  </si>
  <si>
    <t>Victoria University PhD scholarship; Victoria University Science Faculty &amp; School of Geography, Environment and Earth Science; University of Canterbury Geography Department; Comer Science &amp; Education Foundation; FRST ANZICE programme; NOAA [NA060AR4310206]; Department of Conservation, Mount Cook Ski Planes</t>
  </si>
  <si>
    <t>Victoria University PhD scholarship; Victoria University Science Faculty &amp; School of Geography, Environment and Earth Science; University of Canterbury Geography Department; Comer Science &amp; Education Foundation; FRST ANZICE programme; NOAA(National Oceanic Atmospheric Admin (NOAA) - USA); Department of Conservation, Mount Cook Ski Planes</t>
  </si>
  <si>
    <t>The field component of this study was supported by Victoria University PhD scholarship, Victoria University Science Faculty &amp; School of Geography, Environment and Earth Science, University of Canterbury Geography Department, Comer Science &amp; Education Foundation and FRST ANZICE programme and NOAA NA060AR4310206, Department of Conservation, Mount Cook Ski Planes, Heliline and a number of keen field assistants.</t>
  </si>
  <si>
    <t>0435-3676</t>
  </si>
  <si>
    <t>1468-0459</t>
  </si>
  <si>
    <t>GEOGR ANN A</t>
  </si>
  <si>
    <t>Geogr. Ann. Ser. A-Phys. Geogr.</t>
  </si>
  <si>
    <t>10.1080/04353676.2018.1522958</t>
  </si>
  <si>
    <t>Geography, Physical; Geology</t>
  </si>
  <si>
    <t>HC3RS</t>
  </si>
  <si>
    <t>WOS:000451720600003</t>
  </si>
  <si>
    <t>Hara, U; Mörs, T; Hagström, J; Reguero, MA</t>
  </si>
  <si>
    <t>Hara, Urszula; Mors, Thomas; Hagstrom, Jonas; Reguero, Marcelo A.</t>
  </si>
  <si>
    <t>Eocene bryozoan assemblages from the La Meseta Formation of Seymour Island, Antarctica</t>
  </si>
  <si>
    <t>GEOLOGICAL QUARTERLY</t>
  </si>
  <si>
    <t>Cyclostomata; Cheilostomata; taxonomy; Paleogene; James Ross Basin; Antarctic Peninsula</t>
  </si>
  <si>
    <t>FOSSIL LUNULITIDAE BRYOZOA; FREE-LIVING BRYOZOANS; CARBONATE MINERALOGY; CHEILOSTOMATA; SHELF; BASIN; FORM; ISOTOPE; HISTORY; CLIMATE</t>
  </si>
  <si>
    <t>Early to Late Eocene bryozoans from the La Meseta Formation of Seymour Island were collected at two localities within the Cucullaea I Allomember (Telm4 and Telm5) on the northwestern side of the island and in two localities within the Submeseta Allomember (Telm6 and Telm7) on the northeastern side. This fauna is represented by cyclostomes of the suborders Tubuliporina and Cerioporina and suborders of Neocheilostomata, among which nine species have been recognized. The following new species are introduced: Micropora nordenskjoeldi sp. nov., Lunulites marambionis sp. nov., Otionellina antarctica sp. nov. and Otionellina eocenica sp. nov. Some other taxa recognized in the studied material, such as Reticrescis plicatus, Uharella seymourensis and Celleporaria mesetaensis, were previously described from the lowermost (Telm1) or uppermost parts (Telm6-7), thus their stratigraphical ranges within the La Meseta Formation are extended. The diverse growth-forms of the bryozoans include a sole ball-shaped celleporiform colony and reticulated and bilamellar-foliaceous colony, as well as rich encrusting and free-living forms (so-called sand faunas), indicating the existence of locally restricted shallow-marine environments. This is particularly true in the middle and upper parts of the La Meseta Formation (Telm4-7). Reticulated, spheroidal and robust, branched colonies, which thrived in the environmental conditions of the lower part (Telm1), are represented only by a sparse bryozoan biota in the upper part of the La Meseta Formation. Lunulitiforms, such as Lunulites and Otionellina which are warm water, free-living bryozoans, dominate in the siliciclastic sediments of Telm5, but erect folded sheets forming a shell bed composed of ?Goodonia occur in Telm6-7. These three genera are recognized in Antarctica for the first time. The austral genus Otionellina has its earliest fossil record here, showing close biogeographical links with the Late Eocene-Miocene faunas of Australia and New Zealand. The taxonomic composition of the studied fauna together with their growth forms is a very good tool for reconstructing palaeoenvironmental conditions in the middle and upper parts (Telm4-7) of the La Meseta Formation, deposited during the Late Ypresian-Priabonian.</t>
  </si>
  <si>
    <t>[Hara, Urszula] Polish Geol Inst, Natl Res Inst, Rakowiecka 4, PL-00975 Warsaw, Poland; [Mors, Thomas; Hagstrom, Jonas] Swedish Museum Nat Hist, Dept Palaeobiol, POB 50007, S-10405 Stockholm, Sweden; [Reguero, Marcelo A.] Museo La Plata, Div Paleontol Vertebrados, Paseo del Bosque S-N,B1900FWA, La Plata, Buenos Aires, Argentina; [Reguero, Marcelo A.] Consejo Nacl Invest Cient &amp; Tecn, Av Rivadavia 1917,C1033AAJ, Buenos Aires, DF, Argentina; [Reguero, Marcelo A.] Inst Antarctico Argentino, Balcarce 290,C1064AAF, Buenos Aires, DF, Argentina</t>
  </si>
  <si>
    <t>Polish Geological Institute - National Research Institute; Swedish Museum of Natural History; National University of La Plata; Museo La Plata; Consejo Nacional de Investigaciones Cientificas y Tecnicas (CONICET)</t>
  </si>
  <si>
    <t>Hara, U (corresponding author), Polish Geol Inst, Natl Res Inst, Rakowiecka 4, PL-00975 Warsaw, Poland.</t>
  </si>
  <si>
    <t>urszula.hara@pgi.gov.pl</t>
  </si>
  <si>
    <t>Reguero, Marcelo A./JHS-4893-2023</t>
  </si>
  <si>
    <t>Swedish Research Council [2009-4447]; Consejo Nacional de Investigaciones Cientificas y Tecnicas (CONICET) [PIP 0462]; Argentine National Agency for Promotion of Science and Technology (ANPCyT) [PICTO-2010-0093]; Scientific Committee on Antarctic Research (SCAR); International Council for Science and AntEco Programme; Polish Geological Institute National Research Institute [61.3608.1503.00.0]</t>
  </si>
  <si>
    <t>Swedish Research Council(Swedish Research Council); Consejo Nacional de Investigaciones Cientificas y Tecnicas (CONICET)(Consejo Nacional de Investigaciones Cientificas y Tecnicas (CONICET)); Argentine National Agency for Promotion of Science and Technology (ANPCyT)(ANPCyT); Scientific Committee on Antarctic Research (SCAR); International Council for Science and AntEco Programme; Polish Geological Institute National Research Institute</t>
  </si>
  <si>
    <t>TM and MR are grateful to the Argentine Antarctic Institute (IAA-DNA) and to the Argentine Air Force, which provided logistical support for fieldwork on Seymour Island. TM thanks the Swedish Polar Research Secretariat (SPFS) for logistical support. We thank M. de los Reyes (Museo de La Plata) for screening and picking, S. McLoughlin (NRM) for Figures 1 and 2, and B. Giblewska (Polish Geological Institute - National Research Institute) for Figures 4-10. The thin-sections were prepared by A. Szumny (Academy of Metallurgy in Cracow). A. Gasinski (Department of Geology, University of Warsaw) and L. Giro (Polish Geological Institute - National Research Institute) are kindly thanked for the assistance during the SEM sessions. W. Narkiewicz (Central Chemical Laboratory at the PGI-NRI) is thanked for performing the XRD analyses and G. Zielinski is acknowledged for the mineralogical data obtained from the electron microprobe (Cameca SX-100). Special thanks for providing excellent reviews of this manuscript are kindly offered to Prof. R.M. Feldmann (Kent State University, Kent, OH), Dr D.P. Gordon (NIWA, Wellington) and Dr P.D. Taylor (Natural History Museum, London). The Swedish Research Council (VR grant 2009-4447 to TM), the Consejo Nacional de Investigaciones Cientificas y Tecnicas (CONICET grant PIP 0462 to MAR), and the Argentine National Agency for Promotion of Science and Technology (ANPCyT grant PICTO-2010-0093 to MAR) are gratefully acknowledged for financial support. UH thanks the Scientific Committee on Antarctic Research (SCAR), the International Council for Science and AntEco Programme, particularly to Dr H.J. Griffiths (BAS, Cambridge), Dr E. Griffin (Scott Polar Research Institute, Cambridge) and Prof. J. Strugnell (La Trobe University) for the financial support (travel grant) to participate in the XXXIV SCAR OSC in Kuala Lumpur (Malaysia) in 2016. The final stage of the preparation of the manuscript was supported by the Polish Geological Institute National Research Institute by the internal project 61.3608.1503.00.0. Warm thanks are also extended to Prof. T.M. Peryt for the general editorial remarks of the manuscript.</t>
  </si>
  <si>
    <t>POLISH GEOLOGICAL INST</t>
  </si>
  <si>
    <t>RAKOWIECKA 4, BLDG A, ROOM 434, PL-00-975 WARSAW, POLAND</t>
  </si>
  <si>
    <t>1641-7291</t>
  </si>
  <si>
    <t>2082-5099</t>
  </si>
  <si>
    <t>GEOL Q</t>
  </si>
  <si>
    <t>Geol. Q.</t>
  </si>
  <si>
    <t>10.7306/gq.1432</t>
  </si>
  <si>
    <t>HC4QI</t>
  </si>
  <si>
    <t>WOS:000451788200017</t>
  </si>
  <si>
    <t>Shen, WS; Wiens, DA; Stern, T; Anandakrishnan, S; Aster, RC; Dalziel, I; Hansen, S; Heeszel, DS; Huerta, A; Nyblade, A; Wilson, TJ; Winberry, JP</t>
  </si>
  <si>
    <t>Shen, Weisen; Wiens, Douglas A.; Stern, Tim; Anandakrishnan, Sridhar; Aster, Richard C.; Dalziel, Ian; Hansen, Samantha; Heeszel, David S.; Huerta, Audrey; Nyblade, Andrew; Wilson, Terry J.; Winberry, J. Paul</t>
  </si>
  <si>
    <t>Seismic evidence for lithospheric foundering beneath the southern Transantarctic Mountains, Antarctica</t>
  </si>
  <si>
    <t>GEOLOGY</t>
  </si>
  <si>
    <t>UPPER-MANTLE; RIFT SYSTEM; COLORADO PLATEAU; WEST ANTARCTICA; UPLIFT; DELAMINATION; VELOCITIES; MODEL; INSTABILITY; CALIFORNIA</t>
  </si>
  <si>
    <t>The 3000-km-long Transantarctic Mountains (TAMs), which separate cratonic East Antarctica from tectonically active West Antarctica, remain one of the least understood of Earth's major mountain ranges. The tectonic mechanism that generates the high elevation, as well as the processes that produce major differences between various sectors of the TAMs, are still uncertain. Here we present newly constructed seismic images of the crust and uppermost mantle beneath central Antarctica derived from recently acquired seismic data, indicating ongoing lithospheric foundering beneath the southern TAMs. These images reveal an absence of thick, cold cratonic lithosphere beneath the southern TAMs. Instead, an uppermost-mantle slow seismic anomaly extends across the mountain front and 350 km into East Antarctica, beneath a high plateau near the South Pole. Under the slow anomaly, a relatively high-wave-speed root is found at similar to 200 km depth, connected with the East Antarctic lithosphere, suggesting that sinking lithosphere has been replaced at shallow depths by warm, slow-velocity asthenosphere. A mantle lithosphere foundering model is proposed to interpret these images, which best explains the present large area of high elevation and the uplift of the TAMs, as well as Miocene-age volcanism in the Mount Early region.</t>
  </si>
  <si>
    <t>[Shen, Weisen; Wiens, Douglas A.] Washington Univ, Dept Earth &amp; Planetary Sci, St Louis, MO 63112 USA; [Stern, Tim] Victoria Univ Wellington, Sch Geog Environm &amp; Earth Sci, Wellington 6140, New Zealand; [Anandakrishnan, Sridhar; Nyblade, Andrew] Penn State Univ, Dept Geosci, University Pk, PA 16802 USA; [Aster, Richard C.] Colorado State Univ, Dept Geosci, Ft Collins, CO 80523 USA; [Aster, Richard C.] Colorado State Univ, Warner Coll Nat Resources, Ft Collins, CO 80523 USA; [Dalziel, Ian] Univ Texas Austin, Jackson Sch Geosci, Inst Geophys, JJ Pickle Res Campus, Austin, TX 78758 USA; [Hansen, Samantha] Univ Alabama, Dept Geol Sci, Tuscaloosa, AL 35487 USA; [Heeszel, David S.] United States Nucl Regulatory Commiss, Washington, DC 20555 USA; [Huerta, Audrey; Winberry, J. Paul] Cent Washington Univ, Dept Geol Sci, Ellensburg, WA 98926 USA; [Wilson, Terry J.] Ohio State Univ, Dept Geol Sci, Columbus, OH 43210 USA</t>
  </si>
  <si>
    <t>Washington University (WUSTL); Victoria University Wellington; Pennsylvania Commonwealth System of Higher Education (PCSHE); Pennsylvania State University; Pennsylvania State University - University Park; Colorado State University; Colorado State University; University of Texas System; University of Texas Austin; University of Alabama System; University of Alabama Tuscaloosa; Central Washington University; University System of Ohio; Ohio State University</t>
  </si>
  <si>
    <t>Shen, WS (corresponding author), Washington Univ, Dept Earth &amp; Planetary Sci, St Louis, MO 63112 USA.</t>
  </si>
  <si>
    <t>weisen.shen@stonybrook.edu</t>
  </si>
  <si>
    <t>Huerta, Audrey D/A-8680-2009; Anandakrishnan, Sridhar/JCN-5026-2023; Aster, Richard/E-5067-2013; Shen, Weisen/AAB-2471-2020; Winberry, Paul/HLQ-2673-2023; Wiens, Douglas/J-9259-2016</t>
  </si>
  <si>
    <t>Aster, Richard/0000-0002-0821-4906; Winberry, Paul/0000-0003-1205-0745; Huerta, Audrey/0000-0002-0252-8496; Wiens, Douglas/0000-0002-5169-4386; Shen, Weisen/0000-0002-3766-632X</t>
  </si>
  <si>
    <t>U.S. National Science Foundation Office of Polar Programs; Directorate For Geosciences; Office of Polar Programs (OPP) [1246666] Funding Source: National Science Foundation</t>
  </si>
  <si>
    <t>U.S. National Science Foundation Office of Polar Programs(National Science Foundation (NSF)); Directorate For Geosciences; Office of Polar Programs (OPP)(National Science Foundation (NSF)NSF - Directorate for Geosciences (GEO))</t>
  </si>
  <si>
    <t>We thank Donald Forsyth, Greg Houseman, and an anonymous reviewer for their comments that improved the paper, and Kurt Panter and Kathy Licht for valuable discussions. We also acknowledge the support of all of the field teams associated with the collection of data presented here, and the pilots of Kenn Borek Air and the New York Air National Guard for their support. The Polar Earth Observing Network-Antarctica Network (POLENET-ANET) is supported by the U.S. National Science Foundation Office of Polar Programs. Seismic instrumentation was provided by the Incorporated Research Institutions for Seismology (IRIS) through the PASSCAL Instrument Center at the New Mexico Institute of Mining and Technology (USA). Any opinions, findings, or conclusions expressed in this paper are those of the authors and do not necessarily reflect the views of the U.S. Nuclear Regulatory Commission.</t>
  </si>
  <si>
    <t>GEOLOGICAL SOC AMER, INC</t>
  </si>
  <si>
    <t>PO BOX 9140, BOULDER, CO 80301-9140 USA</t>
  </si>
  <si>
    <t>0091-7613</t>
  </si>
  <si>
    <t>1943-2682</t>
  </si>
  <si>
    <t>10.1130/G39555.1</t>
  </si>
  <si>
    <t>FQ8CD</t>
  </si>
  <si>
    <t>WOS:000418589600018</t>
  </si>
  <si>
    <t>Carty, M; Bachet, D; Arhancet, A; Leboeuf, D; Barrière, JC; Corpace, O; Duboué, B; Berthé, M; Fontignie, J; Martignac, J; Prieur, M; Durand, GA; Mondier, JB; Roulet, P; Junkera, B; Añel, J; Hernández, I</t>
  </si>
  <si>
    <t>Evans, CJ; Simard, L; Takami, H</t>
  </si>
  <si>
    <t>Carty, Michael; Bachet, Damien; Arhancet, Axel; Leboeuf, Didier; Barriere, Jean Christophe; Corpace, Olivier; Duboue, Bruno; Berthe, Michel; Fontignie, Jean; Martignac, Jerome; Prieur, Marin; Durand, Gilles-Alphonse; Mondier, Jean-Bernard; Roulet, Philippe; Junkera, Bittori; Anel, Jesus; Hernandez, Inaki</t>
  </si>
  <si>
    <t>Design and manufacturing of a precision cryogenic actuator</t>
  </si>
  <si>
    <t>GROUND-BASED AND AIRBORNE INSTRUMENTATION FOR ASTRONOMY VII</t>
  </si>
  <si>
    <t>Conference on Ground-Based and Airborne Instrumentation for Astronomy VII</t>
  </si>
  <si>
    <t>JUN 10-14, 2018</t>
  </si>
  <si>
    <t>Austin, TX</t>
  </si>
  <si>
    <t>cryogenic; rotating; actuator; repeatable</t>
  </si>
  <si>
    <t>The CEA CryoMechanism (CM35) was created in the late nineties from the association of basic industrial components. At this stage, the goal was to design a very robust and highly repeatable rotating actuator that could operate from room temperature, down to cryogenic temperatures (20K) with a very low power dissipation. This first model was designed according rules of thumb for ground instruments. Manufactured in 12 units series in 2004 (including two spare units), ten CM are operating once every hour in the mid-infrared imager/spectrometer VISIR, on the Very Large Telescope in Chile, without any major failure reported. From 2010 to 2012, within the framework of the Mid InfraRed Instrument (MIRI) on the James Webb Space Telescope (JWST), a significant evolution of the CM-5 was done in order to become a space mechanism. The new CM-5 was designed, manufactured and tested according to the flight qualification test program. For this test campaign, thermal cycles (29-K-20K), vibrations and life-test (150,000 actuations) were carried out. This test phases allowed to highlight some upgrades to be implemented such as the vibrations behavior improvement. From 2008 to 2012, a smaller CM, called CM21, was developed with a major evolution in the mechanical architecture that reduced the number of part, so minimize the manufacturing cost and time to integration. This model was implanted in CAMISTIC instrument in Antarctic. Today, within the framework of EUCLID mission (launch expected by 2021), the CM-5 development, based on the same basic industrial components from the beginning but with the optimized CM21 design, is complete and reaches the status of a flight model mechanism. This is one of the first flight components delivered in the Euclid space mission. The story of CM is not finished yet as this actuator is going to be dispatched into the ELT-METIS instrument by 2021 (Extremely Large Telescope, Mid Infrared ELT Imager and Spectrograph) to rotate around 20 optical wheels. To achieve this goal, the CM design has been reconsidered with a goal of cost optimization. This paper explains the system constraints that had an impact on the conception of the CryoMechanism keeping in mind the links with the cryogenic environment constraints. A focus is done on the mechanical simulations developed for the modeling of the bearing and the correlation from dynamic analysis and vibration test measures. The paper will highlight the manufacturing challenges that have led to a highly repeatable actuator, capable of operations in the range from 300K down to 10K.</t>
  </si>
  <si>
    <t>[Carty, Michael; Bachet, Damien; Arhancet, Axel; Leboeuf, Didier] CEA Paris Saclay, IRFU DIS, Bld 123, F-91191 Gif Sur Yvette, France; [Barriere, Jean Christophe; Corpace, Olivier; Duboue, Bruno] CEA Paris Saclay, IRFU DIS, Bld 472, F-91191 Gif Sur Yvette, France; [Berthe, Michel; Fontignie, Jean; Martignac, Jerome; Prieur, Marin; Durand, Gilles-Alphonse] CEA Paris Saclay, IRFU DAp, Bld 709, F-91191 Gif Sur Yvette, France; [Mondier, Jean-Bernard] CNES Toulouse, 18 Ave Edouard Belin, F-31401 Toulouse 9, France; [Roulet, Philippe; Junkera, Bittori; Anel, Jesus; Hernandez, Inaki] DMP, Poligono Ind Kurutz Gain 12-13, Mendaro 20850, Gipuzkoa, Spain</t>
  </si>
  <si>
    <t>Carty, M (corresponding author), CEA Paris Saclay, IRFU DIS, Bld 123, F-91191 Gif Sur Yvette, France.</t>
  </si>
  <si>
    <t>978-1-5106-1958-6</t>
  </si>
  <si>
    <t>UNSP 107025V</t>
  </si>
  <si>
    <t>10.1117/12.2310135</t>
  </si>
  <si>
    <t>Astronomy &amp; Astrophysics; Optics</t>
  </si>
  <si>
    <t>BL5TJ</t>
  </si>
  <si>
    <t>WOS:000452664300144</t>
  </si>
  <si>
    <t>Zhang, JR; Churilov, V; Content, R; Lawrence, J; Gu, BZ; Lu, HP; Wen, HK; Yuan, XY</t>
  </si>
  <si>
    <t>Zheng, Jessica R.; Churilov, Vladimir; Content, Robert; Lawrence, Jon; Gu, Bozhong; Lu, Haiping; Wen, Haikun; Yuan, Xiangyan</t>
  </si>
  <si>
    <t>Optical system design of the AST3-NIR camera</t>
  </si>
  <si>
    <t>Infrared optics; Antarctic; Camera design</t>
  </si>
  <si>
    <t>In this paper, we present the preliminary optical system design of AST3-NIR camera, a wide-field infrared imager for 50cm Antarctic surveying telescope (AST3-3) to be deployed to Dome A, the Antarctic plateau. It is a joint project in which China is responsible for telescope hardware and control, logistics and deployment. Australia is responsible for instrument hardware design and control, and power generation. The camera uses two mosaic Leonardo detectors with 1280 x 1032 pixels each. The instrument is designed with a field of view(FOV) of 28.1' X 46.1' at the pixel scale of 1.35 '' per 15 mu m pixel. It is optimized for K dark band (2.26 mu m to 2.49 mu m). The main challenges of this design are to produce a well-defined internal pupil stop located within cryogenic condition which reduces the thermal background and the correction of off-axis aberrations due to the large available field. Since the operating temperature of the camera could vary from -35 degrees C to -90 degrees C, the refocusing mechanism needs to be designed within the camera. The optical performance of the system will be demonstrated. We show the opto-mechanical error budget and compensation strategy that allows the built design to meet the optical performance.</t>
  </si>
  <si>
    <t>[Lawrence, Jon] Macquarie Univ, Australian Astron Opt, Fac Sci &amp; Engn, N Ryde, NSW 2109, Australia; [Yuan, Xiangyan] Chinese Acad Sci, Natl Observ, Nanjing Inst Astron Opt &amp; Technol, 188 Bancang St, Nanjing 210042, Jiangsu, Peoples R China</t>
  </si>
  <si>
    <t>Macquarie University; Chinese Academy of Sciences; Nanjing Institute of Astronomical Optics &amp; Technology, NAOC, CAS</t>
  </si>
  <si>
    <t>Lawrence, J (corresponding author), Macquarie Univ, Australian Astron Opt, Fac Sci &amp; Engn, N Ryde, NSW 2109, Australia.</t>
  </si>
  <si>
    <t>jzheng@aao.gov.au</t>
  </si>
  <si>
    <t>Lu, Haiping/T-8153-2019</t>
  </si>
  <si>
    <t>Lu, Haiping/0000-0002-0349-2181; Lawrence, Jon/0000-0002-6998-6993; Zheng, Rong/0000-0002-3498-4437</t>
  </si>
  <si>
    <t>UNSP 107020O</t>
  </si>
  <si>
    <t>10.1117/12.2313064</t>
  </si>
  <si>
    <t>WOS:000452664300014</t>
  </si>
  <si>
    <t>Van Els, P; Norambuena, HV</t>
  </si>
  <si>
    <t>Van Els, Paul; Norambuena, Heraldo V.</t>
  </si>
  <si>
    <t>A revision of species limits in Neotropical pipits Anthus based on multilocus genetic and vocal data</t>
  </si>
  <si>
    <t>IBIS</t>
  </si>
  <si>
    <t>grassland birds; Motacillidae; Neotropics; Peruvian Pipit; Puna Pipit; systematics; taxonomy</t>
  </si>
  <si>
    <t>DNA VARIATION; DIFFERENTIATION; EVOLUTION; AVES; PHYLOGENIES; DIVERGENCE; MODELS</t>
  </si>
  <si>
    <t>Previous investigations of the systematics of Neotropical pipits Anthus revealed multiple cases of paraphyly. We revised the species limits of this group based on sequence data of mitochondrial (ND2) and nuclear genes (ACOI9, MB, FGB5) from 39 tissue samples of all 22 subspecies-level taxa in the New World Anthus clade, as well as analysis of display song. We found that Anthus lutescens peruvianus is not part of Yellowish Pipit Anthus lutescens genetically or vocally; thus, we elevate peruvianus to species rank (Peruvian Pipit). Anthus lutescens abariensis Chubb (Bull. Br. Orn. Club., 41, 1921a, 79) should be placed in synonymy with Anthus lutescens parvus (instead of A.l.lutescens), at least until further morphological or vocal data become available. Paramo Pipit Anthus bogotensis is likewise paraphyletic, with Anthus meridae sister to all other bogotensis subspecies and also to Hellmayr's Pipit Anthus hellmayri. However, placement of the taxon is based on a relatively short stretch of mitochondrial DNA, and further data are needed. Andean populations of Short-billed Pipit Anthus furcatus are split as Puna Pipit Anthus brevirostris, based on genetic and vocal data. South Georgia Pipit Anthus antarcticus is, at least genetically, part of Correndera Pipit Anthus correndera, and we recommend considering it a subspecies of Correndera Pipit, in line with the taxonomy of other morphologically distinct but genetically little-differentiated insular bird taxa.</t>
  </si>
  <si>
    <t>[Van Els, Paul] Louisiana State Univ, Dept Biol Sci, 119 Foster Hall, Baton Rouge, LA 70803 USA; [Van Els, Paul] Louisiana State Univ, Museum Nat Sci, 119 Foster Hall, Baton Rouge, LA 70803 USA; [Van Els, Paul] Univ Groningen, Groningen Inst Evolutionary Life Sci, POB 11103, NL-9700 CC Groningen, Netherlands; [Norambuena, Heraldo V.] Univ Concepcion, Dept Zool, Fac Ciencias Nat &amp; Oceanog, Barrio Univ S-N,Casilla 160-C, Concepcion, Chile; [Norambuena, Heraldo V.] Ctr Estudios Agr &amp; Ambientales, Casilla 164, Valdivia, Chile</t>
  </si>
  <si>
    <t>Louisiana State University System; Louisiana State University; Louisiana State University System; Louisiana State University; University of Groningen; Universidad de Concepcion</t>
  </si>
  <si>
    <t>Van Els, P (corresponding author), Louisiana State Univ, Dept Biol Sci, 119 Foster Hall, Baton Rouge, LA 70803 USA.;Van Els, P (corresponding author), Louisiana State Univ, Museum Nat Sci, 119 Foster Hall, Baton Rouge, LA 70803 USA.;Van Els, P (corresponding author), Univ Groningen, Groningen Inst Evolutionary Life Sci, POB 11103, NL-9700 CC Groningen, Netherlands.</t>
  </si>
  <si>
    <t>paulvanels@gmail.com</t>
  </si>
  <si>
    <t>Norambuena, Heraldo V./ABW-8217-2022</t>
  </si>
  <si>
    <t>Norambuena, Heraldo V./0000-0003-0523-3682</t>
  </si>
  <si>
    <t>LSU Museum of Natural Science Birdathon Fund; P.A. Hens Memorial Fund for Systematics; American Ornithologists' Union Graduate Research Award; Frank M. Chapman Memorial Fund, American Museum of Natural History; University of Groningen Faculty of Mathematics and Natural Sciences Research Theme Adaptive Life; [CONICYT-PCHA/DoctoradoNacional/2013-21130354]</t>
  </si>
  <si>
    <t>LSU Museum of Natural Science Birdathon Fund; P.A. Hens Memorial Fund for Systematics; American Ornithologists' Union Graduate Research Award; Frank M. Chapman Memorial Fund, American Museum of Natural History; University of Groningen Faculty of Mathematics and Natural Sciences Research Theme Adaptive Life;</t>
  </si>
  <si>
    <t>We thank the following institutions and their staff for providing samples: Paul Sweet, American Museum of Natural History (AMNH); Nate Rice, Academy of Natural Sciences, Philadelphia (ANSP, Drexel University); Stephen Massam, Falkland Islands Museum and National Trust (FIMNT); John Bates and Ben Marks, Field Museum of Natural History (FMNH), Krzysztof Zyskowski, Yale Peabody Museum (YPM), Mark Robbins and Robert Moyle, University of Kansas (KU) Biodiversity Institute; John Klicka and Sharon Birks, Burke Museum (UWBM), University of Washington; Brian Schmidt and Gary Graves, National Museum of Natural History (USNM), Smithsonian Institution; Jon Fjeldsa and Jan Bolding Kristensen, Natural History Museum of Copenhagen University (ZMUC); and Pedro Victoriano, Universidad de Concepcion in Chile. Andy Wood at the British Antarctic Survey (BAS) provided valuable samples of South Georgia Pipit from South Georgia. We obtained a Chilean collecting permit from Servicio Agricola y Ganadero (SAG-Chile) No. 7285/2015. Sabrina Taylor at the LSU Department of Renewable Natural Resources kindly allowed P.V.E. to work in her ancient DNA lab. We thank J. V. Remsen, Jr, Rampal Etienne, Robb Brumfield and Rauri Bowie for reviewing the manuscript. Funding was provided by the LSU Museum of Natural Science Birdathon Fund, the P.A. Hens Memorial Fund for Systematics, an American Ornithologists' Union Graduate Research Award, and the Frank M. Chapman Memorial Fund, American Museum of Natural History, as well as the University of Groningen Faculty of Mathematics and Natural Sciences Research Theme Adaptive Life. H.V.N. is grateful for the CONICYT-PCHA/DoctoradoNacional/2013-21130354 scholarship. P.V.E. conceived the research idea, performed lab analyses and fieldwork, and wrote the manuscript. H.V.N. contributed samples through fieldwork and helped improve the manuscript. None of our funders had any influence on the content of the submitted or published manuscript and none of our funders required approval of the final manuscript to be published.</t>
  </si>
  <si>
    <t>0019-1019</t>
  </si>
  <si>
    <t>1474-919X</t>
  </si>
  <si>
    <t>Ibis</t>
  </si>
  <si>
    <t>10.1111/ibi.12511</t>
  </si>
  <si>
    <t>FP0IQ</t>
  </si>
  <si>
    <t>hybrid, Green Published</t>
  </si>
  <si>
    <t>WOS:000417283100013</t>
  </si>
  <si>
    <t>Cardellach, E; Wickert, J; Baggen, R; Benito, J; Camps, A; Catarino, N; Chapron, B; Dielacher, A; Fabra, F; Flato, G; Fragner, H; Gabarró, C; Gommenginger, C; Haas, C; Healy, S; Hernandez-Pajares, M; Hoeg, P; Jäggi, A; Kainulainen, J; Khan, SA; Lemke, NMK; Li, WQ; Nghiem, SV; Pierdicca, N; Portabella, M; Rautiainen, K; Rius, A; Sasgen, I; Semmling, M; Shum, CK; Soulat, F; Steiner, AK; Tailhades, S; Thomas, M; Vilaseca, R; Zuffada, C</t>
  </si>
  <si>
    <t>Cardellach, Estel; Wickert, Jens; Baggen, Rens; Benito, Javier; Camps, Adriano; Catarino, Nuno; Chapron, Bertrand; Dielacher, Andreas; Fabra, Fran; Flato, Greg; Fragner, Heinrich; Gabarro, Carolina; Gommenginger, Christine; Haas, Christian; Healy, Sean; Hernandez-Pajares, Manuel; Hoeg, Per; Jaggi, Adrian; Kainulainen, Juha; Khan, Shfaqat Abbas; Lemke, Norbert M. K.; Li, Weiqiang; Nghiem, Son V.; Pierdicca, Nazzareno; Portabella, Marcos; Rautiainen, Kimmo; Rius, Antonio; Sasgen, Ingo; Semmling, Maximilian; Shum, C. K.; Soulat, Francois; Steiner, Andrea K.; Tailhades, Sebastien; Thomas, Maik; Vilaseca, Roger; Zuffada, Cinzia</t>
  </si>
  <si>
    <t>GNSS Transpolar Earth Reflectometry exploriNg System (G-TERN): Mission Concept</t>
  </si>
  <si>
    <t>IEEE ACCESS</t>
  </si>
  <si>
    <t>Polar science; GNSS; reflectometry; GNSS-R; sea ice; altimetry; polarimetry; radio-occultation; Low Earth Orbiter</t>
  </si>
  <si>
    <t>GPS RADIO OCCULTATION; PRECISE ORBIT DETERMINATION; GLOBAL POSITIONING SYSTEM; ELECTRON-DENSITY PROFILES; R OCEAN ALTIMETRY; SEA-ICE DETECTION; WIND-SPEED; REFLECTED SIGNALS; SPECIAL-ISSUE; SNOW DEPTH</t>
  </si>
  <si>
    <t>The global navigation satellite system (GNSS) Transpolar Earth Reflectometry exploriNg system (G-TERN) was proposed in response to ESA's Earth Explorer 9 revised call by a team of 33 multi-disciplinary scientists. The primary objective of the mission is to quantify at high spatio-temporal resolution crucial characteristics, processes and interactions between sea ice, and other Earth system components in order to advance the understanding and prediction of climate change and its impacts on the environment and society. The objective is articulated through three key questions. 1) In a rapidly changing Arctic regime and under the resilient Antarctic sea ice trend, how will highly dynamic forcings and couplings between the various components of the ocean, atmosphere, and cryosphere modify or influence the processes governing the characteristics of the sea ice cover (ice production, growth, deformation, and melt)? 2) What are the impacts of extreme events and feedback mechanisms on sea ice evolution? 3) What are the effects of the cryosphere behaviors, either rapidly changing or resiliently stable, on the global oceanic and atmospheric circulation and mid-latitude extreme events? To contribute answering these questions, G-TERN will measure key parameters of the sea ice, the oceans, and the atmosphere with frequent and dense coverage over polar areas, becoming a dynamic mapper of the ice conditions, the ice production, and the loss in multiple time and space scales, and surrounding environment. Over polar areas, the G-DERN will measure sea ice surface elevation (&lt;10 cm precision), roughness, and polarimetry aspects at 30-km resolution and 3-days full coverage. G-TERN will implement the interferometric GNSS reflectometry concept, from a single satellite in near-polar orbit with capability for 12 simultaneous observations. Unlike currently orbiting GNSS reflectometry missions, the G-TERN uses the full GNSS available bandwidth to improve its ranging measurements. The lifetime would be 2025-2030 or optimally 2025-2035, covering key stages of the transition toward a nearly ice-free Arctic Ocean in summer. This paper describes the mission objectives, it reviews its measurement techniques, summarizes the suggested implementation, and finally, it estimates the expected performance.</t>
  </si>
  <si>
    <t>[Cardellach, Estel; Fabra, Fran; Li, Weiqiang; Rius, Antonio] CSIC, Inst Space Sci, Cerdanyola Del Valles 08193, Spain; [Wickert, Jens; Semmling, Maximilian; Thomas, Maik] GFZ German Res Ctr Geosci, D-14473 Potsdam, Germany; [Baggen, Rens] IMST GmbH, D-47475 Kamp Lintfort, Germany; [Benito, Javier] Airbus DS Space Syst Espana, Madrid 28022, Spain; [Camps, Adriano; Hernandez-Pajares, Manuel] UPC, IEEC, Barcelona 08034, Spain; [Catarino, Nuno] DEIMOS Engn, P-1998023 Lisbon, Portugal; [Chapron, Bertrand] IFREMER, F-29280 Plouzane, France; [Dielacher, Andreas; Fragner, Heinrich] RUAG Space GmbH, A-1120 Vienna, Austria; [Flato, Greg] Environm &amp; Climate Change Canada, Victoria, BC V8P 5C2, Canada; [Gabarro, Carolina; Portabella, Marcos] Inst Ciencies Mar, Barcelona 08003, Spain; [Gabarro, Carolina; Portabella, Marcos] Barcelona Expert Ctr Remote Sensing, Barcelona 08003, Spain; [Gommenginger, Christine] Natl Oceanog Ctr, Southampton SO14 3ZH, Hants, England; [Haas, Christian; Sasgen, Ingo] Alfred Wegener Inst Polar &amp; Marine Res, D-27570 Bremerhaven, Germany; [Healy, Sean] ECMWF, Reading RG2 9AX, Berks, England; [Hoeg, Per] Univ Oslo, Dept Phys, N-0371 Oslo, Norway; [Jaggi, Adrian] Univ Bern, Astron Inst, CH-3012 Bern, Switzerland; [Kainulainen, Juha] Harp Technol Oy, Espoo 02150, Finland; [Khan, Shfaqat Abbas] Tech Univ Denmark, Natl Space Inst, DK-2800 Lyngby, Denmark; [Lemke, Norbert M. K.; Tailhades, Sebastien] OHB Syst AG, D-82234 Weling Oberpfaffenhofen, Germany; [Nghiem, Son V.; Zuffada, Cinzia] CALTECH, Jet Prop Lab, 4800 Oak Grove Dr, Pasadena, CA 91125 USA; [Pierdicca, Nazzareno] Univ Roma La Sapienza, Dept Informat Elect &amp; Commun Engn, I-00185 Rome, Italy; [Rautiainen, Kimmo] Finnish Meteorol Inst, Helsinki 101, Finland; [Shum, C. K.] Ohio State Univ, Columbus, OH 43210 USA; [Soulat, Francois] Collecte Localisat Satellites SA, F-31520 Ramonville St Agne, France; [Steiner, Andrea K.] Karl Franzens Univ Graz, Wegener Ctr Climate &amp; Global Change, A-8010 Graz, Austria; [Vilaseca, Roger] TRYO Grp, La Garriga 08530, Spain</t>
  </si>
  <si>
    <t>Consejo Superior de Investigaciones Cientificas (CSIC); CSIC - Instituto de Ciencias del Espacio (ICE); Helmholtz Association; Helmholtz-Center Potsdam GFZ German Research Center for Geosciences; IMST GMBH; Universitat Politecnica de Catalunya; Institut d'Estudis Espacials de Catalunya (IEEC); University of Barcelona; Ifremer; Environment &amp; Climate Change Canada; Consejo Superior de Investigaciones Cientificas (CSIC); CSIC - Centro Mediterraneo de Investigaciones Marinas y Ambientales (CMIMA); CSIC - Instituto de Ciencias del Mar (ICM); NERC National Oceanography Centre; Helmholtz Association; Alfred Wegener Institute, Helmholtz Centre for Polar &amp; Marine Research; European Centre for Medium-Range Weather Forecasts (ECMWF); University of Oslo; University of Bern; Technical University of Denmark; OHB SE; National Aeronautics &amp; Space Administration (NASA); NASA Jet Propulsion Laboratory (JPL); California Institute of Technology; Sapienza University Rome; Finnish Meteorological Institute; University System of Ohio; Ohio State University; University of Graz</t>
  </si>
  <si>
    <t>Cardellach, E (corresponding author), CSIC, Inst Space Sci, Cerdanyola Del Valles 08193, Spain.</t>
  </si>
  <si>
    <t>estel@ice.csic.es</t>
  </si>
  <si>
    <t>Rius, Antonio/AAU-1432-2020; Portabella, Marcos/JCO-4052-2023; Fabra, Fran/T-9916-2019; Cardellach, Estel/C-9418-2012; Fragner, Heinrich/AAH-6483-2020; Steiner, Andrea K/F-7980-2017; Camps, Adriano/D-2592-2011; Khan, Shfaqat Abbas/AAP-6627-2021; Wickert, Jens/A-7257-2013; Portabella, Marcos/A-9511-2015; Høeg, Per/G-3537-2010; Li, Weiqiang/B-8829-2017; Gabarro, Carolina/N-3526-2014; Rautiainen, Kimmo/B-4106-2018; Hernandez-Pajares, Manuel/O-5338-2017</t>
  </si>
  <si>
    <t>Rius, Antonio/0000-0002-5947-2649; Portabella, Marcos/0000-0002-9972-9090; Cardellach, Estel/0000-0001-8908-0972; Steiner, Andrea K/0000-0003-1201-3303; Camps, Adriano/0000-0002-9514-4992; Khan, Shfaqat Abbas/0000-0002-2689-8563; Portabella, Marcos/0000-0002-9972-9090; Høeg, Per/0000-0002-3172-5587; Li, Weiqiang/0000-0002-6215-7607; Rautiainen, Kimmo/0000-0003-0321-578X; Shum, C K/0000-0001-9378-4067; Hernandez-Pajares, Manuel/0000-0002-9687-5850; chapron, bertrand/0000-0001-6088-8775</t>
  </si>
  <si>
    <t>Specific Expedition Budget of GFZ; NASA Cryospheric Sciences Program; NASA Land Cover and Land Use Change Program; [ESP2015-70014-C2-2-R]; [ESP2015-70014-C2-1-R]; Austrian Science Fund (FWF) [P27724] Funding Source: Austrian Science Fund (FWF); Natural Environment Research Council [noc010012] Funding Source: researchfish</t>
  </si>
  <si>
    <t>Specific Expedition Budget of GFZ; NASA Cryospheric Sciences Program(National Aeronautics &amp; Space Administration (NASA)); NASA Land Cover and Land Use Change Program(National Aeronautics &amp; Space Administration (NASA)); ; ; Austrian Science Fund (FWF)(Austrian Science Fund (FWF)); Natural Environment Research Council(UK Research &amp; Innovation (UKRI)Natural Environment Research Council (NERC))</t>
  </si>
  <si>
    <t>This work was supported in part by the Spanish under Grant ESP2015-70014-C2-2-R and Grant ESP2015-70014-C2-1-R and in part by the Specific Expedition Budget of GFZ. The work of S. V. Nghiem was supported in part by the NASA Cryospheric Sciences Program and in part by the NASA Land Cover and Land Use Change Program.</t>
  </si>
  <si>
    <t>IEEE-INST ELECTRICAL ELECTRONICS ENGINEERS INC</t>
  </si>
  <si>
    <t>PISCATAWAY</t>
  </si>
  <si>
    <t>445 HOES LANE, PISCATAWAY, NJ 08855-4141 USA</t>
  </si>
  <si>
    <t>2169-3536</t>
  </si>
  <si>
    <t>IEEE Access</t>
  </si>
  <si>
    <t>10.1109/ACCESS.2018.2814072</t>
  </si>
  <si>
    <t>Computer Science, Information Systems; Engineering, Electrical &amp; Electronic; Telecommunications</t>
  </si>
  <si>
    <t>Computer Science; Engineering; Telecommunications</t>
  </si>
  <si>
    <t>GB7FG</t>
  </si>
  <si>
    <t>Green Accepted, Green Submitted, Green Published, gold</t>
  </si>
  <si>
    <t>WOS:000429239700001</t>
  </si>
  <si>
    <t>Joe, HE; Yun, H; Jo, SH; Jun, MBG; Min, BK</t>
  </si>
  <si>
    <t>Joe, Hang-Eun; Yun, Huitaek; Jo, Seung-Hwan; Jun, Martin B. G.; Min, Byung-Kwon</t>
  </si>
  <si>
    <t>A Review on Optical Fiber Sensors for Environmental Monitoring</t>
  </si>
  <si>
    <t>INTERNATIONAL JOURNAL OF PRECISION ENGINEERING AND MANUFACTURING-GREEN TECHNOLOGY</t>
  </si>
  <si>
    <t>Fiber-optic sensor; Sensor fabrication; Fiber gratings; Distributed sensor; Environmental sensor</t>
  </si>
  <si>
    <t>MACH-ZEHNDER INTERFEROMETER; BRAGG GRATING SENSORS; LONG-PERIOD GRATINGS; ANTARCTIC ICE SHELF; TEMPERATURE SENSORS; RELATIVE-HUMIDITY; STRAIN SENSOR; GAS SENSORS; SAGNAC INTERFEROMETER; PRESSURE</t>
  </si>
  <si>
    <t>Environmental monitoring has become essential in order to deal with environmental resources efficiently and safely in the realm of green technology. Environmental monitoring sensors are required for detection of environmental changes in industrial facilities under harsh conditions, (e.g. underground or subsea pipelines) in both the temporal and spatial domains. The utilization of optical fiber sensors is a promising scheme for environmental monitoring of this kind, owing to advantages including resistance to electromagnetic interference, durability under extreme temperatures and pressures, high transmission rate, light weight, small size, and flexibility. In this paper, the optical fiber sensors employed in environmental monitoring are summarized for understanding of their sensing principles and fabrication processes. Numerous specific applications in petroleum engineering, civil engineering, and agricultural engineering are explored, followed by discussion on the potentials of OFS in manufacturing.</t>
  </si>
  <si>
    <t>[Joe, Hang-Eun; Min, Byung-Kwon] Yonsei Univ, Dept Mech Engn, 50 Yonsei Ro, Seoul 03722, South Korea; [Yun, Huitaek; Jo, Seung-Hwan; Jun, Martin B. G.] Purdue Univ, Sch Mech Engn, 585 Purdue Mall, W Lafayette, IN 47907 USA</t>
  </si>
  <si>
    <t>Yonsei University; Purdue University System; Purdue University</t>
  </si>
  <si>
    <t>Min, BK (corresponding author), Yonsei Univ, Dept Mech Engn, 50 Yonsei Ro, Seoul 03722, South Korea.;Jun, MBG (corresponding author), Purdue Univ, Sch Mech Engn, 585 Purdue Mall, W Lafayette, IN 47907 USA.</t>
  </si>
  <si>
    <t>mbgjun@purdue.edu; bkmin@yonsei.ac.kr</t>
  </si>
  <si>
    <t>Yun, Huitaek/GQP-1200-2022; Min, Byung-Kwon/A-9863-2008</t>
  </si>
  <si>
    <t>Yun, Huitaek/0000-0002-4136-7947; Jun, Martin/0000-0002-0512-7209; Joe, Hang-Eun/0000-0002-6424-3795</t>
  </si>
  <si>
    <t>Korea Carbon Capture and Sequestration Research and Development Center; Brain Korea 21 Plus Project: Mechanical Technology Global Leader Program for Society Development</t>
  </si>
  <si>
    <t>This work was supported by the Korea Carbon Capture and Sequestration Research and Development Center and the Brain Korea 21 Plus Project in 2017: Mechanical Technology Global Leader Program for Society Development.</t>
  </si>
  <si>
    <t>KOREAN SOC PRECISION ENG</t>
  </si>
  <si>
    <t>SEOUL</t>
  </si>
  <si>
    <t>RM 306, KWANGMYUNG BLDG, 5-4 NONHYUN-DONG, KANGNAM-GU, SEOUL, 135-010, SOUTH KOREA</t>
  </si>
  <si>
    <t>2288-6206</t>
  </si>
  <si>
    <t>2198-0810</t>
  </si>
  <si>
    <t>INT J PR ENG MAN-GT</t>
  </si>
  <si>
    <t>Int. J. Precis. Eng. anuf.-Gr Tech.</t>
  </si>
  <si>
    <t>10.1007/s40684-018-0017-6</t>
  </si>
  <si>
    <t>Green &amp; Sustainable Science &amp; Technology; Engineering, Manufacturing; Engineering, Mechanical</t>
  </si>
  <si>
    <t>Science &amp; Technology - Other Topics; Engineering</t>
  </si>
  <si>
    <t>GB9IR</t>
  </si>
  <si>
    <t>Y</t>
  </si>
  <si>
    <t>N</t>
  </si>
  <si>
    <t>WOS:000429388000017</t>
  </si>
  <si>
    <t>Parmiggiani, F; Moctezuma-Flores, M; Guerrieri, L; Battagliere, ML</t>
  </si>
  <si>
    <t>Parmiggiani, F.; Moctezuma-Flores, M.; Guerrieri, L.; Battagliere, M. L.</t>
  </si>
  <si>
    <t>SAR analysis of the Larsen-C A-68 iceberg displacements</t>
  </si>
  <si>
    <t>INTERNATIONAL JOURNAL OF REMOTE SENSING</t>
  </si>
  <si>
    <t>Annual Conference of the Remote-Sensing-and-Photogrammetry-Society (RSPSoc) on Earth as a Planet</t>
  </si>
  <si>
    <t>SEP 05-08, 2017</t>
  </si>
  <si>
    <t>Imperial Coll London, Dept Earth Sci &amp; Engn, Royal Sch Mines, London, ENGLAND</t>
  </si>
  <si>
    <t>Imperial Coll London, Dept Earth Sci &amp; Engn, Royal Sch Mines</t>
  </si>
  <si>
    <t>SEA-ICE; TRACKING</t>
  </si>
  <si>
    <t>The fracture of the Larsen C ice shelf, which has been continuously monitored since the final months of 2016, started to grow rapidly in 2017 and, in February 2017, only a 20km ice strip kept a huge section of the shelf attached to the Antarctic Peninsula. The final collapse, expected in 2017, occurred indeed between July 10 and July 12, with a loss of an area of some 6,000km(2), corresponding to about 9-12% of the entire shelf. Following US National Ice Center (NIC) criteria, the calved iceberg was named A-68'. Responding to the ASI COSMO-SkyMed Open Call for Science Initiative', this paper presents a study of the initial phase of iceberg A-68 melting process and drifting trajectory. The analysis covers a period of six months and makes use of a set of COSMO-SkyMed ScanSAR Huge images.</t>
  </si>
  <si>
    <t>[Parmiggiani, F.; Guerrieri, L.] CNR, ISAC, Dept Satellite Meteorol, Bologna, Italy; [Moctezuma-Flores, M.] UNAM, Dept Telecomm, Fac Ingn, Cdmx, Mexico; [Battagliere, M. L.] Italian Space Agcy ASI, COSMO SkyMed Mission, Rome, Italy</t>
  </si>
  <si>
    <t>Consiglio Nazionale delle Ricerche (CNR); Istituto di Scienze dell'Atmosfera e del Clima (ISAC-CNR); Universidad Nacional Autonoma de Mexico; Agenzia Spaziale Italiana (ASI)</t>
  </si>
  <si>
    <t>Parmiggiani, F (corresponding author), CNR, ISAC, Bologna, Italy.</t>
  </si>
  <si>
    <t>f.parmiggiani@isac.cnr.it</t>
  </si>
  <si>
    <t>Moctezuma-Flores, Miguel/AAF-7221-2020; Battagliere, Maria Libera/O-5319-2015</t>
  </si>
  <si>
    <t>Guerrieri, Lorenzo/0000-0003-1894-5048; Moctezuma-Flores, Miguel/0000-0002-6046-2421</t>
  </si>
  <si>
    <t>SPICES Horizon 2020 Programme (H2020-EO-2014 - EO-1-2014) [640161]</t>
  </si>
  <si>
    <t>SPICES Horizon 2020 Programme (H2020-EO-2014 - EO-1-2014)</t>
  </si>
  <si>
    <t>This work was supported by the SPICES Horizon 2020 Programme (H2020-EO-2014 - EO-1-2014) [grant number 640161].</t>
  </si>
  <si>
    <t>0143-1161</t>
  </si>
  <si>
    <t>1366-5901</t>
  </si>
  <si>
    <t>INT J REMOTE SENS</t>
  </si>
  <si>
    <t>Int. J. Remote Sens.</t>
  </si>
  <si>
    <t>10.1080/01431161.2018.1508921</t>
  </si>
  <si>
    <t>Remote Sensing; Imaging Science &amp; Photographic Technology</t>
  </si>
  <si>
    <t>HC4AE</t>
  </si>
  <si>
    <t>WOS:000451744100005</t>
  </si>
  <si>
    <t>Ivanov, VV; Repina, IA</t>
  </si>
  <si>
    <t>Ivanov, V. V.; Repina, I. A.</t>
  </si>
  <si>
    <t>The Effect of Seasonal Variability of Atlantic Water on the Arctic Sea Ice Cover</t>
  </si>
  <si>
    <t>IZVESTIYA ATMOSPHERIC AND OCEANIC PHYSICS</t>
  </si>
  <si>
    <t>Arctic climate; ice cover; feedback; heat fluxes; seasonal variability</t>
  </si>
  <si>
    <t>Under the influence of global warming, the sea ice in the Arctic Ocean (AO) is expected to reduce with a transition toward a seasonal ice cover by the end of this century. A comparison of climate-model predictions with measurements shows that the actual rate of ice cover decay in the AO is higher than the predicted one. This paper argues that the rapid shrinking of the Arctic summer ice cover is due to its increased seasonality, while seasonal oscillations of the Atlantic origin water temperature create favorable conditions for the formation of negative anomalies in the ice-cover area in winter. The basis for this hypothesis is the fundamental possibility of the activation of positive feedback provided by a specific feature of the seasonal cycle of the inflowing Atlantic origin water and the peaking of temperature in the Nansen Basin in midwinter. The recently accelerated reduction in the summer ice cover in the AO leads to an increased accumulation of heat in the upper ocean layer during the summer season. The extra heat content of the upper ocean layer favors prerequisite conditions for winter thermohaline convection and the transfer of heat from the Atlantic water (AW) layer to the ice cover. This, in turn, contributes to further ice thinning and a decrease in ice concentration, accelerated melting in summer, and a greater accumulation of heat in the ocean by the end of the following summer. An important role is played by the seasonal variability of the temperature of AW, which forms on the border between the North European and Arctic basins. The phase of seasonal oscillation changes while the AW is moving through the Nansen Basin. As a result, the timing of temperature peak shifts from summer to winter, additionally contributing to enhanced ice melting in winter. The formulated theoretical concept is substantiated by a simplified mathematical model and comparison with observations.</t>
  </si>
  <si>
    <t>[Ivanov, V. V.; Repina, I. A.] Hydrometeorol Ctr Russia, Moscow 123242, Russia; [Ivanov, V. V.; Repina, I. A.] Russian Acad Sci, Obukhov Inst Atmospher Phys, Moscow 119017, Russia; [Ivanov, V. V.] Arctic &amp; Antarctic Res Inst, St Petersburg 199397, Russia; [Repina, I. A.] Russian Acad Sci, Space Res Inst, Moscow 117997, Russia</t>
  </si>
  <si>
    <t>Russian Academy of Sciences; Obukhov Institute of Atmospheric Physics of Russian Academy of Sciences; Arctic &amp; Antarctic Research Institute; Russian Academy of Sciences; Space Research Institute of the Russian Academy of Sciences</t>
  </si>
  <si>
    <t>Ivanov, VV (corresponding author), Hydrometeorol Ctr Russia, Moscow 123242, Russia.;Ivanov, VV (corresponding author), Russian Acad Sci, Obukhov Inst Atmospher Phys, Moscow 119017, Russia.;Ivanov, VV (corresponding author), Arctic &amp; Antarctic Res Inst, St Petersburg 199397, Russia.</t>
  </si>
  <si>
    <t>Vladimir.ivanov@aari.ru</t>
  </si>
  <si>
    <t>Repina, Irina A/H-3530-2016; Ivanov, Vladimir/J-5979-2014</t>
  </si>
  <si>
    <t>Ivanov, Vladimir/0000-0003-2569-6027; Repina, Irina/0000-0001-7341-0826</t>
  </si>
  <si>
    <t>Russian Science Foundation [14-37-00053, 14-17-00647]; Obukhov Institute of Atmospheric Physics; Russian Science Foundation [14-17-00647] Funding Source: Russian Science Foundation</t>
  </si>
  <si>
    <t>Russian Science Foundation(Russian Science Foundation (RSF)); Obukhov Institute of Atmospheric Physics; Russian Science Foundation(Russian Science Foundation (RSF))</t>
  </si>
  <si>
    <t>This study was performed at the Hydrometeorological Center of Russia and supported by the Russian Science Foundation grant (V. Ivanov, project no. 14-37-00053) and at Obukhov Institute of Atmospheric Physics, supported by the Russian Science Foundation grant (I. Repina, project no. 14-17-00647).</t>
  </si>
  <si>
    <t>0001-4338</t>
  </si>
  <si>
    <t>1555-628X</t>
  </si>
  <si>
    <t>IZV ATMOS OCEAN PHY+</t>
  </si>
  <si>
    <t>Izv. Atmos. Ocean. Phys.</t>
  </si>
  <si>
    <t>10.1134/S0001433818010061</t>
  </si>
  <si>
    <t>Meteorology &amp; Atmospheric Sciences; Oceanography</t>
  </si>
  <si>
    <t>FX3MF</t>
  </si>
  <si>
    <t>WOS:000425975400008</t>
  </si>
  <si>
    <t>Amarioarei, A; Itcus, C; Tusa, I; Sidoroff, M; Paun, M</t>
  </si>
  <si>
    <t>Amarioarei, A.; Itcus, C.; Tusa, I.; Sidoroff, M.; Paun, M.</t>
  </si>
  <si>
    <t>CLASSIFICATION OF ROMANIAN SALT WATER LAKES BY STATISTICAL METHODS</t>
  </si>
  <si>
    <t>JOURNAL OF ENVIRONMENTAL PROTECTION AND ECOLOGY</t>
  </si>
  <si>
    <t>salt water lakes; statistical analysis; physicochemical characteristics; classification; clustering</t>
  </si>
  <si>
    <t>Investigation of the lake systems can provide a variety of information that can lead to the development of general concepts about how lakes function and respond to environmental changes. The purpose of this study is to assess the current classification of therapeutic lakes based on supervised learning methods applied to several biochemical characteristics of such lakes. In order to classify the therapeutic lakes in a separate class, a dataset consisting of 45 observations from 9 different basins and from three different altitude categories was analysed using clustering and classification methods.</t>
  </si>
  <si>
    <t>[Amarioarei, A.; Tusa, I.; Sidoroff, M.; Paun, M.] Natl Inst Res &amp; Dev Biol Sci, Bioinformat Dept, 296 Independentei Blvd,Dist 6, Bucharest 060031, Romania; [Amarioarei, A.] Univ Bucharest, Fac Math &amp; Comp Sci, Bucharest, Romania; [Itcus, C.] Natl Inst Res &amp; Dev Biol Sci, Arctic &amp; Antarctic Res Dept, Bucharest, Romania; [Paun, M.] Univ Bucharest, Fac Adm &amp; Business, Bucharest, Romania</t>
  </si>
  <si>
    <t>National Research Institute for Biological Sciences; University of Bucharest; National Research Institute for Biological Sciences; University of Bucharest</t>
  </si>
  <si>
    <t>Itcus, C (corresponding author), Natl Inst Res &amp; Dev Biol Sci, Arctic &amp; Antarctic Res Dept, Bucharest, Romania.</t>
  </si>
  <si>
    <t>corina.itcus@gmail.com</t>
  </si>
  <si>
    <t>Amarioarei, Alexandru/AAT-2866-2021; Paun, Mihaela/C-3539-2011; Itcus, Corina/ABG-2721-2021</t>
  </si>
  <si>
    <t>Tusa, Iris/0000-0002-3078-4147; Amarioarei, Alexandru/0000-0002-3722-7351; Itcus, Corina/0000-0003-2298-8550</t>
  </si>
  <si>
    <t>Romanian project Biodivers [PN 18-18-0102]</t>
  </si>
  <si>
    <t>Romanian project Biodivers</t>
  </si>
  <si>
    <t>This work was supported by the Romanian project Biodivers PN 18-18-0102. The authors would like to thank the Romanian Waters National Administration for providing the data.</t>
  </si>
  <si>
    <t>SCIBULCOM LTD</t>
  </si>
  <si>
    <t>SOFIA</t>
  </si>
  <si>
    <t>PO BOX 249, 1113 SOFIA, BULGARIA</t>
  </si>
  <si>
    <t>1311-5065</t>
  </si>
  <si>
    <t>J ENVIRON PROT ECOL</t>
  </si>
  <si>
    <t>J. Environ. Prot. Ecol.</t>
  </si>
  <si>
    <t>GD2HA</t>
  </si>
  <si>
    <t>WOS:000430319500001</t>
  </si>
  <si>
    <t>Lu, ZB; Kang, M</t>
  </si>
  <si>
    <t>Lu, Zhi B.; Kang, Meng</t>
  </si>
  <si>
    <t>Risk assessment of toxic metals in marine sediments from the Arctic Ocean using a modified BCR sequential extraction procedure</t>
  </si>
  <si>
    <t>JOURNAL OF ENVIRONMENTAL SCIENCE AND HEALTH PART A-TOXIC/HAZARDOUS SUBSTANCES &amp; ENVIRONMENTAL ENGINEERING</t>
  </si>
  <si>
    <t>Toxic metals; marine sediment; ecological risk assessment; risk assessment code; sediment quality guidelines; analytic hierarchy process</t>
  </si>
  <si>
    <t>TRACE-METALS; HEAVY-METALS; SURFACE SEDIMENTS; CHUKCHI-SEA; BERING-SEA; SPECIATION; SOILS; SHELF; FRACTIONATION; CONTAMINATION</t>
  </si>
  <si>
    <t>Surface sediment samples were collected from the Pacific sector of the Arctic Ocean during the 6(th) Chinese National Arctic Research Expedition (CHINARE), 2014. Concentrations and extractabilities of six toxic metals (Cd, Cr, Cu, Ni, Pb, and Zn) were determined using a modified sequential extraction procedure as described by the European Community Bureau of Reference (BCR). A new analytical hierarchy approach to risk assessment, involving sediment quality guidelines and risk-assessment codes, is described for metals in marine sediments from the Arctic Ocean. Results indicate a mobility order of Pb &gt; Cd &gt; Cu &gt; Zn &gt; Ni &gt; Cr with mean liable fraction (F1+F2+F3) being 83.0%, 81.6%, 62.0%, 47.1%, 42.1%, and 15.6%, respectively. Ni presents the most serious ecological risk in the study area, with most samples (93.9%) indicating medium risk, followed by Cu (54.5%) and Zn (27.3%). For Ni and Zn, there are also samples showing high ecological risk (Ni at site NB02, northern Bering Sea; Zn at R07, northern Chukchi Sea). The ecological risk for Cr indicates low ecological risk (93.9%) and some medium risk (6.1%). All Cd assessments indicate low ecological risk, while most Pb assessments indicate zero (33.3%) to low risk. The new ecological risk assessment method improves on assessments based on metal mobility or concentration alone.</t>
  </si>
  <si>
    <t>[Lu, Zhi B.; Kang, Meng] Tongji Univ, Dept Environm Sci &amp; Engn, Shanghai 200092, Peoples R China; [Lu, Zhi B.] Tongji Univ, State Key Lab Pollut Control &amp; Resource Reuse, Shanghai, Peoples R China</t>
  </si>
  <si>
    <t>Tongji University; Tongji University</t>
  </si>
  <si>
    <t>Lu, ZB (corresponding author), Tongji Univ, Dept Environm Sci &amp; Engn, Shanghai 200092, Peoples R China.</t>
  </si>
  <si>
    <t>luzhibo@tongji.edu.cn</t>
  </si>
  <si>
    <t>ZHIBO, LU/HHS-4083-2022</t>
  </si>
  <si>
    <t>National Natural Science Foundation of China [41406213]</t>
  </si>
  <si>
    <t>National Natural Science Foundation of China(National Natural Science Foundation of China (NSFC))</t>
  </si>
  <si>
    <t>This research was funded by the National Natural Science Foundation of China (Nos. 41406213). Acknowledgement for the data support from Chinese National Antarctic &amp; Arctic Data Centre (CN-NADC), National Earth System Science Data Sharing Infrastructure, National Science &amp; Technology Infrastructure of China (http://www.chinare.org.cn).</t>
  </si>
  <si>
    <t>TAYLOR &amp; FRANCIS INC</t>
  </si>
  <si>
    <t>PHILADELPHIA</t>
  </si>
  <si>
    <t>530 WALNUT STREET, STE 850, PHILADELPHIA, PA 19106 USA</t>
  </si>
  <si>
    <t>1093-4529</t>
  </si>
  <si>
    <t>1532-4117</t>
  </si>
  <si>
    <t>J ENVIRON SCI HEAL A</t>
  </si>
  <si>
    <t>J. Environ. Sci. Health Part A-Toxic/Hazard. Subst. Environ. Eng.</t>
  </si>
  <si>
    <t>10.1080/10934529.2017.1397443</t>
  </si>
  <si>
    <t>Engineering, Environmental; Environmental Sciences</t>
  </si>
  <si>
    <t>FV0PL</t>
  </si>
  <si>
    <t>WOS:000424258600010</t>
  </si>
  <si>
    <t>Gao, L; Zhao, Y; Yang, ZY; Liu, JM; Liu, XC; Zhang, SH; Pei, JL</t>
  </si>
  <si>
    <t>Gao, Liang; Zhao, Yue; Yang, Zhenyu; Liu, Jianmin; Liu, Xiaochun; Zhang, Shuan-Hong; Pei, Junling</t>
  </si>
  <si>
    <t>New Paleomagnetic and 40Ar/39Ar Geochronological Results for the South Shetland Islands, West Antarctica, and Their Tectonic Implications</t>
  </si>
  <si>
    <t>JOURNAL OF GEOPHYSICAL RESEARCH-SOLID EARTH</t>
  </si>
  <si>
    <t>South Shetland Islands; West Antarctica; paleomagnetism; remagnetization; Drake Passage</t>
  </si>
  <si>
    <t>NRM-IRM(S) DEMAGNETIZATION PLOTS; GEOMAGNETIC SECULAR VARIATION; LOW-TEMPERATURE OXIDATION; CRETACEOUS BYERS GROUP; KING GEORGE ISLAND; SCOTIA SEA; SOUTHERNMOST ANDES; IGNEOUS ROCKS; DRAKE PASSAGE; PATAGONIAN OROCLINE</t>
  </si>
  <si>
    <t>To reconstruct the paleoposition of the Antarctic Peninsula relative to the South American Plate during the breakup of Gondwana, as well as the opening kinematics of the Drake Passage, we conducted detailed paleomagnetic, rock magnetic, and isotopic chronology studies of Byers Peninsula (Livingston Island) and Fildes Peninsula (King George Island) of the South Shetland Islands. The 40Ar/39Ar ages of the Agate Beach Formation to the Long Hill Formation in Fildes Peninsula range from 56.380.2Ma to 52.420.19Ma. Low natural remanent magnetization/isothermal remanent magnetization ratios, inconsistency with the polarity constrained by the paleomagnetic results and 40Ar/39Ar age constraints, as well as the widespread cation-deficient titanomagnetite and Ti-free magnetite of secondary origin, indicate that the volcanic and sedimentary rocks of Fildes Peninsula were remagnetized at about 55Ma. Combining our results with previous data from the South Shetland Islands and the Antarctic Peninsula, we calculated the paleopoles for 110Ma and 55Ma for the South Shetland Islands and the Antarctic Peninsula. The paleomagnetic reconstruction of the relative paleoposition of the Antarctic Peninsula and South America shows that these plates were connected and experienced a southward movement and clockwise rotation from 110 to 55Ma. Subsequently, southward translation and clockwise rotation of the Antarctic Peninsula between 55 and 27Ma separated the Antarctic Peninsula and South America, forming the Drake Passage. Northward translation of South America after 27Ma increased the N-S divergence and increased the distance between the Antarctic Peninsula and the South American Plate.</t>
  </si>
  <si>
    <t>[Gao, Liang] China Univ Geosci, State Key Lab Geol Proc &amp; Mineral Resources, Beijing, Peoples R China; [Gao, Liang; Zhao, Yue; Liu, Jianmin; Liu, Xiaochun; Zhang, Shuan-Hong; Pei, Junling] Chinese Acad Geol Sci, Inst Geomech, Beijing, Peoples R China; [Zhao, Yue; Liu, Jianmin; Liu, Xiaochun; Zhang, Shuan-Hong; Pei, Junling] Minist Land &amp; Resources, Key Lab Paleomagnetism &amp; Tecton Reconstruct, Beijing, Peoples R China; [Yang, Zhenyu] Capital Normal Univ, Coll Resources Environm &amp; Tourism, Beijing, Peoples R China</t>
  </si>
  <si>
    <t>China University of Geosciences; China Geological Survey; Chinese Academy of Geological Sciences; Institute of Geomechanics, Chinese Academy of Geological Sciences; Ministry of Natural Resources of the People's Republic of China; Capital Normal University</t>
  </si>
  <si>
    <t>Zhao, Y (corresponding author), Chinese Acad Geol Sci, Inst Geomech, Beijing, Peoples R China.;Zhao, Y (corresponding author), Minist Land &amp; Resources, Key Lab Paleomagnetism &amp; Tecton Reconstruct, Beijing, Peoples R China.</t>
  </si>
  <si>
    <t>yue_zhao@cags.ac.cn</t>
  </si>
  <si>
    <t>Zhang, Shuan-Hong/G-6488-2010</t>
  </si>
  <si>
    <t>Zhang, Shuan-Hong/0000-0002-2177-9039; Pei, Junling/0000-0003-4046-3432; Gao, Liang/0000-0003-3741-9377</t>
  </si>
  <si>
    <t>Antarctic Administration of China; National Natural Science Foundation of China [41372200, 41372082, 41706222]; Chinese Polar Environment Comprehensive Investigation &amp; Assessment Programmes [CHINARE2015-02-05, CHINARE2015-04-02]; Geological Investigation Project of the Chinese Geological Survey [121201104000150001]</t>
  </si>
  <si>
    <t>Antarctic Administration of China; National Natural Science Foundation of China(National Natural Science Foundation of China (NSFC)); Chinese Polar Environment Comprehensive Investigation &amp; Assessment Programmes; Geological Investigation Project of the Chinese Geological Survey</t>
  </si>
  <si>
    <t>We are grateful to the Editor-in-Chief Uri S ten Brink, Associate Editor Douwe van Hinsbergen, and two reviewers Fernando Poblete and Lydian Boschman for their constructive comments and suggestions. We acknowledge supports from the Antarctic Administration of China. We are thankful for helps from all members of the 31st Chinese National Antarctic Research Expedition and Sino-Chilean Antarctic Expedition during fieldwork. Special thanks are due to Jose Retamales, the Instituto Antartico Chileno (INACH), and the crews of the Aquiles. We thank Xumin Wang and Jing Zhang for field assistance. This work was supported by the National Natural Science Foundation of China (grants 41372200, 41372082, and 41706222), the Chinese Polar Environment Comprehensive Investigation &amp; Assessment Programmes (grant CHINARE2015-02-05, 04-02), and the Geological Investigation Project of the Chinese Geological Survey (121201104000150001).</t>
  </si>
  <si>
    <t>2169-9313</t>
  </si>
  <si>
    <t>2169-9356</t>
  </si>
  <si>
    <t>J GEOPHYS RES-SOL EA</t>
  </si>
  <si>
    <t>J. Geophys. Res.-Solid Earth</t>
  </si>
  <si>
    <t>10.1002/2017JB014677</t>
  </si>
  <si>
    <t>FX5PR</t>
  </si>
  <si>
    <t>WOS:000426132600001</t>
  </si>
  <si>
    <t>Grillová, L; Sedlácek, I; Páchníkova, G; Stanková, E; Svec, P; Holochová, P; Micenková, L; Bosák, J; Slaninová, I; Smajs, D</t>
  </si>
  <si>
    <t>Grillova, Linda; Sedlacek, Ivo; Pachnikova, Gabriela; Stankova, Eva; Svec, Pavel; Holochova, Pavla; Micenkova, Lenka; Bosak, Juraj; Slaninova, Iva; Smajs, David</t>
  </si>
  <si>
    <t>Characterization of four Escherichia albertii isolates collected from animals living in Antarctica and Patagonia</t>
  </si>
  <si>
    <t>JOURNAL OF VETERINARY MEDICAL SCIENCE</t>
  </si>
  <si>
    <t>Antarctica; bacteriocins; cytolethal distending toxin; Escherichia albertii</t>
  </si>
  <si>
    <t>VIRULENCE GENES; HAFNIA-ALVEI; COLI STRAINS; DIARRHEA; IDENTIFICATION; DETERMINANTS; CHILDREN; PATHOGEN; PCR; PREVALENCE</t>
  </si>
  <si>
    <t>Escherichia albertii is a recently discovered species with a limited number of well characterized strains. The aim of this study was to characterize four of the E. albertii strains, which were among 41 identified Escherichia strains isolated from the feces of living animals on James Ross Island, Antarctica, and Isla Magdalena, Patagonia. Sequencing of 16S rDNA, automated ribotyping, and rep-PCR were used to identify the four E. albertii isolates. Phylogenetic analyses based on multi-locus sequence typing showed these isolates to be genetically most similar to the members of E. albertii phylogroup G3. These isolates encoded several virulence factors including those, which are characteristic of E. albertii (cytolethal distending toxin and intimin) as well as bacteriocin determinants that typically have a very low prevalence in E. coli strains (D, E7). Moreover, E. albertii protein extracts caused cell cycle arrest in human cell line A375, probably because of cytolethal distending toxin activity.</t>
  </si>
  <si>
    <t>[Grillova, Linda; Pachnikova, Gabriela; Bosak, Juraj; Slaninova, Iva; Smajs, David] Masaryk Univ, Dept Biol, Fac Med, Brno 62500, Czech Republic; [Sedlacek, Ivo; Stankova, Eva; Svec, Pavel; Holochova, Pavla] Masaryk Univ, Dept Expt Biol, Czech Collect Microorganisms, Fac Sci, Brno 62500, Czech Republic; [Micenkova, Lenka] Masaryk Univ, Res Ctr Tox Cpds Environm, Fac Sci, Brno 62500, Czech Republic</t>
  </si>
  <si>
    <t>Masaryk University Brno; Masaryk University Brno; Masaryk University Brno</t>
  </si>
  <si>
    <t>Smajs, D (corresponding author), Masaryk Univ, Dept Biol, Fac Med, Brno 62500, Czech Republic.</t>
  </si>
  <si>
    <t>dsmajs@med.muni.cz</t>
  </si>
  <si>
    <t>Svec, Pavel/B-1209-2008; Grillova, Linda/AAA-8557-2020; Slaninová, Iva/AAI-5979-2020; Sedlacek, Ivo/IWU-8828-2023; Bosak, Juraj/AAV-2191-2020</t>
  </si>
  <si>
    <t>Svec, Pavel/0000-0002-1051-5177; Grillova, Linda/0000-0003-2371-3161; Micenkova, Lenka/0000-0003-0930-4396</t>
  </si>
  <si>
    <t>Ministry of Education, Youth and Sports of the Czech Republic [LM2015078]; Grant Agency of the Czech Republic [16-21649S]; National Sustainability Program of the Czech Ministry of Education, Youth and Sports (MEYS, CETOCOEN) [LO1214]; Faculty of Medicine, Masaryk University [ROZV/25/LF/2017]</t>
  </si>
  <si>
    <t>Ministry of Education, Youth and Sports of the Czech Republic(Ministry of Education, Youth &amp; Sports - Czech Republic); Grant Agency of the Czech Republic(Grant Agency of the Czech RepublicNorwegian Agency for Development Cooperation - NORAD); National Sustainability Program of the Czech Ministry of Education, Youth and Sports (MEYS, CETOCOEN); Faculty of Medicine, Masaryk University</t>
  </si>
  <si>
    <t>The authors want to thank the staff of the J.G. Mendel Czech Antarctic Station for their assistance (part of the Czech Polar Research Infrastructure (CzechPolar2), supported by the Ministry of Education, Youth and Sports of the Czech Republic (LM2015078)). Additional support was provided by the Grant Agency of the Czech Republic to DS (16-21649S), by the National Sustainability Program of the Czech Ministry of Education, Youth and Sports (MEYS, CETOCOEN, LO1214) and by founds from the Faculty of Medicine, Masaryk University (ROZV/25/LF/2017) to junior researcher Juraj Bosak. We also thank to Thomas Secrest (Secrest Editing, Ltd.) for English editing of the manuscript.</t>
  </si>
  <si>
    <t>JAPAN SOC VET SCI</t>
  </si>
  <si>
    <t>UNIV TOKYO, 1-1-1 YAYOI, BUNKYO-KU, TOKYO, 103, JAPAN</t>
  </si>
  <si>
    <t>0916-7250</t>
  </si>
  <si>
    <t>1347-7439</t>
  </si>
  <si>
    <t>J VET MED SCI</t>
  </si>
  <si>
    <t>J. Vet. Med. Sci.</t>
  </si>
  <si>
    <t>10.1292/jvms.17-0492</t>
  </si>
  <si>
    <t>FX1CK</t>
  </si>
  <si>
    <t>WOS:000425785000023</t>
  </si>
  <si>
    <t>Timokhov, LA; Vyazigina, NA; Mironov, EU; Popov, AV</t>
  </si>
  <si>
    <t>Timokhov, L. A.; Vyazigina, N. A.; Mironov, E. U.; Popov, A. V.</t>
  </si>
  <si>
    <t>Seasonal and inter-annual variability of the ice cover in the Greenland Sea</t>
  </si>
  <si>
    <t>LED I SNEG-ICE AND SNOW</t>
  </si>
  <si>
    <t>classification of seasonal cycles; Greenland Sea; ice coverage; sea ice; seasonal and interannual variability</t>
  </si>
  <si>
    <t>The results of studies of seasonal and inter-annual variability of the Greenland Sea ice cover are presented for the period from 1950 to 2016. Statistical characteristics of seasonal and inter-annual changes in the ice-covered area were calculated. Three clusters of typical seasonal variability were identified from the whole totality of all seasonal cycles. The first cluster presented a group of seasonal cycles in the period of maximum, the second one - the middle, and the third group - minimum areas of the winter ice cover. The estimates of correlation between changes in the ice areas in winter (February-March) or in summer (August-September) and areas of the following two months of a current year as well as in succeeding years were obtained. Empirical regularity of a variability of the ice cover during the annual cycle was established. This regularity is characterized by an existence of a 'memory' in the state of the ice cover, when a prehistory of the ice conditions determines to a certain extent the following phase. Analysis of inter-annual variability of the Greenland Sea ice cover did show a linear negative tendency in both winter and summer ice conditions. One-two year fluctuations were the most pronounced in the spectral density of inter-annual variations in the summer ice conditions. However, fluctuations with a longer period do also exist. With respect to contribution of hydrometeorological factors, the summer ice area is determined: (a) by conditions in the preceding winter, (b) by the atmospheric circulation, and (c) by the influence of warm Atlantic waters (about 20% of the total dispersion). Changes in the winter ice area depend: (a) mainly on the pre-winter state of ices (October-November), (b) on the influence of the Atlantic waters (about 30% of the total dispersion), and (c) on the heat balance and the atmospheric circulation (20% of the total dispersion). The results of this study may be used as a basis for the development of statistical models for analysis and prediction of long-term and climatic changes in the state of the ice cover in the Greenland Sea.</t>
  </si>
  <si>
    <t>[Timokhov, L. A.; Vyazigina, N. A.; Mironov, E. U.; Popov, A. V.] Arctic &amp; Antarctic Res Inst, St Petersburg, Russia</t>
  </si>
  <si>
    <t>Arctic &amp; Antarctic Research Institute</t>
  </si>
  <si>
    <t>Timokhov, LA (corresponding author), Arctic &amp; Antarctic Res Inst, St Petersburg, Russia.</t>
  </si>
  <si>
    <t>ltim@aari.nw.ru</t>
  </si>
  <si>
    <t>Lis, Natalia/HZL-1570-2023; Mironov, Yevgeny Uarovich/ADV-4713-2022</t>
  </si>
  <si>
    <t>Lis, Natalia/0000-0003-0762-5188; Mironov, Yevgeny Uarovich/0000-0001-8390-8011</t>
  </si>
  <si>
    <t>Ministry of Education and Science of the Russian Federation [RFME-FI61617X0076]</t>
  </si>
  <si>
    <t>Ministry of Education and Science of the Russian Federation(Ministry of Education and Science, Russian Federation)</t>
  </si>
  <si>
    <t>This work was funded by the Ministry of Education and Science of the Russian Federation (the unique identifier of the project - RFME-FI61617X0076).</t>
  </si>
  <si>
    <t>INST GEOGRAPHY, RUSSIAN ACAD SCIENCES</t>
  </si>
  <si>
    <t>PROFSOYUZNAYA UL 90, MOSCOW, 117864, RUSSIA</t>
  </si>
  <si>
    <t>2076-6734</t>
  </si>
  <si>
    <t>2412-3765</t>
  </si>
  <si>
    <t>LED SNEG</t>
  </si>
  <si>
    <t>Led Sneg</t>
  </si>
  <si>
    <t>10.15356/2076-6734-2018-1-127-134</t>
  </si>
  <si>
    <t>GE0DV</t>
  </si>
  <si>
    <t>WOS:000430885200010</t>
  </si>
  <si>
    <t>Veres, AN; Ekaykin, AA; Vladimirova, DO; Kozachek, AV; Lipenkov, VY; Skakun, AA</t>
  </si>
  <si>
    <t>Veres, A. N.; Ekaykin, A. A.; Vladimirova, D. O.; Kozachek, A. V.; Lipenkov, V. Ya.; Skakun, A. A.</t>
  </si>
  <si>
    <t>Climatic variability in the era of MIS-11 (370-440 ka BP) according to isotope composition (δD, δ18O, δ17O) of ice from the Vostok station cores</t>
  </si>
  <si>
    <t>Antarctica; ice cores; Marine Isotope Stage 11; paleoclimate; stable water isotopes</t>
  </si>
  <si>
    <t>DEUTERIUM-EXCESS CORRECTION; EAST ANTARCTICA; PRECIPITATION; MARINE; TEMPERATURE</t>
  </si>
  <si>
    <t>The results of detailed isotopic studies of ice core samples from the Vostok station (East Antarctica) related to the MIS-11 era (the 11th sea isotope stage, i.e. 370-440 thousand years ago) are presented. Reconstruction of paleoclimatic conditions in this period of time was performed using the method of interpretation of the results of isotopic studies of ice, developed by the authors of the article, which is based on the joint analysis of three independent parameters: delta D, d-excess, O-17-excess. The isotopic composition (delta D) and the deuterium excess depend on the following three meteorological parameters - the condensation temperature near the Vostok station, relative humidity, and the sea surface temperature at the source of moisture, whereas O-17-excess depends only on the first two parameters. Accordingly, the proposed method of interpretation allows reconstructing the paleoclimatic conditions (the condensation temperature and surface air temperature at the Vostok station; sea surface temperature and relative humidity above the ocean) in two different regions in past epochs. For the first time, data on minor fluctuations in the relative humidity of the air in the moisture source throughout the MIS-11 era were obtained. The data resulted from the interpretation demonstrated that the relative humidity fluctuated within the measurement error of +/- 5%. Reconstructed climatic conditions in the era of MIS-11 were compared with published data for stations Vostok and Concordia, as well as with the marine core data from 94-607 DSDP and ODP 177-1090. The results obtained on the basis of isotopic analysis of ice cores from stations Vostok and Concordia indicated that in the optimum MIS-11 the air temperature was 4 degrees C higher, and in the Termination V - 8 degrees C lower than the present-day values. The similarity of data between the marine columns DSDP 94-607 (North Atlantic), ODP 177-1090 (South Ocean) and our results points to the global nature of changes in the sea surface temperature during the MIS-11 era. The coordination of the above results proves the high quality of the methods developed by the authors for measuring and interpreting the isotope composition of ice.</t>
  </si>
  <si>
    <t>[Veres, A. N.; Ekaykin, A. A.; Vladimirova, D. O.; Kozachek, A. V.; Lipenkov, V. Ya.; Skakun, A. A.] Arctic &amp; Antarctic Res Inst, St Petersburg, Russia; [Veres, A. N.; Ekaykin, A. A.; Vladimirova, D. O.] St Petersburg State Univ, Inst Earth Sci, St Petersburg, Russia; [Vladimirova, D. O.] Univ Copenhagen, Niels Bohr Inst, Ctr Ice &amp; Climate, Copenhagen, Denmark; [Skakun, A. A.] Russian Acad Sci Pulkovo, Cent Astron Observ, St Petersburg, Russia</t>
  </si>
  <si>
    <t>Arctic &amp; Antarctic Research Institute; Saint Petersburg State University; University of Copenhagen; Niels Bohr Institute; Russian Academy of Sciences; St. Petersburg Scientific Centre of the Russian Academy of Sciences; Pulkovo Observatory</t>
  </si>
  <si>
    <t>Veres, AN (corresponding author), Arctic &amp; Antarctic Res Inst, St Petersburg, Russia.;Veres, AN (corresponding author), St Petersburg State Univ, Inst Earth Sci, St Petersburg, Russia.</t>
  </si>
  <si>
    <t>veres@aari.ru</t>
  </si>
  <si>
    <t>Veres, Arina/HJY-8317-2023; Kozachek, Anna V./Q-4543-2016; Kozachek, Anna V./JCE-4791-2023; Skakun, Aleksandra/AAS-7787-2020</t>
  </si>
  <si>
    <t>Kozachek, Anna V./0000-0002-9704-8064;</t>
  </si>
  <si>
    <t>Russian Science Foundation [14-27-00030]; Russian Science Foundation [14-27-00030] Funding Source: Russian Science Foundation</t>
  </si>
  <si>
    <t>This investigation was made under finance support of the Russian Science Foundation, grant No 14-27-00030 Evolution of climate, glaciation and subglacial environments of Antarctica from the deep ice core and Lake Vostok water sample studies.</t>
  </si>
  <si>
    <t>10.15356/2076-6734-2018-2-149-158</t>
  </si>
  <si>
    <t>GG9MJ</t>
  </si>
  <si>
    <t>WOS:000433024900001</t>
  </si>
  <si>
    <t>Bogorodskii, PV; Grubiy, AS; Kustov, VY; Makshtas, AP; Sokolova, LA</t>
  </si>
  <si>
    <t>Bogorodskii, P. V.; Grubiy, A. S.; Kustov, V. Y.; Makshtas, A. P.; Sokolova, L. A.</t>
  </si>
  <si>
    <t>Crowth of the fast ice and its influence on the freezing of bottom sediments in the Buor-Khaya Bay coastal zone, Laptev Sea</t>
  </si>
  <si>
    <t>bottom sediments; energy and mass transport; ice forming; shallow water zone; sub-ice water layer</t>
  </si>
  <si>
    <t>PERMAFROST</t>
  </si>
  <si>
    <t>Results of the ice and hydrological measurements carried out in the winter of 2014/15 in the Tiksi Gulf (Buor-Khaya Bay) are described. These data served a basis for development of a conceptual thermodynamic model of seasonal freezing of the sea water layers and underlying bottom sediments in the sea-shore zone. The model uses two methods of localization of the phase transition zones: a classical (frontal) one is used for water, while another one within the range of temperatures - for the bottom. For real atmospheric conditions, we investigated specific features of the water freezing through in the shallow coastal zone of the Laptev Sea. The quantitative characteristics of the process were obtained. The calculations demonstrated that the distinguishing feature of the process is a stabilization of the ice thickness, taking place due to essential increasing of a salinity of the sea water. As a result of this, a shallow water body does not frozen through down to the bottom at even the very low air temperatures. Cooled salt waters does not allow liquid to be frozen in pores of the bottom ground. Salinization of the under-ice water layer can cause the melting of fast ice in the shallow water with its simultaneous increase away from the coast. Ice formation in water layers and bottom sediments begins at the same time, although it proceeds differently at different depths. Due to salinization of the bottom ground a continuous frozen zone is not formed, and the whole layer of freezing precipitation is a two-phase (partially frozen) area. As a whole, the model estimates of the process parameters including the motions of the phase fronts agree with known data of direct measurements. Despite such conformity, the model data should be considered as only evaluative ones. If a bottom is flat, the horizontal mixing and advection, which are not reproduced by a one-dimensional model in principle, the actual salinity parameters will most likely not reach the calculated values. However, for small values of the tides in the Buor-Khaya Bay and insignificant reverse flows of salt, effect of the last ones does not apparently exert significant influence on the intensity of cooling of the under-ice water layer as well as on the ice formation in upper layers of the bottom within such time scales as a season.</t>
  </si>
  <si>
    <t>[Bogorodskii, P. V.; Grubiy, A. S.; Kustov, V. Y.; Makshtas, A. P.] Arctic &amp; Antarctic Res Inst, St Petersburg, Russia; [Sokolova, L. A.] Lomonosov Moscow State Univ, Moscow, Russia</t>
  </si>
  <si>
    <t>Arctic &amp; Antarctic Research Institute; Lomonosov Moscow State University</t>
  </si>
  <si>
    <t>Bogorodskii, Petr/J-4213-2014; Kustov, Vasilii Y./K-4576-2016</t>
  </si>
  <si>
    <t>Russian Foundation for Basis Research [17-05-01221]; Ministry of Science and Education of the Russian Federation [RFMEFI61617X0076]; Roshydromet [1.5.3.2]</t>
  </si>
  <si>
    <t>Russian Foundation for Basis Research(Russian Foundation for Basic Research (RFBR)); Ministry of Science and Education of the Russian Federation(Ministry of Education and Science, Russian Federation); Roshydromet</t>
  </si>
  <si>
    <t>This study was supported by Russian Foundation for Basis Research (Project No 17-05-01221 Investigation of atmospheric boundary layer in Arctic region with data of Russian polar observatories measurements), Ministry of Science and Education of the Russian Federation (Project No RFMEFI61617X0076 Changing Arctic Transpolar System) and Roshydromet (Target scientific and technical program 1.5.3.2 Environmental monitoring at the Tiksi Hydrometeorological Observatory in the frame of international project of joint researches).</t>
  </si>
  <si>
    <t>10.15356/2076-6734-2018-2-213-224</t>
  </si>
  <si>
    <t>WOS:000433024900007</t>
  </si>
  <si>
    <t>Lipenkov, VY; Ekaykin, AA</t>
  </si>
  <si>
    <t>Lipenkov, V. Ya.; Ekaykin, A. A.</t>
  </si>
  <si>
    <t>Hunting for Antarctica's oldest ice</t>
  </si>
  <si>
    <t>Antarctica; deep drilling; ice dating; Mid-Pleistocene Transition; oldest ice; paleoclimatic reconstruction</t>
  </si>
  <si>
    <t>CRYSTAL-GROWTH</t>
  </si>
  <si>
    <t>One of the key priority tasks for the international Antarctic community is drilling and studying old Antarctic ice with age exceeding 1 million years in order to investigate possible reasons for the Mid-Pleistocene Transition. During the 2017-2018 austral season at Vostok Station, we carried out microscopic study of geometrical properties of the crystalline inclusions of air hydrates in ice core samples from boreholes 5G-3 (Vostok) and DC2 (EPICA DC) in depth intervals where the age of the ice exceeded 400,000 years. The obtained data confirmed the existence of a robust linear relationship between the mean radius of the hydrates and the age of the ice in the bottom part of the East Antarctic ice sheet, and will be useful for further development of the new dating technique based on the phenomena of hydrate growth in polar ice. Preliminary, the age of the atmospheric ice bedded at Vostok at a depth of 3538 m, inferred from the data on the size of the hydrates, amounts to 1.3 +/- 0.17 million years. The existence of ice older than 1 million years in the vicinity of Vostok implies that in the area of Ridge B, where the ice flow line which passes through Vostok Station originates, even older ice, with undisturbed stratigraphy, may exist. It would be desirable therefore to carry out a glacio-geophysical traverse to Ridge B in order to implement a detailed study of Dome B area aimed at identifying the most suitable site for a new deep drilling of the Antarctic ice sheet.</t>
  </si>
  <si>
    <t>[Lipenkov, V. Ya.; Ekaykin, A. A.] Arctic &amp; Antarctic Res Inst, St Petersburg, Russia; [Ekaykin, A. A.] St Petersburg State Univ, Inst Earth Sci, St Petersburg, Russia</t>
  </si>
  <si>
    <t>Lipenkov, VY (corresponding author), Arctic &amp; Antarctic Res Inst, St Petersburg, Russia.</t>
  </si>
  <si>
    <t>lipenkov@aari.ru</t>
  </si>
  <si>
    <t>Ekaykin, Alexey A./K-9894-2015</t>
  </si>
  <si>
    <t>Russian Science Foundation [18-17-00110]; Russian Science Foundation [18-17-00110] Funding Source: Russian Science Foundation</t>
  </si>
  <si>
    <t>The research is financially supported by the Russian Science Foundation, grant 18-17-00110.</t>
  </si>
  <si>
    <t>10.15356/2076-6734-2018-2-255-260</t>
  </si>
  <si>
    <t>WOS:000433024900011</t>
  </si>
  <si>
    <t>Bantsev, DV; Ganyushkin, DA; Chistyakov, KV; Ekaykin, AA; Tokarev, IV; Volkov, IV</t>
  </si>
  <si>
    <t>Bantsev, D., V; Ganyushkin, D. A.; Chistyakov, K., V; Ekaykin, A. A.; Tokarev, I., V; Volkov, I. V.</t>
  </si>
  <si>
    <t>Formation of glacier runoff on the northern slope of Tavan Bogd mountain massif based on stable isotopes data</t>
  </si>
  <si>
    <t>glaciers; glacier-derived runoff; isotopic content; melting; South-Eastern Altai</t>
  </si>
  <si>
    <t>This investigation is based on measurements of stable isotopes concentrations (delta D and delta O-18) in water, snow and ice samples. Glaciers are composed of ice, snow, and firn of atmospheric origin. The isotopic composition of these components is different, so when melting they form the melted glacial water with different isotope characteristics. Summer precipitation contains the heaviest isotopes, but only a small part of them remains on the glacier. The average isotopic composition of glacier ice represents the average composition of precipitation that accumulates on it. However, snow and firn of different seasons can occur on the glacier surface, the isotopic composition of which differs from the isotopic composition of glacier ice. At different times of the ablation season different parts of the glacier melt, therefore the isotopic composition of melt waters will be different. Differences in the isotopic composition of the major runoff- forming components on the Northern slopes of the massif Tabyn- Bogdo- Ola had been identified. A part of melting ice in the formation of the runoff on this massif is determined by estimation of the isotopic composition of snow, ice, and firn on different glaciers of this region. The average delta O-18 of snow on the glacier surface is -11.9 parts per thousand, and this snow can be attributed to the precipitation fallen in late spring or early summer. Measured average isotopic composition of precipitation (delta O-18 = -11.9 parts per thousand) was compared with the online calculator of the isotope content in precipitation (OIPC). The isotopic composition of glacial melt waters on the Northern macro- slope in the middle of July 2015 (delta O-18 = -15.3 parts per thousand) differs from the isotopic composition of the territory of the Mongolian part of the massif (delta O-18 = -17.4 parts per thousand) obtained from results of the analysis of eight samples taken at different edges of the glaciers at the beginning of August 2013. Isotopic separation shows important role of summer snow in feeding the glacial rivers of the massif even in the middle of the ablation season, especially for glaciers in the central part of the massif. The role of seasonal snow in feeding the glacier streams depends on the morphological type of glacier. It is maximum for corrie glaciers and minimum for the valley ones.</t>
  </si>
  <si>
    <t>[Bantsev, D., V; Ganyushkin, D. A.; Chistyakov, K., V; Ekaykin, A. A.; Tokarev, I., V; Volkov, I. V.] St Petersburg State Univ, St Petersburg, Russia; [Ekaykin, A. A.] Arctic &amp; Antarctic Res Inst, St Petersburg, Russia</t>
  </si>
  <si>
    <t>Saint Petersburg State University; Arctic &amp; Antarctic Research Institute</t>
  </si>
  <si>
    <t>Bantsev, DV (corresponding author), St Petersburg State Univ, St Petersburg, Russia.</t>
  </si>
  <si>
    <t>bancev-d@yandex.ru</t>
  </si>
  <si>
    <t>Chistyakov, Kirill V/M-8489-2013; Ganyushkin, Dmitry/M-8516-2013; Tokarev, Igor Vladimirovich/ADR-9438-2022; Tokarev, Igor V/B-1474-2013; Volkov, Illya IV/K-5221-2013; Bantcev, Dmitrii/AAK-2319-2020</t>
  </si>
  <si>
    <t>Ganyushkin, Dmitry/0000-0001-6109-8652; Tokarev, Igor Vladimirovich/0000-0003-1095-0731; Volkov, Ilia/0000-0001-9374-2676</t>
  </si>
  <si>
    <t>Russian Geographical Society [08/2016-I]; RFBR [13-05-41075 RGO_a, 15-05-06611 A, 13-05-00851a, 14-05-00796]; RGO [13-05-41075 RGO_a]; St. Petersburg State University [18.38.418.2015]</t>
  </si>
  <si>
    <t>Russian Geographical Society; RFBR(Russian Foundation for Basic Research (RFBR)); RGO; St. Petersburg State University</t>
  </si>
  <si>
    <t>The study was carried out with the financial support of the Russian Geographical Society within the framework of the scientific project No 08/2016-I, RFBR and the RGO, project No 13-05-41075 RGO_a, RFBR, projects No 15-05-06611 A, No 13-05-00851a, No 14-05-00796, as well as St. Petersburg State University, project No 18.38.418.2015.</t>
  </si>
  <si>
    <t>10.15356/2076-6734-2018-3-333-342</t>
  </si>
  <si>
    <t>GV0GX</t>
  </si>
  <si>
    <t>WOS:000445738100004</t>
  </si>
  <si>
    <t>Balakin, RA; Vilkov, GI</t>
  </si>
  <si>
    <t>Balakin, R. A.; Vilkov, G., I</t>
  </si>
  <si>
    <t>Investigation of acoustic properties of snow-covered sea ice</t>
  </si>
  <si>
    <t>coefficients of sound reflectivity and absorption; doppler broadening of frequency spectrum; ice hydro acoustic observations; sea ice</t>
  </si>
  <si>
    <t>The paper presents results of field observations of hydroacoustic characteristics of snow-covered ice cover in shallow seas of the Arctic shelf. The purpose of the research was to determine the quantitative characteristics of the reflection and absorption coefficients of sound from the bottom of the drifting ice cover, as well as the Doppler broadening of the frequency spectrum of acoustic signals depending on the thickness of the ice, the structure of the reflecting surface, the thickness of the snow cover, and the ice drift speed. The objective of the research was to obtain the data necessary for choosing optimal parameters of specialized hydroacoustic equipment designed to monitor ice conditions in the areas of operation of offshore oil and gas platforms. Researches were conducted in areas of active construction of engineering marine constructions and carrying out the transport operations. The research methodology was based on the use of an autonomous measuring complex, which for a long period was installed on the bottom of the sea at depths of 50 to 130 m. The recording system consisted of the following components: upward looking pulse sonar of the IPS-5 type produced by the Canadian company ASL; the Doppler meter of the ice drift speed ADCP (the RDI firm); and a RSM-7 electromechanical current meter. All devices operated in continuous mode with a measurement cycle of 1s, the results were recorded in memory and processed after lifting the devices to the surface. The time delays of signals reflected from the ice cover, as well as the amplitudes and variations of the sound attenuation depending on the reflectance and absorption coefficients were recorded in the memory of the up-looking sonar. Variations of time delays were used to calculate a settlement of ice formations and to determine the shape of the reflective surface, including the angles of inclination of ice keels. Doppler shift of frequency of reflected acoustic signals and broadening of the frequency spectrum were calculated using values of the ice drift speed and changes of immersion depths of hummocks. Acoustic characteristics were measured repeatedly during several seasons of each year from 2010 to 2017. This investigation made possible to obtain statistical estimates of the distributions of the reflection coefficient of the sound and the quantitative values of broadening of the frequency spectrum of acoustic signals depending on the angle of incidence of the acoustic rays, the nature of the irregularities and the structure of the reflective surfaces of ice and snow cover thickness and the drift speed. The results obtained by this research allowed reasonable choosing and calculating the basic characteristics of the hydroacoustic equipment intended for runtime diagnostics of ice cover in zones of marine engineering structures.</t>
  </si>
  <si>
    <t>[Balakin, R. A.] Arctic &amp; Antarctic Res Inst, St Petersburg, Russia; [Vilkov, G., I] Res &amp; Prod Enterprise Radar Mms, St Petersburg, Russia</t>
  </si>
  <si>
    <t>Balakin, RA (corresponding author), Arctic &amp; Antarctic Res Inst, St Petersburg, Russia.</t>
  </si>
  <si>
    <t>rigms@aari.ru</t>
  </si>
  <si>
    <t>Ministry of Education and Science of the Russian Federation [14.607.21.0009, RFMEFI60714X0009]</t>
  </si>
  <si>
    <t>The research carried out in the present work was carried out with the financial support of the Ministry of Education and Science of the Russian Federation within the framework of applied scientific research on the federal special program Research and Development in Priority Areas for the Development of the Scientific and Technological Complex of Russia for 2014-2020. Agreement on Grant No 14.607.21.0009 dated 05/06/2014 (unique identifier of the project RFMEFI60714X0009).</t>
  </si>
  <si>
    <t>10.15356/2076-6734-2018-3-387-395</t>
  </si>
  <si>
    <t>WOS:000445738100009</t>
  </si>
  <si>
    <t>Bychkova, IA; Smirnov, VG</t>
  </si>
  <si>
    <t>Bychkova, I. A.; Smirnov, V. G.</t>
  </si>
  <si>
    <t>Use of satellite data for detecting icebergs and evaluating the iceberg threats</t>
  </si>
  <si>
    <t>Arctic seas; high spacel resolution images; icebergs; optical spectral range; radar with synthetic aperture; satellite monitoring</t>
  </si>
  <si>
    <t>The methods of satellite monitoring of dangerous ice formations, namely icebergs in the Arctic seas, representing a threat to the safety of navigation and economic activity on the Arctic shelf are considered. The main objective of the research is to develop methods for detecting icebergs using satellite radar data and high space resolution images in the visible spectral range. The developed method of iceberg detection is based on statistical criteria for finding gradient zones in the analysis of two-dimensional fields of satellite images. The algorithms of the iceberg detection, the procedure of the false target identification, and determination the horizontal dimensions of the icebergs and their location are described. Examples of iceberg detection using satellite information with high space resolution obtained from Sentinel-1 and Landsat-8 satellites are given. To assess the iceberg threat, we propose to use a model of their drift, one of the input parameters of which is the size of the detected objects. Three possible situations of observation of icebergs are identified, namely, the status state of objects: icebergs on open water; icebergs in drifting ice; and icebergs in the fast ice. At the same time, in each of these situations, the iceberg can be grounded, that prevents its moving. Specific features of the iceberg monitoring at various status states of them are considered. The status state of the iceberg is also taken into account when assessing the degree of danger of the detected object. The use of iceberg detection techniques based on satellite radar data and visible range images is illustrated by results of monitoring the coastal areas of the Severnaya Zemlya archipelago. The approaches proposed to detect icebergs from satellite data allow improving the quality and efficiency of service for a wide number of users with ensuring the efficiency and safety of Arctic navigation and activities on the Arctic shelf.</t>
  </si>
  <si>
    <t>[Bychkova, I. A.] Arctic &amp; Antarctic Res Inst, St Petersburg, Russia; Russian State Hydrometeorol Univ, St Petersburg, Russia</t>
  </si>
  <si>
    <t>Arctic &amp; Antarctic Research Institute; Russian State Hydrometeorological University</t>
  </si>
  <si>
    <t>Bychkova, IA (corresponding author), Arctic &amp; Antarctic Res Inst, St Petersburg, Russia.</t>
  </si>
  <si>
    <t>bychkova@aari.ru</t>
  </si>
  <si>
    <t>Russian Science Foundation [17-77-30019]; Russian Science Foundation [17-77-30019] Funding Source: Russian Science Foundation</t>
  </si>
  <si>
    <t>The work under this project is supported by the Russian Science Foundation through the Project No 17-77-30019 in Russian State Hydrometeorological University.</t>
  </si>
  <si>
    <t>10.15356/2076-6734-2018-4-537-551</t>
  </si>
  <si>
    <t>HD8HT</t>
  </si>
  <si>
    <t>WOS:000452796600009</t>
  </si>
  <si>
    <t>Zawierucha, K; Buda, J; Pietryka, M; Richter, D; Lokas, E; Lehmann-Konera, S; Makowska, N; Bogdziewicz, M</t>
  </si>
  <si>
    <t>Zawierucha, Krzysztof; Buda, Jakub; Pietryka, Miroslawa; Richter, Dorota; Lokas, Edyta; Lehmann-Konera, Sara; Makowska, Nicoletta; Bogdziewicz, Michal</t>
  </si>
  <si>
    <t>Snapshot of micro-animals and associated biotic and abiotic environmental variables on the edge of the south-west Greenland ice sheet</t>
  </si>
  <si>
    <t>LIMNOLOGY</t>
  </si>
  <si>
    <t>Cryoconite; Cryosphere; Glaciers; Grains; Invertebrates</t>
  </si>
  <si>
    <t>CRYOCONITE HOLES; GLACIER; RADIONUCLIDES; COMMUNITIES; SVALBARD; BIOGEOCHEMISTRY; LONGYEARBREEN; KLEBSORMIDIUM; TARDIGRADES; PARAMETERS</t>
  </si>
  <si>
    <t>Microinvertebrates play a role as top consumers on glaciers. In this study we tested what kind of cryoconite material the animals inhabit (mud vs granules) on the edge of the Greenland ice sheet (GrIS) in the south-west. We also tested the links between the densities of micro-fauna in cryoconite material and selected biotic (algae, cyanobacteria, bacterial abundances) and abiotic (water depth, pH, ion content, radionuclides) factors. We collected 33 cryoconite samples. Tardigrada and Rotifera were found in 18 and 61% of samples, respectively. Invertebrates in this study were considerably less frequent and less abundant in comparison with High Arctic glaciers. The highest density of tardigrades and rotifers constituted 53 and 118 ind./ml, respectively. Generalized linear models showed no relationship between the densities of fauna and biotic and abiotic factors. The densities of animals were significantly higher in granules than in mud. The difference in the densities of animals between granules and mud reflects a simple mechanistic removal of invertebrates from the sediment during its erosion by flushing which leads to mud formation. These processes may influence a random distribution of micro-fauna without clear ecological interactions with biotic and abiotic variables at the edge of the GrIS.</t>
  </si>
  <si>
    <t>[Zawierucha, Krzysztof; Buda, Jakub] Adam Mickiewicz Univ, Dept Anim Taxon &amp; Ecol, Umultowska 89, PL-61614 Poznan, Poland; [Zawierucha, Krzysztof] Acad Sci Czech Republ, Inst Anim Physiol &amp; Genet, Lab Fish Genet, Rumburska 89, Libechov 27721, Czech Republic; [Pietryka, Miroslawa; Richter, Dorota] Wroclaw Univ Environm &amp; Life Sci, Dept Bot &amp; Plant Ecol, Pl Grunwaldzki 24a, PL-50363 Wroclaw, Poland; [Lokas, Edyta] Polish Acad Sci, Inst Nucl Phys, Dept Nucl Phys Chem, Radzikowskiego 152, PL-31342 Krakow, Poland; [Lehmann-Konera, Sara] Gdansk Univ Technol, Dept Analyt Chem, Fac Chem, 11-12 Narutowicza St, PL-80233 Gdansk, Poland; [Makowska, Nicoletta] Adam Mickiewicz Univ, Dept Microbiol, Umultowska 89, PL-61614 Poznan, Poland; [Bogdziewicz, Michal] Adam Mickiewicz Univ, Dept Systemat Zool, Umultowska 89, PL-61614 Poznan, Poland</t>
  </si>
  <si>
    <t>Adam Mickiewicz University; Czech Academy of Sciences; Institute of Animal Physiology &amp; Genetics of the Czech Academy of Sciences; Wroclaw University of Environmental &amp; Life Sciences; Polish Academy of Sciences; Institute of Nuclear Physics - Polish Academy of Sciences; Fahrenheit Universities; Gdansk University of Technology; Adam Mickiewicz University; Adam Mickiewicz University</t>
  </si>
  <si>
    <t>Zawierucha, K (corresponding author), Adam Mickiewicz Univ, Dept Anim Taxon &amp; Ecol, Umultowska 89, PL-61614 Poznan, Poland.;Zawierucha, K (corresponding author), Acad Sci Czech Republ, Inst Anim Physiol &amp; Genet, Lab Fish Genet, Rumburska 89, Libechov 27721, Czech Republic.</t>
  </si>
  <si>
    <t>k.p.zawierucha@gmail.com</t>
  </si>
  <si>
    <t>Lokas, Edyta/Agnieszka/S-6252-2018; Zawierucha, Krzysztof/HTP-6506-2023; Buda, Jakub/ABE-5873-2021; Bogdziewicz, Michał/J-2868-2012; Zawierucha, Krzysztof/HDN-5985-2022; Łokas, Edyta/AAM-4119-2021; Richter, Dorota/S-8850-2016</t>
  </si>
  <si>
    <t>Lokas, Edyta/Agnieszka/0000-0001-9996-6523; Bogdziewicz, Michał/0000-0002-6777-9034; Zawierucha, Krzysztof/0000-0002-0754-1411; Łokas, Edyta/0000-0001-9996-6523; Lehmann-Konera, Sara/0000-0002-8318-0224; Buda, Jakub/0000-0002-4584-5897; Richter, Dorota/0000-0003-3024-9766; Makowska-Zawierucha, Nicoletta/0000-0002-7741-4848; Pietryka, Miroslawa/0000-0002-2796-6097</t>
  </si>
  <si>
    <t>National Science Center [NCN 2013/11/N/NZ8/00597, 2015/16/T/NZ8/00018, 2016/21/B/ST10/02327, 2015/17/N/ST10/03177]; Foundation for Polish Science scholarship Start</t>
  </si>
  <si>
    <t>National Science Center(National Science Centre, Poland); Foundation for Polish Science scholarship Start</t>
  </si>
  <si>
    <t>K.Z. would like to thank his guide, William Guzman, for all his patience during sampling, and to Piotr Klimaszyk for lending a probe for the pH measurements. The authors would like to thank Marta Kolowrotkiewicz, Katherine Short (British Antarctic Survey) and the Cambridge Proofreading company for proofreading the manuscript. We are also grateful to two anonymous reviewers for their comments on the manuscript. K.Z. would also like to thank Joseph Cook (University of Sheffield) and the journal editor professor Jamie Kneitel for their comments on the manuscript. The studies were supported by the National Science Center grant no. NCN 2013/11/N/NZ8/00597 to K.Z. M.B. was supported by the National Science Center grant Etiuda no. 2015/16/T/NZ8/00018 and by the Foundation for Polish Science scholarship Start. Radionuclide analyses were supported by the National Science Center grant Opus 11 no. 2016/21/B/ST10/02327 to E.L. Ion analyses were supported by the National Science Center grant Preludium 9 no. 2015/17/N/ST10/03177.</t>
  </si>
  <si>
    <t>SPRINGER JAPAN KK</t>
  </si>
  <si>
    <t>SHIROYAMA TRUST TOWER 5F, 4-3-1 TORANOMON, MINATO-KU, TOKYO, 105-6005, JAPAN</t>
  </si>
  <si>
    <t>1439-8621</t>
  </si>
  <si>
    <t>1439-863X</t>
  </si>
  <si>
    <t>Limnology</t>
  </si>
  <si>
    <t>10.1007/s10201-017-0528-9</t>
  </si>
  <si>
    <t>FR3KK</t>
  </si>
  <si>
    <t>WOS:000418965400013</t>
  </si>
  <si>
    <t>LeMasurier, W; Choi, SH; Kawachi, Y; Mukasa, S; Rogers, N</t>
  </si>
  <si>
    <t>LeMasurier, Wesley; Choi, Sung Hi; Kawachi, Yosuke; Mukasa, Sam; Rogers, Nick</t>
  </si>
  <si>
    <t>Dual origins for pantellerites, and other puzzles, at Mount Takahe volcano, Marie Byrd Land, West Antarctica</t>
  </si>
  <si>
    <t>LITHOS</t>
  </si>
  <si>
    <t>Pantellerite; Residence times; Si-saturation; Fe-enrichment</t>
  </si>
  <si>
    <t>PB-ISOTOPIC COMPOSITIONS; EAST-AFRICAN RIFT; KERGUELEN ARCHIPELAGO; GEOCHEMICAL EVOLUTION; PERALKALINE LIQUIDS; CONTINENTAL RIFT; PACIFIC MARGIN; TRACE-ELEMENT; OPEN-SYSTEM; ICE CORE</t>
  </si>
  <si>
    <t>Mt. Takahe is a large, late Quaternary trachyte shield volcano that rises through 2000 + m of the West Antarctic ice sheet. It is composed mostly of ne-trachyte, hy-ol-trachyte, and qz-trachyte flows, with subordinate basanite, intermediate rocks, and pantellerites. All rock types can be adequately modeled by fractional crystallization of basanite- the only basaltic rock exposed here. The ne-trachytes can be explained by a single stage of low-pressure fractionation near the base of the upper crust. Models of oversaturated rocks require a period of evolution at a depth of similar to 35 km, below the stability field of plagioclase, where fractionation of kaersutite and associated high pressure minerals will yield silica oversaturated residual magmas. This is then followed by a period of fractionation at a depth of similar to 3 km, where peralkalinity and Fe-enrichment are acquired. Pantellerite compositions span virtually the entire spectrum of peralkalinity, Fe-enrichment, LILE-enrichment, and SiO2 values, and seem to represent a range of residence times in upper crustal vs., upper mantle magma chambers. Mt. Takahe is unusual among Marie Byrd Land volcanoes for its geochemical anomalies. These include the lowest Nd-143/Nd-144 ratios in West Antarctica, and unusually high but unpredictable Ba values. These anomalies are believed to originate in a pre-85 Ma subduction melange at the base of the lithosphere, which seems to be the source df Mt. Takahe basaltic rocks. (C) 2017 Elsevier B.V. All rights reserved.</t>
  </si>
  <si>
    <t>[LeMasurier, Wesley] Univ Colorado, Inst Arctic &amp; Alpine Res, Boulder, CO 80309 USA; [Choi, Sung Hi] Chungnam Natl Univ, Dept Geol &amp; Earth Environm Sci, 99 Daehangno, Daejeon 34134, South Korea; [Kawachi, Yosuke] Univ Otago, Dept Geol, Dunedin, New Zealand; [Mukasa, Sam] Univ Michigan, Dept Geol Sci, 1006 CC Little Bldg, Ann Arbor, MI 48109 USA; [Rogers, Nick] Open Univ, Dept Earth Sci, Milton Keynes, Bucks, England</t>
  </si>
  <si>
    <t>University of Colorado System; University of Colorado Boulder; Chungnam National University; University of Otago; University of Michigan System; University of Michigan; Open University - UK</t>
  </si>
  <si>
    <t>LeMasurier, W (corresponding author), Univ Colorado, Inst Arctic &amp; Alpine Res, Boulder, CO 80309 USA.</t>
  </si>
  <si>
    <t>wesley.lemasurier@colorado.edu</t>
  </si>
  <si>
    <t>Choi, Sung Hi/0000-0001-8942-0359</t>
  </si>
  <si>
    <t>NSF [DPP 80-20836, 0536526]; Institute of Arctic and Alpine Research (INSTAAR); Directorate For Geosciences; Division Of Polar Programs [0536526] Funding Source: National Science Foundation</t>
  </si>
  <si>
    <t>NSF(National Science Foundation (NSF)); Institute of Arctic and Alpine Research (INSTAAR); Directorate For Geosciences; Division Of Polar Programs(National Science Foundation (NSF)NSF - Directorate for Geosciences (GEO))</t>
  </si>
  <si>
    <t>Field and laboratory work on the geochemistry and petrology of Mt. Takahe volcano has been supported by NSF grants DPP 80-20836 and #0536526 (to WEL), administered by the Office of Polar Programs. WEL thanks the Institute of Arctic and Alpine Research (INSTAAR) for funds to cover publication costs. We are grateful to Gary Ernst for a critical and helpful review of an early draft of the manuscript WEL gratefully acknowledges a lot of help from Stan Hart, over many years, which has always led to an improved understanding and interpretation of trace element and isotope data. Stimulating and constructive reviews by Phil Leat and John White greatly improved the paper and are gratefully acknowledged. WEL thanks Nick Banks, Nelia Dunbar, Pam Ellerman, Mark Losleben and Bill McIntosh for congenial partnership in the field.</t>
  </si>
  <si>
    <t>0024-4937</t>
  </si>
  <si>
    <t>1872-6143</t>
  </si>
  <si>
    <t>Lithos</t>
  </si>
  <si>
    <t>10.1016/j.lithos.2017.10.014</t>
  </si>
  <si>
    <t>Geochemistry &amp; Geophysics; Mineralogy</t>
  </si>
  <si>
    <t>FU5KC</t>
  </si>
  <si>
    <t>WOS:000423890600011</t>
  </si>
  <si>
    <t>González, PM; Fernández, MJ; Olivares, MM</t>
  </si>
  <si>
    <t>Mantilla Gonzalez, Pablo; Jara Fernandez, Mauricio; Molina Olivares, Mario</t>
  </si>
  <si>
    <t>Reinaldo Lomboy Veloso: Literate and Journalist of the Austral and Antarctic Territories</t>
  </si>
  <si>
    <t>LOGOS-REVISTA DE LINGUISTICA FILOSOFIA Y LITERATURA</t>
  </si>
  <si>
    <t>Reinaldo Lomboy; Austral and Antarctic journalism; Chilean Antarctic territory</t>
  </si>
  <si>
    <t>This paper is a revealing overview about the life and work of Reinaldo Lomboy Veloso and his contribution, from his work as a journalist, to the building of the image in Chile of the city of Punta Arenas and the Chilean Antarctic territory in the 20th Century. To achieve this aim, texts about these topics published by this author in Zig-Zag magazine and newspaper La Prensa Austral between 1947 and 1967 were compiled and used. It was concluded that Lomboy was one of the Chilean journalists who contributed significantly to the origin and impact on the importance of laying the foundation on the national belonging over the austral and Antarctic lands.</t>
  </si>
  <si>
    <t>[Mantilla Gonzalez, Pablo; Molina Olivares, Mario] Univ Santo Tomas, Vina Del Mar, Colombia; [Jara Fernandez, Mauricio] Univ Playa Ancha, Valparaiso, Chile</t>
  </si>
  <si>
    <t>Universidad Santo Tomas USTA; Universidad de Playa Ancha</t>
  </si>
  <si>
    <t>González, PM (corresponding author), Univ Santo Tomas, Direcc Formac &amp; Identidad, Av Uno Norte 3041, Vina Del Mar, Chile.</t>
  </si>
  <si>
    <t>pmancillag@santotomas.cl; mjara@upla.cl; mariomolina@santotomas.cl</t>
  </si>
  <si>
    <t>Gonzalez, Pablo Mancilla/C-1931-2016</t>
  </si>
  <si>
    <t>UNIV SERENA, FAC HUMANIDADES</t>
  </si>
  <si>
    <t>COQUIMBO</t>
  </si>
  <si>
    <t>CASILLA 599 LA SERENA, COQUIMBO, 00000, CHILE</t>
  </si>
  <si>
    <t>0716-7520</t>
  </si>
  <si>
    <t>0719-3262</t>
  </si>
  <si>
    <t>LOGOS-REV LINGUIST F</t>
  </si>
  <si>
    <t>Logos-Rev. Linguist. Filos. Lit.</t>
  </si>
  <si>
    <t>10.15443/RL2834</t>
  </si>
  <si>
    <t>Humanities, Multidisciplinary</t>
  </si>
  <si>
    <t>Arts &amp; Humanities - Other Topics</t>
  </si>
  <si>
    <t>HC0IW</t>
  </si>
  <si>
    <t>WOS:000451482800018</t>
  </si>
  <si>
    <t>Kirk, C; Rozzi, R; Gelcich, S</t>
  </si>
  <si>
    <t>Kirk, Christian; Rozzi, Ricardo; Gelcich, Stefan</t>
  </si>
  <si>
    <t>TOURISM AS A TOOL FOR THE CONSERVATION OF THE SOUTHERN ELEPHANT SEAL (MIROUNGA LEONINA) AND ITS HABITATS IN TIERRA DEL FUEGO, CAPE HORN BIOSPHERE RESERVE, CHILE</t>
  </si>
  <si>
    <t>biodiversity; marine mammals; protected areas; sustainable tourism; willingness to pay</t>
  </si>
  <si>
    <t>AMERICA; ECOLOGY; IMPLEMENTATION; FLAGSHIPS; UMBRELLAS</t>
  </si>
  <si>
    <t>The southern elephant seal (Mirounga leonina Linnaeus 1758) is a rare species on the Chilean coast outside the Chilean Antarctic territory. In Tierra del Fuego, stable and reproductive colonies of this species have been identified, and it has been described as the first marine mammal to be used in the tourism industry in the Magellanic and Antarctic Region of Chile In order to establish the importance that the conservation of this species and its habitats has for tourists, 355 surveys were carried out on cruise ship passengers that visiting the Almirantazgo sound and other areas of the Darwin Cordillera in the Cape Horn Biosphere Reserve. Surveys assessed the profile of tourists who visit this reserve with the company Cruceros Australis, considering their knowledge about nature conservation and their willingness to collaborate in a program for the conservation of the elephant seal, that habitats and biodiversity of the Chilean Patagonia. More than 76% of the respondents showed a willingness to contribute to a conservation program of this species and the biodiversity of Patagonia. Among the respondents, 53% were willing to contribute US $100 or 200. Considering a number of 14 thousand tourists who embarked on Crucerso Australis in 2012, the total contribution per year could be greater than US $1,000,000. This result that identifies a high potential contribution by tourists is consistent with the records for other regions of the world, where a well-preserved protected area (such as the Cape Horn Biosphere Reserve) has the potential to generate greater contributions with lower number of tourists than a protected area with massive numbers of tourists and conservation problems, as it has been the case of the Torres del Paine Biosphere Reserve during the last two decades.</t>
  </si>
  <si>
    <t>[Kirk, Christian] Fdn Cordillera Darwin, Santiago, Chile; [Rozzi, Ricardo] Univ Magallanes, Programa Conservac Biocultural SubAntartica, Punta Arenas, Chile; [Rozzi, Ricardo] Inst Ecol &amp; Biodiversidad Chile, Santiago, Chile; [Rozzi, Ricardo] Univ North Texas, Dept Philosophy &amp; Relig, Denton, TX USA; [Gelcich, Stefan] Pontificia Univ Catolica Chile, Ctr Ecol Aplicada &amp; Sustentabilidad CAPES, Fondo Basal 0002, Santiago, Chile</t>
  </si>
  <si>
    <t>Universidad de Magallanes; University of North Texas System; University of North Texas Denton; Pontificia Universidad Catolica de Chile</t>
  </si>
  <si>
    <t>Kirk, C (corresponding author), Fdn Cordillera Darwin, Santiago, Chile.</t>
  </si>
  <si>
    <t>christian@cordilleradarwin.org; ricardo.rozzi@unt.edu; sgelcich@bio.puc.cl</t>
  </si>
  <si>
    <t>Rozzi, Ricardo/G-1047-2012</t>
  </si>
  <si>
    <t>Rozzi, Ricardo/0000-0001-5265-8726</t>
  </si>
  <si>
    <t>10.4067/S0718-22442018000100065</t>
  </si>
  <si>
    <t>GS9ID</t>
  </si>
  <si>
    <t>WOS:000444030100005</t>
  </si>
  <si>
    <t>Rozzi, R</t>
  </si>
  <si>
    <t>Rozzi, Ricardo</t>
  </si>
  <si>
    <t>CAPE HORN: A BIOGEOGRAPHIC MELTING POT AT THE SOUTHERN END OF THE AMERICAS</t>
  </si>
  <si>
    <t>biogeography; bryophytes; endemism; lichens; subantarctic</t>
  </si>
  <si>
    <t>LONG-DISTANCE DISPERSAL; BIODIVERSITY CONSERVATION; BIOSPHERE RESERVE; PLANTS; CHILE; DISJUNCTION; NAVARINO; ECOLOGY; FORESTS; MOSSES</t>
  </si>
  <si>
    <t>In this work, I propose to distinguish three discoveries of Cape Horn. A first discovery would have occurred about 7500 years ago, when the ancestors of the Yahgan people arrived to the archipelagos located south of Tierra del Fuego. A second discovery took place in 1616, when Dutch explorers spotted Cape Horn and transformed the paradigm of the seventeenth century European cartography that represented Tierra del Fuego attached to the Antarctic Continent. A third discovery occurred in 2005, when UNESCO created the Cabo Cape Horn Biosphere Reserve (RBCH), based on the discovery of an exceptional richness of bryophytes (mosses and liverworts) and lichens. This finding transformed the southern end of the Americas into a world center of biodiversity for these groups of organisms. I present a special attribute of Cape Horn's biodiversity: its multiple biogeographical relationships. For Cape Horn's biodiversity, affinities can be identified with biota from six contrasting biogeographic regions: Antarctic, bipolar (subarctic and sub-Antarctic), circumantarctic, Gondwana, Neotropical and high Andean, also considering the high degree of endemism. The field environmental philosophy methodological approach (presented in the second group of articles of this special issue of Magallania) contributes both to knowledge and conservation of the small flora of bryophytes and lichens, and other biota that have remained less perceived and valued in Cape Horn and other regions of the world.</t>
  </si>
  <si>
    <t>[Rozzi, Ricardo] Inst Ecol &amp; Biodiversidad IEB Chile, Parque Etnobot Omora, Puerto Williams, Provincia Antar, Chile; [Rozzi, Ricardo] Univ Magallanes, Puerto Williams, Provincia Antar, Chile; [Rozzi, Ricardo] Univ North Texas, Subantarctic Biocultural Conservat Program, Dept Philosophy &amp; Relig, Denton, TX 76201 USA; [Rozzi, Ricardo] Univ North Texas, Dept Biol Sci, Denton, TX 76201 USA</t>
  </si>
  <si>
    <t>Rozzi, R (corresponding author), Inst Ecol &amp; Biodiversidad IEB Chile, Parque Etnobot Omora, Puerto Williams, Provincia Antar, Chile.;Rozzi, R (corresponding author), Univ Magallanes, Puerto Williams, Provincia Antar, Chile.;Rozzi, R (corresponding author), Univ North Texas, Subantarctic Biocultural Conservat Program, Dept Philosophy &amp; Relig, Denton, TX 76201 USA.;Rozzi, R (corresponding author), Univ North Texas, Dept Biol Sci, Denton, TX 76201 USA.</t>
  </si>
  <si>
    <t>Ricardo.Rozzi@Unt.edu</t>
  </si>
  <si>
    <t>10.4067/S0718-22442018000100079</t>
  </si>
  <si>
    <t>WOS:000444030100006</t>
  </si>
  <si>
    <t>Méndez, MO; Cavieres, L; Rozzi, R</t>
  </si>
  <si>
    <t>Mendez, Manuela O.; Cavieres, Lohengrin; Rozzi, Ricardo</t>
  </si>
  <si>
    <t>SUB-ANTARCTIC GARDENS: KNOWLEDGE AND APPRECIATION OF HIGH ANDES FLORA</t>
  </si>
  <si>
    <t>Biocultural ethics; conservation; metaphors; interspecific cooperation</t>
  </si>
  <si>
    <t>OMORA-ETHNOBOTANICAL-PARK; HORN BIOSPHERE RESERVE; FIELD ENVIRONMENTAL PHILOSOPHY; CHILEAN PATAGONIAN ANDES; TIERRA-DEL-FUEGO; BIOCULTURAL CONSERVATION; VEGETATION PATTERNS; ECOLOGY; PLANTS; BIODIVERSITY</t>
  </si>
  <si>
    <t>This work proposes a new concept for changing the perception about the high mountain habitats in the sub-Antarctic region of Cape Horn, from a high-Andean desert toward gardens where positive ecological interactions thrive. We generate this change through a practice of field environmental philosophy that involved the composition of metaphors and the design of field activities guided with an ecological and ethical orientation. This new concept aims to refine the observation and understanding about the life habits of mountain's plants, where cooperation enhances the richness of species that con-inhabit in these high-Andean habitats. We demonstrated that cushion life-habit prevails in these environments, among both vascular and non-vascular plants. To foster an ethical valuation and a synthesis of the ecological discoveries about these life habits and the positive interactions they establish with other species, we composed the metaphor: High-Andean sub-Antarctic gardens.</t>
  </si>
  <si>
    <t>[Mendez, Manuela O.] Pontificia Univ Catolica Chile, Fac Educ, Santiago, Chile; [Cavieres, Lohengrin; Rozzi, Ricardo] Inst Ecol &amp; Biodiversidad, Santiago, Chile; [Cavieres, Lohengrin] Univ Concepcion, Fac Ciencias Nat &amp; Oceanog, Concepcion, Chile; [Rozzi, Ricardo] Univ Magallanes, Ctr Univ Puerto Williams, Punta Arenas, Chile; [Rozzi, Ricardo] Univ North Texas, Dept Philosophy, Denton, TX USA</t>
  </si>
  <si>
    <t>Pontificia Universidad Catolica de Chile; Universidad de Concepcion; Universidad de Magallanes; University of North Texas System; University of North Texas Denton</t>
  </si>
  <si>
    <t>Méndez, MO (corresponding author), Pontificia Univ Catolica Chile, Fac Educ, Santiago, Chile.</t>
  </si>
  <si>
    <t>momendez@uc.cl</t>
  </si>
  <si>
    <t>Cavieres, Lohengrin A./A-9542-2010; Rozzi, Ricardo/G-1047-2012</t>
  </si>
  <si>
    <t>Cavieres, Lohengrin A./0000-0001-9122-3020; Rozzi, Ricardo/0000-0001-5265-8726; Mendez-Herranz, Manuela/0000-0001-6549-8098</t>
  </si>
  <si>
    <t>10.4067/S0718-22442018000100125</t>
  </si>
  <si>
    <t>WOS:000444030100008</t>
  </si>
  <si>
    <t>Contador, T; Rozzi, R; Kennedy, J; Massardo, F; Ojeda, J; Caballero, P; Medina, Y; Molina, R; Saldivia, F; Berchez, F; Stambuk, A; Morales, V; Moses, K; Gañan, M; Arriagada, G; Rendoll, J; Olivares, F; Lazzarino, S</t>
  </si>
  <si>
    <t>Contador, Tamara; Rozzi, Ricardo; Kennedy, James; Massardo, Francisca; Ojeda, Jaime; Caballero, Paula; Medina, Yanet; Molina, Rodrigo; Saldivia, Fernando; Berchez, Flavio; Stambuk, Andres; Morales, Veronica; Moses, Kelli; Ganan, Melisa; Arriagada, Gonzalo; Rendoll, Javier; Olivares, Francisco; Lazzarino, Silvia</t>
  </si>
  <si>
    <t>UNDERWATER WITH A HAND-LENS IN THE RIVERS OF CAPE HORN: ETHICAL VALUING OF FRESHWATER ECOSYSTEMS AND THEIR CO-INHABITANTS</t>
  </si>
  <si>
    <t>insects; biocultural ethics; climate change; ecology; Chile</t>
  </si>
  <si>
    <t>OMORA-ETHNOBOTANICAL-PARK; FIELD ENVIRONMENTAL PHILOSOPHY; CLIMATE-CHANGE; BIOCULTURAL CONSERVATION; TEMPERATE FORESTS; BIOSPHERE RESERVE; BIODIVERSITY CONSERVATION; ECOLOGICAL SCIENCES; INVERTEBRATES; EXTINCTION</t>
  </si>
  <si>
    <t>The Cape Horn Biosphere Reserve (CHBR), is the largest one in Chile, and the only one that integrates marine and terrestrial ecosystems. It includes three national parks (NP): Cape Horn NP, Alberto de Agostini NP, and Yendegaia NP. The CHBR ; is immersed within the Magellanic sub-Antarctic ecoregion, which has been identified as one of the last pristine areas left in the world. Nonetheless, it is not free from local and global threats, such as invasive exotic species, climate change, massive tourism and other economic activities that do not value biological and cultural diversity. To contribute towards an appreciation of the values of biocultural diversity, the scientific team at Omora Park (Navarino Island, 55 degrees S), has developed the Field Environmental Philosophy (FEP) methodological approach, which integrates ecological sciences, arts, and environmental ethics through four interrelated steps: 1) interdisciplinary research, 2) poetic communication through the composition of metaphors, 3) design of field activities with an ethical and ecological orientation, and 4) in situ conservation, to contribute to biocultural conservation. We present the methods and results of a multidisciplinary work focused on invertebrates and freshwater ecosystems of the CHBR, with the aim to contribute: a) to a better understanding of the possible responses of aquatic insects to climate change in the long-term, and b) generate tools for research and education to ecologically and ethically value freshwater invertebrates and ecosystems. The conceptual foundations are based on the Land Ethics of Aldo Leopold, and the biocultural ethics of Ricardo Rozzi. Through the praxis of the FEP we generate concrete actions for the conservation of the natural and cultural heritage. Finally, we propose new research methodologies that include valuing of the invertebrates' lives. FEP provides a methodology that contributes towards the transformation of the prevalent way in which global society understands, values and relates to freshwater ecosystems and their co-inhabitants, fostering more respectful and sustainable life habits in the short and long term.</t>
  </si>
  <si>
    <t>[Contador, Tamara; Rozzi, Ricardo; Kennedy, James; Massardo, Francisca; Ojeda, Jaime; Caballero, Paula; Berchez, Flavio; Stambuk, Andres; Morales, Veronica; Moses, Kelli; Rendoll, Javier] Univ Magallanes, Programa Conservac Biocultural Subantartica, Parque Etnobot Omora, Puerto Williams, Chile; [Rozzi, Ricardo; Kennedy, James] Univ North Texas, Dept Philosophy &amp; Relig, Subantarctic Biocultural Conservat Program, Denton, TX 76203 USA; [Contador, Tamara; Rozzi, Ricardo; Kennedy, James] Univ North Texas, Dept Biol Sci, Denton, TX 76203 USA; [Contador, Tamara; Rozzi, Ricardo; Massardo, Francisca; Ojeda, Jaime; Caballero, Paula; Moses, Kelli; Rendoll, Javier] Inst Ecol &amp; Biodiversidad, Nunoa, Chile; [Contador, Tamara; Rozzi, Ricardo; Kennedy, James; Saldivia, Fernando; Ganan, Melisa; Arriagada, Gonzalo; Rendoll, Javier; Olivares, Francisco; Lazzarino, Silvia] Univ Magallanes, Lab Wankara, Puerto Williams, Chile; [Medina, Yanet] SEREMI Agr, Magallanes, Chile; [Molina, Rodrigo] Serv Agr Ganadero, Magallanes, Chile; [Saldivia, Fernando] Liceo Donald McIntyre Griffith, Puerto Williams, Chile; [Contador, Tamara] ICM, Nucleo Milenio Salmonidos Invasores, INVASAL, Santiago, Chile</t>
  </si>
  <si>
    <t>Universidad de Magallanes; University of North Texas System; University of North Texas Denton; University of North Texas System; University of North Texas Denton; Universidad de Magallanes</t>
  </si>
  <si>
    <t>Contador, T (corresponding author), Univ Magallanes, Programa Conservac Biocultural Subantartica, Parque Etnobot Omora, Puerto Williams, Chile.</t>
  </si>
  <si>
    <t>tamara.contador@gmail.com</t>
  </si>
  <si>
    <t>Contador, Tamara/AAC-2161-2021; Berchez, Flavio/AAD-8214-2021; Rozzi, Ricardo/G-1047-2012; Ojeda, Jaime/HHN-1455-2022</t>
  </si>
  <si>
    <t>Contador, Tamara/0000-0002-0250-9877; Rozzi, Ricardo/0000-0001-5265-8726; Ganan Mora, Melisa/0000-0001-6411-9295; ojeda, jaime/0000-0003-3863-9750; Rendoll, Javier/0000-0003-1928-0914</t>
  </si>
  <si>
    <t>10.4067/S0718-22442018000100183</t>
  </si>
  <si>
    <t>WOS:000444030100011</t>
  </si>
  <si>
    <t>Céspedes, E</t>
  </si>
  <si>
    <t>Cespedes, Esteban</t>
  </si>
  <si>
    <t>EMERGENT PROPERTIES, INTRINSIC VALUE AND ECOLOGY: SOME ETHICAL PERSPECTIVES ON THE INHABITANTS OF NAVARINO ISLAND</t>
  </si>
  <si>
    <t>environmental ethics; biocultural ethics; ethical value; Field Environmental Philosophy</t>
  </si>
  <si>
    <t>According to one of the main theses of biocultural ethics, in every ecosystem or culture, habitats, inhabitants and habits are mutually determined. A principle inspired by this thesis is here characterized and called principle of ecological codetermination. Its relevance for environmental ethics is shown by considering how it is associated with ecological studies focused on the sub-Antarctic region of Magallanes. As briefly argued, some aspects related to the mentioned principle must be clarified from an ethical and philosophical perspective. One of the main goals of this work is to suggest that the concepts of an emergent phenomenon and of intrinsic value provide a theoretical basis for the clarification of such aspects.</t>
  </si>
  <si>
    <t>[Cespedes, Esteban] Inst Sistemas Complejos Valparaiso, Valparaiso, Chile</t>
  </si>
  <si>
    <t>Céspedes, E (corresponding author), Inst Sistemas Complejos Valparaiso, Valparaiso, Chile.</t>
  </si>
  <si>
    <t>EstebanCespedes@aol.com</t>
  </si>
  <si>
    <t>10.4067/S0718-22442018000100227</t>
  </si>
  <si>
    <t>WOS:000444030100013</t>
  </si>
  <si>
    <t>Lee, B; Brewin, PE; Brickle, P; Randhawa, H</t>
  </si>
  <si>
    <t>Lee, Brendon; Brewin, Paul E.; Brickle, Paul; Randhawa, Haseeb</t>
  </si>
  <si>
    <t>Use of otolith shape to inform stock structure in Patagonian toothfish (Dissostichus eleginoides) in the south-western Atlantic</t>
  </si>
  <si>
    <t>MARINE AND FRESHWATER RESEARCH</t>
  </si>
  <si>
    <t>elliptical Fourier analysis; Patagonian Shelf; South Georgia; South Sandwich Islands</t>
  </si>
  <si>
    <t>NORTHEAST ATLANTIC; POPULATION-STRUCTURE; GENETIC-STRUCTURE; FOURIER-ANALYSIS; PARASITE FAUNA; LIFE-HISTORY; SMITT; DISCRIMINATION; OCEAN; FISH</t>
  </si>
  <si>
    <t>An analysis of patterns in otolith shape is an effective tool for discriminating among fish stocks. Otolith shapes of Patagonian toothfish (Dissostichus eleginoides) and Antarctic toothfish (D. mawsoni) were investigated for geographic variability within seven regions across the Patagonian Shelf, and South Georgia and the South Sandwich Islands (SGSSI). Otolith shape was characterised by its elliptical Fourier coefficients (EFCs), corrected for fish length before being analysed, using multivariate methods. Non-metric multidimensional scaling analysis suggested the following three main groupings: Patagonian Shelf, SGSSI, and the third for Antarctic toothfish. This result was supported by ANOVA-like permutation tests, indicating significant (P &lt; 0.001) differences in otolith shape among these three groupings. Linear discriminant analysis (LDA) cross-validation analyses of the EFCs resulted in otoliths being correctly classified to the sampling region from which they came, with an accuracy ranging from 78.95 to 100%. LDA cross-validation analyses on sampling regions within SGSSI and the Patagonian Shelf were able to classify individuals back to their sampling region with an accuracy of greater than 89.74 and 78.95% respectively. These results have provided some alternative insights into the stock structure of Patagonian toothfish across southern South America, South Atlantic and SGSSI.</t>
  </si>
  <si>
    <t>[Lee, Brendon; Randhawa, Haseeb] Falkland Isl Govt, Fisheries Dept, POB 598, Stanley FIQQ 1ZZ, Falkland Island; [Lee, Brendon] Rhodes Univ, Dept Ichthyol &amp; Fisheries Sci, POB 94, ZA-6140 Grahamstown, South Africa; [Brewin, Paul E.; Brickle, Paul; Randhawa, Haseeb] South Atlantic Environm Res Inst, POB 609, Stanley FIQQ 1ZZ, Falkland Island; [Brewin, Paul E.] Shallow Marine Surveys Grp, 2 Philomel Pl, Stanley FIQQ 1ZZ, Falkland Island; [Brewin, Paul E.] Univ Aberdeen, Biol Sci Zool, Tillydrone Ave, Aberdeen AB24 2TZ, Scotland; [Randhawa, Haseeb] New Brunswick Museum, 277 Douglas Ave, St John, NB E2K 1E5, Canada</t>
  </si>
  <si>
    <t>Rhodes University; University of Aberdeen</t>
  </si>
  <si>
    <t>Lee, B (corresponding author), Falkland Isl Govt, Fisheries Dept, POB 598, Stanley FIQQ 1ZZ, Falkland Island.;Lee, B (corresponding author), Rhodes Univ, Dept Ichthyol &amp; Fisheries Sci, POB 94, ZA-6140 Grahamstown, South Africa.</t>
  </si>
  <si>
    <t>blee@fisheries.gov.fk</t>
  </si>
  <si>
    <t>Randhawa, Haseeb/AAC-3272-2019</t>
  </si>
  <si>
    <t>Randhawa, Haseeb/0000-0001-6262-970X; Brickle, Paul/0000-0002-9870-3518; , Paul/0000-0002-0261-9646; Lee, Brendon/0000-0003-1682-8905</t>
  </si>
  <si>
    <t>Falkland Islands Fisheries Department and Consolidated Fisheries Ltd.</t>
  </si>
  <si>
    <t>We are grateful to the scientific fisheries observers of the Falkland Islands Fisheries Department for collections at sea. We are grateful to the Government of South Georgia &amp; the South Sandwich Islands and Dr Mark Belchier at British Antarctic Survey for otoliths from South Georgia and the South Sandwich Islands. Chilean samples were sourced through Consolidated Fisheries Ltd of the Falkland Islands and through colleagues at Instituto de Fomento Pesquero (IFOP), Valparaiso, Chile. We thank Elena Boucher (FIFD) for preparation of otolith images, and Alex Blake (FIFD) who provided valuable input into the preparation of maps. This work was financially supported by the Falkland Islands Fisheries Department and Consolidated Fisheries Ltd. We express gratitude to Dr Alexander Arkhipkin for his comments on the manuscript.</t>
  </si>
  <si>
    <t>CSIRO PUBLISHING</t>
  </si>
  <si>
    <t>CLAYTON</t>
  </si>
  <si>
    <t>UNIPARK, BLDG 1, LEVEL 1, 195 WELLINGTON RD, LOCKED BAG 10, CLAYTON, VIC 3168, AUSTRALIA</t>
  </si>
  <si>
    <t>1323-1650</t>
  </si>
  <si>
    <t>1448-6059</t>
  </si>
  <si>
    <t>MAR FRESHWATER RES</t>
  </si>
  <si>
    <t>Mar. Freshw. Res.</t>
  </si>
  <si>
    <t>10.1071/MF17327</t>
  </si>
  <si>
    <t>Fisheries; Limnology; Marine &amp; Freshwater Biology; Oceanography</t>
  </si>
  <si>
    <t>Fisheries; Marine &amp; Freshwater Biology; Oceanography</t>
  </si>
  <si>
    <t>GN8TO</t>
  </si>
  <si>
    <t>WOS:000439446300006</t>
  </si>
  <si>
    <t>Rayment, W; Webster, T; Brough, T; Jowett, T; Dawson, S</t>
  </si>
  <si>
    <t>Rayment, William; Webster, Trudi; Brough, Tom; Jowett, Tim; Dawson, Steve</t>
  </si>
  <si>
    <t>Seen or heard? A comparison of visual and acoustic autonomous monitoring methods for investigating temporal variation in occurrence of southern right whales</t>
  </si>
  <si>
    <t>MARINE BIOLOGY</t>
  </si>
  <si>
    <t>ATLANTIC RIGHT WHALES; LOW-FREQUENCY WHALE; EUBALAENA-GLACIALIS; BEHAVIOR; PACIFIC; SOUNDS; SEA; DOLPHINS; BLUE; VOCALIZATIONS</t>
  </si>
  <si>
    <t>Passive acoustic detectors are widely used for monitoring distribution of cetaceans. Autonomous visual methods are less frequently employed; they are limited to detections during daylight and good weather, but offer potential advantages due to certainty of species' identification and longevity of deployment. To compare performance of acoustic and visual methods, temporal changes in distribution of southern right whales, Eubalaena australis, were monitored in the remote sub-Antarctic Auckland Islands (50 degrees 31' S, 166 degrees 16' E). A time-lapse camera was deployed for 2 years from August 2010, taking an image every 70 min. The presence of whales was scored for each image taken during daylight (n = 8295). A passive acoustic recorder was deployed in August 2011, recording for 3.75 min every hour until battery life expired after 10 months. Each recording (n = 6978) was aurally reviewed. Both methods revealed a similar seasonal distribution; maximum detection rates were in the austral winter and no whales were detected in January or February. However, at the peak of right whale occurrence, the proportion of samples with whales detected was much higher for the acoustic recorder (93.9% in August) than the time-lapse camera (14.8%). A generalised additive model fitted to the visual data revealed significant effects of sea state and visibility. Acoustic detection rates were higher, probably because detection range is greater, and less affected by weather. The solar-powered time-lapse camera system, however, functioned effectively for much longer. We discuss the relative merits of visual and acoustic detectors and attempt to draw conclusions about their efficacy for different focal species and monitoring locations.</t>
  </si>
  <si>
    <t>[Rayment, William; Webster, Trudi; Brough, Tom; Dawson, Steve] Univ Otago, Dept Marine Sci, Dunedin 9016, New Zealand; [Webster, Trudi] Otago Museum, 419 Great King St, Dunedin 9016, New Zealand; [Jowett, Tim] Univ Otago, Dept Math &amp; Stat, Dunedin 9016, New Zealand</t>
  </si>
  <si>
    <t>University of Otago; University of Otago</t>
  </si>
  <si>
    <t>Rayment, W (corresponding author), Univ Otago, Dept Marine Sci, Dunedin 9016, New Zealand.</t>
  </si>
  <si>
    <t>will.rayment@otago.ac.nz</t>
  </si>
  <si>
    <t>Dawson, Steve/IYJ-7325-2023</t>
  </si>
  <si>
    <t>Webster, Trudi/0000-0002-3507-1162</t>
  </si>
  <si>
    <t>Foundation for Research Science and Technology (FRST); New Zealand Whale and Dolphin Trust; Marine Science Department at the University of Otago; FRST post-doctoral fellowship; University of Otago Ph.D. scholarship</t>
  </si>
  <si>
    <t>Foundation for Research Science and Technology (FRST)(New Zealand Foundation for Research, Science and Technology); New Zealand Whale and Dolphin Trust; Marine Science Department at the University of Otago; FRST post-doctoral fellowship(New Zealand Foundation for Research, Science and Technology); University of Otago Ph.D. scholarship</t>
  </si>
  <si>
    <t>We would like to thank the Foundation for Research Science and Technology (FRST), the New Zealand Whale and Dolphin Trust, and the Marine Science Department at the University of Otago for funding this work. Sincere thanks also to the crew of RV Polaris II, Phil Heseltine, Anthony Davidson, Tim Cole for assistance in the field, Marta Guerra for assistance with image analysis, and New Zealand's Department of Conservation for permitting. WR was supported by a FRST post-doctoral fellowship, and TW by a University of Otago Ph.D. scholarship. The manuscript was improved thanks to comments from two anonymous reviewers and the assistance of the editors.</t>
  </si>
  <si>
    <t>0025-3162</t>
  </si>
  <si>
    <t>1432-1793</t>
  </si>
  <si>
    <t>MAR BIOL</t>
  </si>
  <si>
    <t>Mar. Biol.</t>
  </si>
  <si>
    <t>10.1007/s00227-017-3264-0</t>
  </si>
  <si>
    <t>FV1MH</t>
  </si>
  <si>
    <t>WOS:000424325900009</t>
  </si>
  <si>
    <t>Cano-Sánchez, E; López-González, PJ</t>
  </si>
  <si>
    <t>Cano-Sanchez, Esperanza; Lopez-Gonzalez, Pablo J.</t>
  </si>
  <si>
    <t>Ammothea species (Pycnogonida: Ammotheidae) collected during the Polarstern cruise ANT-XXIX/3 to Antarctic waters, with a description of a new species</t>
  </si>
  <si>
    <t>MARINE BIOLOGY RESEARCH</t>
  </si>
  <si>
    <t>Tina Molodtsova; Sea spider; pycnogonids; key to species; Bransfield Strait; Eastern Weddell Sea</t>
  </si>
  <si>
    <t>ROSS SEA; ARTHROPODA; SYNOPSIS</t>
  </si>
  <si>
    <t>Specimens of Pycogonida belonging to the genus Ammothea collected during the Polarstern ANT-XXIX/3 cruise (January 22-March 18, 2013), to Bransfield Strait and Eastern Weddell Sea, were studied. Eight species are recognized in this collection: Ammothea bicorniculata, A. calmani, A. carolinensis, A. clausi, A. minor, A. nadiae n. sp., A. spinosa, and A. striata. Morphological variability is discussed. The bathymetric range of A. bicorniculata and A. minor is enlarged and A. bicorniculata is reported for only the second time. Ammothea nadiae n. sp. is described and compared with its closest congeners. An updated key to species is presented.</t>
  </si>
  <si>
    <t>[Cano-Sanchez, Esperanza; Lopez-Gonzalez, Pablo J.] Univ Seville, Fac Biol, Dept Zool, Biodiversidad &amp; Ecol Invertebrados Marinos, Seville, Spain</t>
  </si>
  <si>
    <t>University of Sevilla</t>
  </si>
  <si>
    <t>Cano-Sánchez, E (corresponding author), Univ Seville, Biodiversidad &amp; Ecol Invertebrados Marinos, Dept Fisiol &amp; Zool, Fac Biol, Avda Reina Mercedes 6, E-41012 Seville, Spain.</t>
  </si>
  <si>
    <t>ecano@us.es</t>
  </si>
  <si>
    <t>Lopez-González, Pablo J./Y-6440-2018</t>
  </si>
  <si>
    <t>Lopez-González, Pablo J./0000-0002-7348-6270; Cano Sanchez, Esperanza/0000-0002-8097-1872</t>
  </si>
  <si>
    <t>Ministerio de Economia y Competitividad (Plan Nacional de I+D+i 2008-2011), Spain [CTM2012-39350-C02-01]</t>
  </si>
  <si>
    <t>Ministerio de Economia y Competitividad (Plan Nacional de I+D+i 2008-2011), Spain</t>
  </si>
  <si>
    <t>The participation of one of the authors (PJL-G) during the Polarstern ANT-XXIX/3 cruises and the collection of the present studied material was funded by the project ECOWED (CTM2012-39350-C02-01) of the Ministerio de Economia y Competitividad (Plan Nacional de I+D+i 2008-2011), Spain.</t>
  </si>
  <si>
    <t>TAYLOR &amp; FRANCIS AS</t>
  </si>
  <si>
    <t>OSLO</t>
  </si>
  <si>
    <t>KARL JOHANS GATE 5, NO-0154 OSLO, NORWAY</t>
  </si>
  <si>
    <t>1745-1000</t>
  </si>
  <si>
    <t>1745-1019</t>
  </si>
  <si>
    <t>MAR BIOL RES</t>
  </si>
  <si>
    <t>Mar. Biol. Res.</t>
  </si>
  <si>
    <t>10.1080/17451000.2018.1521524</t>
  </si>
  <si>
    <t>Ecology; Marine &amp; Freshwater Biology</t>
  </si>
  <si>
    <t>HD9AH</t>
  </si>
  <si>
    <t>WOS:000452851900001</t>
  </si>
  <si>
    <t>Kim, S; De Santis, L; Hong, JK; Cottlerle, D; Petronio, L; Colizza, E; Kim, YG; Kang, SG; Kim, HJ; Kim, S; Wardell, N; Geletti, R; Bergamasco, A; McKay, R; Jin, YK; Kang, SH</t>
  </si>
  <si>
    <t>Kim, Sookwan; De Santis, Laura; Hong, Jong Kuk; Cottlerle, Diego; Petronio, Lorenzo; Colizza, Ester; Kim, Young-Gyun; Kang, Seung-Goo; Kim, Hyoung Jun; Kim, Suhwan; Wardell, Nigel; Geletti, Riccardo; Bergamasco, Andrea; McKay, Robert; Jin, Young Keun; Kang, Sung-Ho</t>
  </si>
  <si>
    <t>Seismic stratigraphy of the Central Basin in northwestern Ross Sea slope and rise, Antarctica: Clues to the late Cenozoic ice-sheet dynamics and bottom current activity</t>
  </si>
  <si>
    <t>MARINE GEOLOGY</t>
  </si>
  <si>
    <t>Antarctica; Ross Sea; Seismic stratigraphy; Contourites; Glacial sediments; Sedimentary process</t>
  </si>
  <si>
    <t>TROUGH-MOUTH FANS; CONTINENTAL-MARGIN; SEDIMENT TRANSPORT; EAST ANTARCTICA; GLACIAL HISTORY; MIDDLE MIOCENE; AMUNDSEN SEA; WEDDELL SEA; WEST; ARCHITECTURE</t>
  </si>
  <si>
    <t>Sedimentation processes influenced by late Cenozoic ice-sheet dynamics and bottom-current activity can be extracted from the seismic stratigraphic record of the Ross Sea continental slope and rise, where more continuous sedimentary successions are preserved compared to the continental shelf. In this study, we present a seismic stratigraphic analysis of the Central Basin that lies in the northwestern Ross Sea, using newly acquired and existing legacy seismic reflection data that are correlated to adjacent scientific drill sites. The chronostratigraphy of Ross Sea seismic sequences lying above the mid-Miocene sequence boundary (RSU4, ca. 16.5-15.5 Ma) is based on the former Antarctic Offshore Stratigraphy (ANTOSTRAT) project. Depth-contour and isopach maps of sedimentary sequences bounded by two major unconformities of RSU4 and RSU2 (the late Pliocene boundary, ca. 4.0-2.8 Ma) and the present-day seafloor were produced to illustrate the evolution of paleo-seafloor morphology, distribution of sediments and depocenter migration in the western Ross Sea outer margin. The results of seismic stratigraphic analysis indicate that gravity sedimentation processes dominated the Central Basin infill up to the mid-Miocene, and then downslope sediment supply gradually diminished through the late Miocene and Quaternary, likely reflecting a shift toward a cooler, less erosive glacial regime change. Since the late Pliocene, a topset-truncated glacial prograding wedge developed in the upper continental slope at the mouth of the Joides Basin and the sediment depocenter was shifted from the basin floor to the upper slope, suggesting the more persistent occurrence of grounded ice sheets on the outer continental shelf. Meanwhile, persistent along-slope bottom-current processes formed contourites on the slope and over the crests of banks surrounding the Central Basin since the mid-Miocene. In the late Pliocene, the contourites that formed off the Joides Basin mouth were overlain by glaciogenic debris flows, while the growth of contourites continued over and along the flanks of banks, farther to the north. This suggests that along-slope bottom-current processes near the Joides Basin mouth were diminished or dominated by the glacial discharge to the continental shelf edge. The sediment stacking patterns differ between the Joides/Central Basins and the Drygaiski/Adare Basins located on the westernmost Ross Sea margin, suggesting that distinctive glacial/interglacial behavior of the former grounded ice streams and sediment supplies in the troughs feeding these basins were largely controlled by the paleo-seafloor morphology of the western Ross Sea continental shelf.</t>
  </si>
  <si>
    <t>[Kim, Sookwan; Hong, Jong Kuk; Kim, Young-Gyun; Kang, Seung-Goo; Kim, Hyoung Jun; Kim, Suhwan; Jin, Young Keun; Kang, Sung-Ho] Korea Polar Res Inst, 26 Songdomirae Ro, Incheon 21990, South Korea; [Kim, Sookwan; Hong, Jong Kuk] Univ Sci &amp; Technol Korea, Daejeon, South Korea; [De Santis, Laura; Cottlerle, Diego; Petronio, Lorenzo; Wardell, Nigel; Geletti, Riccardo] Ist Nazl Oceanog &amp; Geofis Sperimentale OGS, Trieste, Italy; [Colizza, Ester] Univ Trieste, Trieste, Italy; [Kim, Young-Gyun] Seoul Natl Univ, Res Inst Oceanog, Seoul, South Korea; [Bergamasco, Andrea] Natl Res Council CNR, ISMAR, Inst Marine Sci, Venice, Italy; [McKay, Robert] Victoria Univ Wellington, Wellington, New Zealand</t>
  </si>
  <si>
    <t>Korea Polar Research Institute (KOPRI); University of Science &amp; Technology (UST); Istituto Nazionale di Oceanografia e di Geofisica Sperimentale; University of Trieste; Seoul National University (SNU); Consiglio Nazionale delle Ricerche (CNR); Istituto di Scienze Marine (ISMAR-CNR); Victoria University Wellington</t>
  </si>
  <si>
    <t>Hong, JK (corresponding author), Korea Polar Res Inst, 26 Songdomirae Ro, Incheon 21990, South Korea.</t>
  </si>
  <si>
    <t>jkhong@kopri.re.kr</t>
  </si>
  <si>
    <t>Kim, Sookwan/JJD-3241-2023</t>
  </si>
  <si>
    <t>Kim, Sookwan/0000-0001-9960-2295; Colizza, Ester/0000-0002-9026-6667; McKay, Robert/0000-0002-5602-6985; De Santis, Laura/0000-0002-7752-7754; Kim, Young-Gyun/0000-0001-8321-3383; Bergamasco, Alessandro/0000-0003-3138-8418; Geletti, Riccardo/0000-0002-6574-011X; Petronio, Lorenzo/0000-0003-1762-9166; Kang, Seung-Goo/0000-0001-6532-3482</t>
  </si>
  <si>
    <t>Korea Polar Research Institute Grant [PM15040, PE17050]; ROSSLOPE project of the Italian Antarctic Research Program (PNRA) [PdR 2010/A2.07, PdR 2013/AN2.01]</t>
  </si>
  <si>
    <t>Korea Polar Research Institute Grant(Korea Polar Research Institute of Marine Research Placement (KOPRI)); ROSSLOPE project of the Italian Antarctic Research Program (PNRA)</t>
  </si>
  <si>
    <t>The authors are grateful to the support of the captain and crew of the RVIB Araon during the Antarctic expeditions of ANAO3B and ANAO5B. We acknowledge that the Seismic Data Library System (SDLS) allows free access to all existing MCS data in the study area. We thank J.B. Anderson for providing the high-resolution seismic data of NBP95 in the western Ross Sea margin. This work was supported by the Korea Polar Research Institute Grants (PM15040 and PE17050) and the ROSSLOPE project (PdR 2010/A2.07 and PdR 2013/AN2.01) of the Italian Antarctic Research Program (PNRA). We used the SeisWare (KOPRI-UST) and IHS Kingdom (OGS) for seismic correlation, sequence mapping and depth conversion under the university grant programs. Many thanks to Gert J. de Lange, Philip O'Brien and an anonymous reviewer for providing many helpful comments and suggestions for improving the manuscript.</t>
  </si>
  <si>
    <t>0025-3227</t>
  </si>
  <si>
    <t>1872-6151</t>
  </si>
  <si>
    <t>MAR GEOL</t>
  </si>
  <si>
    <t>Mar. Geol.</t>
  </si>
  <si>
    <t>10.1016/j.margeo.2017.10.013</t>
  </si>
  <si>
    <t>Geosciences, Multidisciplinary; Oceanography</t>
  </si>
  <si>
    <t>Geology; Oceanography</t>
  </si>
  <si>
    <t>FU1YL</t>
  </si>
  <si>
    <t>WOS:000423645300027</t>
  </si>
  <si>
    <t>Espínola, F; Dionisi, HM; Borglin, S; Brislawn, CJ; Jansson, JK; Mac Cormack, WP; Carroll, J; Sjöling, S; Lozada, M</t>
  </si>
  <si>
    <t>Espinola, Fernando; Dionisi, Hebe M.; Borglin, Sharon; Brislawn, Colin J.; Jansson, Janet K.; Mac Cormack, Walter P.; Carroll, JoLynn; Sjoling, Sara; Lozada, Mariana</t>
  </si>
  <si>
    <t>Metagenomic Analysis of Subtidal Sediments from Polar and Subpolar Coastal Environments Highlights the Relevance of Anaerobic Hydrocarbon Degradation Processes</t>
  </si>
  <si>
    <t>MICROBIAL ECOLOGY</t>
  </si>
  <si>
    <t>Cold environments; Subtidal sediments; Hydrocarbons; Anaerobic biodegradation; Community structure; Metagenomics; Biomarker genes</t>
  </si>
  <si>
    <t>SULFATE-REDUCING BACTERIA; ALKANE HYDROXYLASE GENES; HORIZON OIL-SPILL; MICROBIAL COMMUNITY; MARINE-SEDIMENTS; DIVERSITY; WATER; OXIDATION; REVEALS; ENZYMES</t>
  </si>
  <si>
    <t>In this work, we analyzed the community structure and metabolic potential of sediment microbial communities in high-latitude coastal environments subjected to low to moderate levels of chronic pollution. Subtidal sediments from four low-energy inlets located in polar and subpolar regions from both Hemispheres were analyzed using large-scale 16S rRNA gene and metagenomic sequencing. Communities showed high diversity (Shannon's index 6.8 to 10.2), with distinct phylogenetic structures (&lt; 40% shared taxa at the Phylum level among regions) but similar metabolic potential in terms of sequences assigned to KOs. Environmental factors (mainly salinity, temperature, and in less extent organic pollution) were drivers of both phylogenetic and functional traits. Bacterial taxa correlating with hydrocarbon pollution included families of anaerobic or facultative anaerobic lifestyle, such as Desulfuromonadaceae, Geobacteraceae, and Rhodocyclaceae. In accordance, biomarker genes for anaerobic hydrocarbon degradation (bamA, ebdA, bcrA, and bssA) were prevalent, only outnumbered by alkB, and their sequences were taxonomically binned to the same bacterial groups. BssA-assigned metagenomic sequences showed an extremely wide diversity distributed all along the phylogeny known for this gene, including bssA sensu stricto, nmsA, assA, and other clusters from poorly or not yet described variants. This work increases our understanding of microbial community patterns in cold coastal sediments, and highlights the relevance of anaerobic hydrocarbon degradation processes in subtidal environments.</t>
  </si>
  <si>
    <t>[Espinola, Fernando; Dionisi, Hebe M.; Lozada, Mariana] Ctr Nacl Patagon, Ctr El Estudio Sistemas Marinos CESIMAR, CONICET, Lab Microbiol Ambiental, Blvd Brown 2915,U9120ACD, Puerto Madryn, Chubut, Argentina; [Borglin, Sharon] Lawrence Berkeley Natl Lab, Energy Geosci Div, Berkeley, CA USA; [Brislawn, Colin J.; Jansson, Janet K.] Pacific Northwest Natl Lab, Earth &amp; Biol Sci Directorate, Richland, WA USA; [Mac Cormack, Walter P.] Univ Buenos Aires, CONICET, Fac Farm &amp; Bioquim, Inst Nanobiotec, Buenos Aires, DF, Argentina; [Mac Cormack, Walter P.] Inst Antartico Argentino, Buenos Aires, DF, Argentina; [Carroll, JoLynn] UiT Arctic Univ Norway, Fram High North Res Ctr Climate &amp; Environm, Akvaplan Niva, N-9037 Tromso, Norway; [Carroll, JoLynn] UiT Arctic Univ Norway, ARCEx Res Ctr Arctic Petr Explorat, Dept Geosci, N-9037 Tromso, Norway; [Sjoling, Sara] Sodertorn Univ, Sch Nat Sci &amp; Environm Studies, Huddinge, Sweden</t>
  </si>
  <si>
    <t>Centro Nacional Patagonico (CENPAT); Consejo Nacional de Investigaciones Cientificas y Tecnicas (CONICET); United States Department of Energy (DOE); Lawrence Berkeley National Laboratory; United States Department of Energy (DOE); Pacific Northwest National Laboratory; University of Buenos Aires; Consejo Nacional de Investigaciones Cientificas y Tecnicas (CONICET); Instituto Antartico Argentino; UiT The Arctic University of Tromso; Akvaplan-niva; UiT The Arctic University of Tromso; Sodertorn University</t>
  </si>
  <si>
    <t>Lozada, M (corresponding author), Ctr Nacl Patagon, Ctr El Estudio Sistemas Marinos CESIMAR, CONICET, Lab Microbiol Ambiental, Blvd Brown 2915,U9120ACD, Puerto Madryn, Chubut, Argentina.</t>
  </si>
  <si>
    <t>lozada@cenpat-conicet.gob.ar</t>
  </si>
  <si>
    <t>Jansson, Janet/H-5478-2018; Borglin, Sharon E/I-1013-2016; Carroll, JoLynn/AAH-5082-2021</t>
  </si>
  <si>
    <t>Jansson, Janet/0000-0002-5487-4315; Carroll, JoLynn/0000-0002-6598-0818; LOZADA, MARIANA/0000-0003-4037-9169; Mac Cormack, Walter/0000-0002-5280-5463; Dionisi, Hebe Monica/0000-0002-8075-2311</t>
  </si>
  <si>
    <t>Department of Energy-Joint Genome Institute (DOE-JGI) under the Community Sequencing Program (CSP) [328, 403959, 404206, 404777-404782, 404786, 404788-404801]; CONICET [112-200801-01736]; National Agency for the Promotion of Science and Technology of Argentina (ANPCyT PICT) [0468]; Argentinean Antarctic Institute; Universidad de Buenos Aires [UBA 20020100100378]; ANPCyT [PICT-O 0124]; Research Council of Norway [228107]; Laboratory Directed Research and Development Program at PNNL, a multi-program national laboratory - U.S. Department of Energy under Contract [DE-AC05-76RL01830]</t>
  </si>
  <si>
    <t>Department of Energy-Joint Genome Institute (DOE-JGI) under the Community Sequencing Program (CSP); CONICET(Consejo Nacional de Investigaciones Cientificas y Tecnicas (CONICET)); National Agency for the Promotion of Science and Technology of Argentina (ANPCyT PICT)(ANPCyT); Argentinean Antarctic Institute(ANPCyT); Universidad de Buenos Aires(University of Buenos Aires); ANPCyT(ANPCyT); Research Council of Norway(Research Council of Norway); Laboratory Directed Research and Development Program at PNNL, a multi-program national laboratory - U.S. Department of Energy under Contract(United States Department of Energy (DOE))</t>
  </si>
  <si>
    <t>M.L. and H.M.D. are staff members from The Argentinean National Research Council (CONICET), and F.E. is a doctoral fellow from CONICET. The amplicon dataset was generated by the Earth Microbiome Project (www.earthmicrobiome.org/). The metagenomic dataset was generated at the Department of Energy-Joint Genome Institute (DOE-JGI) under the Community Sequencing Program (CSP proposal ID 328, project IDs 403959, 404206, 404777-404782, 404786, 404788-404801). Sampling was funded by grants from CONICET (No. 112-200801-01736) and The National Agency for the Promotion of Science and Technology of Argentina (ANPCyT PICT2008 No. 0468), the Argentinean Antarctic Institute, the Universidad de Buenos Aires (UBA 20020100100378), ANPCyT (PICT-O 0124), and the Research Council of Norway (grant no. 228107). This research was also partly funded under the Laboratory Directed Research and Development Program at PNNL, a multi-program national laboratory operated by Battelle for the U.S. Department of Energy under Contract DE-AC05-76RL01830. We would like to thank Ricardo Vera, Horacio Ocariz, and Alejandro Ulrich for their help in sample collection.</t>
  </si>
  <si>
    <t>0095-3628</t>
  </si>
  <si>
    <t>1432-184X</t>
  </si>
  <si>
    <t>MICROB ECOL</t>
  </si>
  <si>
    <t>Microb. Ecol.</t>
  </si>
  <si>
    <t>10.1007/s00248-017-1028-5</t>
  </si>
  <si>
    <t>Ecology; Marine &amp; Freshwater Biology; Microbiology</t>
  </si>
  <si>
    <t>Environmental Sciences &amp; Ecology; Marine &amp; Freshwater Biology; Microbiology</t>
  </si>
  <si>
    <t>FR0GT</t>
  </si>
  <si>
    <t>WOS:000418740100012</t>
  </si>
  <si>
    <t>Koo, H; Hakim, JA; Morrow, CD; Andersen, DT; Bej, AK</t>
  </si>
  <si>
    <t>Gurtler, V; Trevors, JT</t>
  </si>
  <si>
    <t>Koo, Hyunmin; Hakim, Joseph A.; Morrow, Casey D.; Andersen, Dale T.; Bej, Asim K.</t>
  </si>
  <si>
    <t>Microbial Community Composition and Predicted Functional Attributes of Antarctic Lithobionts Using Targeted Next-Generation Sequencing and Bioinformatics Tools</t>
  </si>
  <si>
    <t>MICROBIOLOGY OF ATYPICAL ENVIRONMENTS</t>
  </si>
  <si>
    <t>Methods in Microbiology</t>
  </si>
  <si>
    <t>RIBOSOMAL-RNA GENE; LAKE UNTERSEE; SP NOV.; STATISTICAL-ANALYSIS; BACTERIAL COMMUNITY; DRY VALLEYS; DIVERSITY; AMPLIFICATION; PHOSPHATE; CULTURE</t>
  </si>
  <si>
    <t>[Koo, Hyunmin; Hakim, Joseph A.; Bej, Asim K.] Univ Alabama Birmingham, Dept Biol, Birmingham, AL 35294 USA; [Morrow, Casey D.] Univ Alabama Birmingham, Dept Cell Dev &amp; Integrat Biol, Birmingham, AL USA; [Andersen, Dale T.] SETI Inst, Carl Sagan Ctr, Mountain View, CA USA</t>
  </si>
  <si>
    <t>University of Alabama System; University of Alabama Birmingham; University of Alabama System; University of Alabama Birmingham</t>
  </si>
  <si>
    <t>Koo, H; Bej, AK (corresponding author), Univ Alabama Birmingham, Dept Biol, Birmingham, AL 35294 USA.</t>
  </si>
  <si>
    <t>khmkhm87@uab.edu; abej@uab.edu</t>
  </si>
  <si>
    <t>Koo, Hyunmin/0000-0001-6630-2165; Andersen, Dale/0000-0001-8827-1259</t>
  </si>
  <si>
    <t>0580-9517</t>
  </si>
  <si>
    <t>978-0-12-814604-0</t>
  </si>
  <si>
    <t>METHOD MICROBIOL</t>
  </si>
  <si>
    <t>Methods Microbiol.</t>
  </si>
  <si>
    <t>10.1016/bs.mim.2018.06.002</t>
  </si>
  <si>
    <t>Biochemical Research Methods; Microbiology</t>
  </si>
  <si>
    <t>Biochemistry &amp; Molecular Biology; Microbiology</t>
  </si>
  <si>
    <t>BL5PB</t>
  </si>
  <si>
    <t>WOS:000452413500010</t>
  </si>
  <si>
    <t>Ademollo, N; Patrolecco, L; Rauseo, J; Nielsen, J; Corsolini, S</t>
  </si>
  <si>
    <t>Ademollo, N.; Patrolecco, L.; Rauseo, J.; Nielsen, J.; Corsolini, S.</t>
  </si>
  <si>
    <t>Bioaccumulation of nonylphenols and bisphenol A in the Greenland shark Somniosus microcephalus from the Greenland seawaters</t>
  </si>
  <si>
    <t>MICROCHEMICAL JOURNAL</t>
  </si>
  <si>
    <t>15th Italian-Hungarian Symposium on Spectrochemistry (IHSS)</t>
  </si>
  <si>
    <t>JUN 12-16, 2016</t>
  </si>
  <si>
    <t>Pisa, ITALY</t>
  </si>
  <si>
    <t>Endocrine disrupting compounds; Greenland shark; Bioaccumulation; Arctic region; Climate changes</t>
  </si>
  <si>
    <t>PERSISTENT ORGANIC POLLUTANTS; ENDOCRINE DISRUPTORS; MARINE-ENVIRONMENT; FISH; 4-TERT-OCTYLPHENOL; CONTAMINANTS; ATMOSPHERE; TRANSPORT; CHEMICALS; PLASTICS</t>
  </si>
  <si>
    <t>Recent climate changes associated with anthropogenic emissions of pollutants are triggering shifts in global bio-geochemical cycles and polar marine ecosystem. The decrease of sea ice and the mechanism of ice formation/melting, may considerably have an impact on the mobility of contaminants and on the loss of biodiversity. In this work, we report the occurrence and bioaccumulation of selected endocrine-disrupting compounds (EDCs) in muscle and liver of the Greenland shark Somniosus microcephalus, an arctic species of interest for biogeography, migration, physiology, long-and short-term contaminant storage. The EDCs selected for this study were 4-nonylphenol (4-NP), its mono- (NP1EO) and di-ethoxylate (NP2EO) precursors and bisphenol A (BPA). There are currently very few scientific papers on the distribution and transport of these EDCs in the arctic marine food web and no such studies have been performed on the Greenland shark. Totally, muscles and liver samples were analyzed from 23 Greenland sharks (TL, range 149-442 cm) sampled in W, SW, SE, and NE Greenland. Extraction of analytes from biological matrices were performed by ASE (Accelerated Solvent Extraction), followed by HPLC-Fluorescence (FLD) detection. Results showed higher contamination levels in muscle than in liver in the sharks from SE and NE Greenland, while in specimens from W and SW Greenland the liver was the tissue more contaminated. In fact, the 4-NP, NP1-2EO and BPA mean content in liver of SW Greenland specimens was 43.5 ng/g, 288.5 ng/g and 8.2 ng/g wet wt respectively, while in muscle mean concentrations was 203 ng/g for 4-NP, 171.1 ng/g wet wt for NP1-2EO and 7.9 ng/g for BPA. Results confirm the presence of selected EDCs in this species, suggesting the transfer of contamination in the Euro-Arctic marine trophic web. (C) 2016 Elsevier B.V. All rights reserved.</t>
  </si>
  <si>
    <t>[Ademollo, N.; Patrolecco, L.; Rauseo, J.] CNR, Water Res Inst, Via Solaria Km 29300, I-00015 Monterotondo, RM, Italy; [Nielsen, J.] Univ Copenhagen, Marine Biol Sect, Strandpromenaden 5, DK-3000 Helsingor, Denmark; [Corsolini, S.] Univ Siena, Dept Phys Earth &amp; Environm Sci, Via PA Mattioli 4, I-53100 Siena, Italy</t>
  </si>
  <si>
    <t>Consiglio Nazionale delle Ricerche (CNR); Istituto di Ricerca sulle Acque (IRSA-CNR); University of Copenhagen; University of Siena</t>
  </si>
  <si>
    <t>Ademollo, N (corresponding author), CNR, Water Res Inst, Via Solaria Km 29300, I-00015 Monterotondo, RM, Italy.</t>
  </si>
  <si>
    <t>ademollo@irsa.cnr.it</t>
  </si>
  <si>
    <t>Corsolini, Simonetta/B-9460-2012; ademollo, nicoletta/AAY-4811-2020; Rauseo, Jasmin/AAF-5549-2021</t>
  </si>
  <si>
    <t>Corsolini, Simonetta/0000-0002-9772-2362; Rauseo, Jasmin/0000-0002-5710-9993; Patrolecco, Luisa/0000-0002-9715-9450</t>
  </si>
  <si>
    <t>Italian National Antarctic Research Program (PNRA) [PdR2013 C1_04]; Italian National Antarctic Research Program (PNRA) [PdR2013 C1_04]</t>
  </si>
  <si>
    <t>Italian National Antarctic Research Program (PNRA)(Ministry of Education, Universities and Research (MIUR)); Italian National Antarctic Research Program (PNRA)(Ministry of Education, Universities and Research (MIUR))</t>
  </si>
  <si>
    <t>The Italian National Antarctic Research Program (PNRA) funded this research (PdR2013 C1_04).</t>
  </si>
  <si>
    <t>0026-265X</t>
  </si>
  <si>
    <t>1095-9149</t>
  </si>
  <si>
    <t>MICROCHEM J</t>
  </si>
  <si>
    <t>Microchem J.</t>
  </si>
  <si>
    <t>10.1016/j.microc.2016.11.009</t>
  </si>
  <si>
    <t>Chemistry, Analytical</t>
  </si>
  <si>
    <t>FJ7SD</t>
  </si>
  <si>
    <t>WOS:000412958200015</t>
  </si>
  <si>
    <t>Crumrine, M; Ade, PAR; Ahmed, Z; Aikin, RW; Alexander, KD; Barkats, D; Benton, SJ; Bischoff, CA; Bock, JJ; Bowens-Rubin, R; Brevik, JA; Buder, I; Bullock, E; Buza, V; Connors, J; Cornelison, J; Crill, BP; Dierickx, M; Duband, L; Dvorkin, C; Filippini, JP; Fliescher, S; Grayson, J; Hall, G; Halpern, M; Harrison, S; Hildebrandt, SR; Hilton, GC; Hui, H; Irwin, KD; Kang, J; Karkare, KS; Karpel, E; Kaufman, JP; Keating, BG; Kefeli, S; Kernasovskiy, SA; Kovac, JM; Kuo, CL; Larsen, NA; Lau, K; Leitch, EM; Lueker, M; Megerian, KG; Moncelsi, L; Namikawa, T; Netterfield, CB; Nguyen, HT; O'Brient, R; Ogburn, RW; Palladino, S; Pryke, C; Racine, B; Richter, S; Schwarz, R; Schillaci, A; Sheehy, CD; Soliman, A; St Germaine, T; Staniszewski, ZK; Steinbach, B; Sudiwala, RV; Teply, GP; Thompson, KL; Tolan, JE; Tucker, C; Turner, AD; Umiltà, C; Vieregg, AG; Wandui, A; Weber, AC; Wiebe, DV; Willmert, J; Wong, CL; Wu, WLK; Yang, H; Yoon, KW; Zhang, C</t>
  </si>
  <si>
    <t>Zmuidzinas, J; Gao, JR</t>
  </si>
  <si>
    <t>Crumrine, Michael; Ade, P. A. R.; Ahmed, Z.; Aikin, R. W.; Alexander, K. D.; Barkats, D.; Benton, S. J.; Bischoff, C. A.; Bock, J. J.; Bowens-Rubin, R.; Brevik, J. A.; Buder, I.; Bullock, E.; Buza, V.; Connors, J.; Cornelison, J.; Crill, B. P.; Dierickx, M.; Duband, L.; Dvorkin, C.; Filippini, J. P.; Fliescher, S.; Grayson, J.; Hall, G.; Halpern, M.; Harrison, S.; Hildebrandt, S. R.; Hilton, G. C.; Hui, H.; Irwin, K. D.; Kang, J.; Karkare, K. S.; Karpel, E.; Kaufman, J. P.; Keating, B. G.; Kefeli, S.; Kernasovskiy, S. A.; Kovac, J. M.; Kuo, C. L.; Larsen, N. A.; Lau, K.; Leitch, E. M.; Lueker, M.; Megerian, K. G.; Moncelsi, L.; Namikawa, T.; Netterfield, C. B.; Nguyen, H. T.; O'Brient, R.; Ogburn, R. W.; Palladino, S.; Pryke, C.; Racine, B.; Richter, S.; Schwarz, R.; Schillaci, A.; Sheehy, C. D.; Soliman, A.; St Germaine, T.; Staniszewski, Z. K.; Steinbach, B.; Sudiwala, R. V.; Teply, G. P.; Thompson, K. L.; Tolan, J. E.; Tucker, C.; Turner, A. D.; Umilta, C.; Vieregg, A. G.; Wandui, A.; Weber, A. C.; Wiebe, D. V.; Willmert, J.; Wong, C. L.; Wu, W. L. K.; Yang, H.; Yoon, K. W.; Zhang, C.</t>
  </si>
  <si>
    <t>BICEP Array cryostat and mount design</t>
  </si>
  <si>
    <t>MILLIMETER, SUBMILLIMETER, AND FAR-INFRARED DETECTORS AND INSTRUMENTATION FOR ASTRONOMY IX</t>
  </si>
  <si>
    <t>Conference on Millimeter, Submillimeter, and Far-Infrared Detectors and Instrumentation for Astronomy IX</t>
  </si>
  <si>
    <t>JUN 12-15, 2018</t>
  </si>
  <si>
    <t>Inflation; Gravitational Waves; Cosmology; BICEP; Keck Array; Polarization; BICEP Array</t>
  </si>
  <si>
    <t>BICEP Array is a cosmic microwave background (CMB) polarization experiment that will begin observing at the South Pole in early 2019. This experiment replaces the five Bicep2 style receivers that compose the Keck Array with four larger Bicep3 style receivers observing at six frequencies from 30 to 270GHz. The 95GHz and 150GHz receivers will continue to push the already deep Bicep/Keck CMB maps while the 30/40GHz and 220/270GHz receivers will constrain the synchrotron and galactic dust foregrounds respectively. Here we report on the design and performance of the Bicep Array instruments focusing on the mount and cryostat systems.</t>
  </si>
  <si>
    <t>[Crumrine, Michael; Fliescher, S.; Hall, G.; Lau, K.; Pryke, C.; Schwarz, R.; Willmert, J.] Univ Minnesota, Sch Phys &amp; Astron, Minneapolis, MN 55455 USA; [Ade, P. A. R.; Sudiwala, R. V.; Tucker, C.] Cardiff Univ, Sch Phys &amp; Astron, Cardiff CF24 3AA, S Glam, Wales; [Ahmed, Z.; Irwin, K. D.; Kuo, C. L.; Ogburn, R. W.; Thompson, K. L.; Yoon, K. W.] SLAC Natl Accelerator Lab, Kavli Inst Particle Astrophys &amp; Cosmol, Menlo Pk, CA 94025 USA; [Aikin, R. W.; Bock, J. J.; Brevik, J. A.; Hildebrandt, S. R.; Hui, H.; Kefeli, S.; Lueker, M.; Moncelsi, L.; O'Brient, R.; Schillaci, A.; Soliman, A.; Staniszewski, Z. K.; Steinbach, B.; Teply, G. P.; Wandui, A.; Zhang, C.] CALTECH, Dept Phys, Pasadena, CA 91125 USA; [Alexander, K. D.; Barkats, D.; Bowens-Rubin, R.; Buder, I.; Buza, V.; Connors, J.; Cornelison, J.; Dierickx, M.; Harrison, S.; Karkare, K. S.; Kovac, J. M.; Racine, B.; Richter, S.; St Germaine, T.; Wong, C. L.] Harvard Smithsonian Ctr Astrophys, 60 Garden St, Cambridge, MA 02138 USA; [Benton, S. J.; Netterfield, C. B.] Univ Toronto, Dept Phys, Toronto, ON M5S 1A7, Canada; [Bischoff, C. A.; Palladino, S.; Umilta, C.] Univ Cincinnati, Dept Phys, Cincinnati, OH 45221 USA; [Bock, J. J.; Crill, B. P.; Hildebrandt, S. R.; Megerian, K. G.; Nguyen, H. T.; O'Brient, R.; Staniszewski, Z. K.; Turner, A. D.; Weber, A. C.] Jet Prop Lab, Pasadena, CA 91109 USA; [Bullock, E.; Pryke, C.] Univ Minnesota, Minnesota Inst Astrophys, Minneapolis, MN 55455 USA; [Buza, V.; Dvorkin, C.; Kovac, J. M.; Wong, C. L.] Harvard Univ, Dept Phys, Cambridge, MA 02138 USA; [Duband, L.] Commissariat Energie Atom, Serv Basses Temp, F-38054 Grenoble, France; [Filippini, J. P.] Univ Illinois, Dept Phys, Urbana, IL 61801 USA; [Filippini, J. P.] Univ Illinois, Dept Astron, Urbana, IL 61801 USA; [Grayson, J.; Irwin, K. D.; Kang, J.; Karpel, E.; Kernasovskiy, S. A.; Kuo, C. L.; Ogburn, R. W.; Thompson, K. L.; Tolan, J. E.; Wu, W. L. K.; Yang, H.; Yoon, K. W.] Stanford Univ, Dept Phys, Stanford, CA 94305 USA; [Halpern, M.; Wiebe, D. V.] Univ British Columbia, Dept Phys &amp; Astron, Vancouver, BC V6T 1Z1, Canada; [Hilton, G. C.; Irwin, K. D.] NIST, Boulder, CO 80305 USA; [Karkare, K. S.; Larsen, N. A.; Leitch, E. M.; Sheehy, C. D.; Vieregg, A. G.; Wu, W. L. K.] Univ Chicago, Kavli Inst Cosmol Phys, Chicago, IL 60637 USA; [Kaufman, J. P.; Keating, B. G.; Teply, G. P.] Univ Calif San Diego, Dept Phys, La Jolla, CA 92093 USA; [Namikawa, T.] Natl Taiwan Univ, Leung Ctr Cosmol &amp; Particle Astrophys, Taipei 10617, Taiwan; [Netterfield, C. B.] Canadian Inst Adv Res, Toronto, ON M5G 1Z8, Canada; [Sheehy, C. D.] Brookhaven Natl Lab, Dept Phys, Upton, NY 11973 USA; [Vieregg, A. G.] Univ Chicago, Enrico Fermi Inst, Dept Phys, Chicago, IL 60637 USA</t>
  </si>
  <si>
    <t>University of Minnesota System; University of Minnesota Twin Cities; Cardiff University; Stanford University; United States Department of Energy (DOE); SLAC National Accelerator Laboratory; California Institute of Technology; Harvard University; Smithsonian Astrophysical Observatory; Smithsonian Institution; University of Toronto; University System of Ohio; University of Cincinnati; National Aeronautics &amp; Space Administration (NASA); NASA Jet Propulsion Laboratory (JPL); University of Minnesota System; University of Minnesota Twin Cities; Harvard University; CEA; Communaute Universite Grenoble Alpes; Universite Grenoble Alpes (UGA); University of Illinois System; University of Illinois Urbana-Champaign; University of Illinois System; University of Illinois Urbana-Champaign; Stanford University; University of British Columbia; National Institute of Standards &amp; Technology (NIST) - USA; University of Chicago; University of California System; University of California San Diego; National Taiwan University; Canadian Institute for Advanced Research (CIFAR); United States Department of Energy (DOE); Brookhaven National Laboratory; University of Chicago</t>
  </si>
  <si>
    <t>Crumrine, M (corresponding author), Univ Minnesota, Sch Phys &amp; Astron, Minneapolis, MN 55455 USA.</t>
  </si>
  <si>
    <t>crumrine@umn.edu</t>
  </si>
  <si>
    <t>Moncelsi, Lorenzo/AAU-1009-2020; Nguyen, H.T/AAG-1974-2021; kaufman, jarrod/GXV-3683-2022; Keating, Brian G/J-6063-2017; sun, huan/JEO-7152-2023; Nguyễn, Hương/JUV-6128-2023</t>
  </si>
  <si>
    <t>Moncelsi, Lorenzo/0000-0002-4242-3015; Nguyen, H.T/0000-0001-5580-2877; Kang, Jae Hwan/0000-0002-3470-2954; /0000-0002-5215-6993; Kovac, John/0009-0003-5432-7180; Hildebrandt, Sergi/0000-0003-0220-0009; Racine, Benjamin/0000-0001-8861-3052; Crill, Brendan/0000-0002-4650-8518; Dierickx, Marion/0000-0002-3519-8593; Ahmed, Zeeshan/0000-0002-9957-448X; Tucker, Carole/0000-0002-1851-3918; Bowens-Rubin, Rachel/0000-0001-5831-9530; Schillaci, Alessandro/0000-0002-0512-1042; Zhang, Cheng/0000-0001-8288-5823; Hui, Howard/0000-0001-5812-1903; Irwin, Kent/0000-0002-2998-9743; Namikawa, Toshiya/0000-0003-3070-9240; Lau, King/0000-0002-6445-2407</t>
  </si>
  <si>
    <t>National Science Foundation [0742818, 0742592, 1044978, 1110087, 1145172, 1145143, 1145248, 1639040, 1638957, 1638978, 1638970, 1726917]; Gordon and Betty Moore Foundation; Keck Foundation; JPL Research and Technology Development Fund; NASA [06-ARPA206-0040, 10-SAT10-0017, 12-SAT12-0031, 14-SAT14-0009, 16-SAT-16-0002]; Gordon and Betty Moore Foundation at Caltech; Canada Foundation for Innovation grant; U.S. DoE Office of Science; Directorate For Geosciences; Division Of Polar Programs [1110087] Funding Source: National Science Foundation</t>
  </si>
  <si>
    <t>National Science Foundation(National Science Foundation (NSF)); Gordon and Betty Moore Foundation(Gordon and Betty Moore Foundation);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U.S. DoE Office of Science(United States Department of Energy (DOE)); Directorate For Geosciences; Division Of Polar Programs(National Science Foundation (NSF)NSF - Directorate for Geosciences (GEO))</t>
  </si>
  <si>
    <t>The BICEP/Keck projects have been made possible through a series of grants from the National Science Foundation including 0742818, 0742592, 1044978, 1110087, 1145172, 1145143, 1145248, 1639040, 1638957, 1638978, 1638970, &amp; 1726917, by the Gordon and Betty Moore Foundation, and by the Keck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series of experiments, including the BICEP1 team.</t>
  </si>
  <si>
    <t>978-1-5106-1970-8</t>
  </si>
  <si>
    <t>107082D</t>
  </si>
  <si>
    <t>10.1117/12.2312829</t>
  </si>
  <si>
    <t>Astronomy &amp; Astrophysics; Instruments &amp; Instrumentation; Optics</t>
  </si>
  <si>
    <t>BL5IZ</t>
  </si>
  <si>
    <t>WOS:000451719300039</t>
  </si>
  <si>
    <t>Hui, H; Ade, PAR; Ahmed, Z; Aikin, RW; Alexander, KD; Barkats, D; Benton, SJ; Bischoff, CA; Bock, JJ; Bowens-Rubin, R; Brevik, JA; Buder, I; Bullock, E; Buza, V; Connors, J; Cornelison, J; Crill, BP; Crumrine, M; Dierickx, M; Duband, L; Dvorkin, C; Filippini, JP; Fliescher, S; Grayson, J; Hall, G; Halpern, M; Harrison, S; Hildebrandt, SR; Hilton, GC; Irwin, KD; Kang, J; Karkare, KS; Karpel, E; Kaufman, JP; Keating, BG; Kefeli, S; Kernasovskiy, SA; Kovac, JM; Kuo, CL; Lau, K; Larsen, NA; Leitch, EM; Lueker, M; Megerian, KG; Moncelsi, L; Namikawa, T; Netterfieled, CB; Nguyen, HT; O'Brient, R; Ogburn, RW; Palladino, S; Pryke, C; Racine, B; Richter, S; Schwarz, R; Schillaci, A; Sheehy, CD; Soliman, A; Germaine, TS; Staniszewski, ZK; Steinbach, B; Sudiwala, RV; Teply, GP; Thompson, KL; Tolan, JE; Tucker, C; Turner, AD; Umiltà, C; Vieregg, AG; Wandui, A; Weber, AC; Wiebe, DV; Willmert, J; Wong, CL; Wu, WLK; Yang, E; Yoon, KW; Zhang, C</t>
  </si>
  <si>
    <t>Hui, Howard; Ade, P. A. R.; Ahmed, Z.; Aikin, R. W.; Alexander, K. D.; Barkats, D.; Benton, S. J.; Bischoff, C. A.; Bock, J. J.; Bowens-Rubin, R.; Brevik, J. A.; Buder, I.; Bullock, E.; Buza, V.; Connors, J.; Cornelison, J.; Crill, B. P.; Crumrine, M.; Dierickx, M.; Duband, L.; Dvorkin, C.; Filippini, J. P.; Fliescher, S.; Grayson, J.; Hall, G.; Halpern, M.; Harrison, S.; Hildebrandt, S. R.; Hilton, G. C.; Irwin, K. D.; Kang, J.; Karkare, K. S.; Karpel, E.; Kaufman, J. P.; Keating, B. G.; Kefeli, S.; Kernasovskiy, S. A.; Kovac, J. M.; Kuo, C. L.; Lau, K.; Larsen, N. A.; Leitch, E. M.; Lueker, M.; Megerian, K. G.; Moncelsi, L.; Namikawa, T.; Netterfieled, C. B.; Nguyen, H. T.; O'Brient, R.; Ogburn, R. W.; Palladino, S.; Pryke, C.; Racine, B.; Richter, S.; Schwarz, R.; Schillaci, A.; Sheehy, C. D.; Soliman, A.; Germaine, T. St.; Staniszewski, Z. K.; Steinbach, B.; Sudiwala, R. V.; Teply, G. P.; Thompson, K. L.; Tolan, J. E.; Tucker, C.; Turner, A. D.; Umilta, C.; Vieregg, A. G.; Wandui, A.; Weber, A. C.; Wiebe, D. V.; Willmert, J.; Wong, C. L.; Wu, W. L. K.; Yang, E.; Yoon, K. W.; Zhang, C.</t>
  </si>
  <si>
    <t>BICEP Array: a multi-frequency degree-scale CMB polarimeter</t>
  </si>
  <si>
    <t>Cosmic Microwave Background; Polarization; Instrumentation</t>
  </si>
  <si>
    <t>MILLIMETER</t>
  </si>
  <si>
    <t>BICEP Array is the newest multi-frequency instrument in the Bicep/Keck Array program. It is comprised of four 550 mm aperture refractive telescopes observing the polarization of the cosmic microwave background (CMB) at 30/40, 95, 150 and 220/270 GHz with over 30,000 detectors. We present an overview of the receiver, detailing the optics, thermal, mechanical, and magnetic shielding design. Bicep Array follows Bicep3 's modular focal plane concept, and upgrades to 6 wafer to reduce fabrication with higher detector count per module. The first receiver at 30/40GHz is expected to start observing at the South Pole during the 2019-20 season. By the end of the planned Bicep Array program, we project 0.002 less than or similar to sigma(r) less than or similar to 0.006, assuming current modeling of polarized Galactic foreground and depending on the level of delensing that can be achieved with higher resolution maps from the South Pole Telescope.</t>
  </si>
  <si>
    <t>[Hui, Howard; Aikin, R. W.; Bock, J. J.; Brevik, J. A.; Hildebrandt, S. R.; Kefeli, S.; Lueker, M.; Moncelsi, L.; O'Brient, R.; Schillaci, A.; Soliman, A.; Steinbach, B.; Teply, G. P.; Wandui, A.; Zhang, C.] CALTECH, Dept Phys, Pasadena, CA 91125 USA; [Ade, P. A. R.; Sudiwala, R. V.; Tucker, C.; Wiebe, D. V.] Cardiff Univ, Sch Phys &amp; Astron, Cardiff CF24 3AA, S Glam, Wales; [Ahmed, Z.; Kuo, C. L.; Ogburn, R. W.; Thompson, K. L.; Wu, W. L. K.; Yang, E.; Yoon, K. W.] SLAC Natl Accelerator Lab, Kavli Inst Particle Astrophys &amp; Cosmol, 2575 Sand Hill Rd, Menlo Pk, CA 94025 USA; [Alexander, K. D.; Barkats, D.; Bowens-Rubin, R.; Buder, I.; Buza, V.; Connors, J.; Cornelison, J.; Dierickx, M.; Harrison, S.; Karkare, K. S.; Kovac, J. M.; Racine, B.; Richter, S.; Germaine, T. St.; Wong, C. L.] Harvard Smithsonian Ctr Astrophys, Cambridge, MA 02138 USA; [Benton, S. J.; Netterfieled, C. B.] Univ Toronto, Dept Phys, Toronto, ON M55 1A7, Canada; [Bischoff, C. A.; Palladino, S.; Umilta, C.] Univ Cincinnati, Dept Phys, Cincinnati, OH 45221 USA; [Bock, J. J.; Crill, B. P.; Hildebrandt, S. R.; Megerian, K. G.; Nguyen, H. T.; O'Brient, R.; Staniszewski, Z. K.; Turner, A. D.; Weber, A. C.] Jet Prop Lab, Pasadena, CA 91109 USA; [Bullock, E.; Pryke, C.; Schwarz, R.; Willmert, J.] Univ Minnesota, Minnesota Inst Astrophys, Minneapolis, MN 55455 USA; [Buza, V.; Dvorkin, C.; Kovac, J. M.; Wong, C. L.] Harvard Univ, Dept Phys, Cambridge, MA 02138 USA; [Crumrine, M.; Fliescher, S.; Hall, G.; Lau, K.; Pryke, C.] Univ Minnesota, Sch Phys &amp; Astron, Minneapolis, MN 55455 USA; [Duband, L.] Commissariat Energie Atom, Serv Basses Temp, F-38054 Grenoble, France; [Filippini, J. P.] Univ Illinois, Dept Phys, Urbana, IL 61801 USA; [Filippini, J. P.] Univ Illinois, Dept Astron, Urbana, IL 61801 USA; [Grayson, J.; Irwin, K. D.; Karpel, E.; Kernasovskiy, S. A.; Kuo, C. L.; Ogburn, R. W.; Thompson, K. L.; Wu, W. L. K.; Yoon, K. W.] Stanford Univ, Dept Phys, Stanford, CA 94305 USA; [Halpern, M.] Univ British Columbia, Dept Phys &amp; Astron, Vancouver, BC V6T 1Z1, Canada; [Hilton, G. C.; Irwin, K. D.] Natl Inst Stand &amp; Technol, Boulder, CO 80305 USA; [Karkare, K. S.; Vieregg, A. G.] Univ Chicago, Kavli Inst Cosmol Phys, Chicago, IL 60637 USA; [Kaufman, J. P.; Keating, B. G.; Teply, G. P.] Univ Calif San Diego, Dept Phys, La Jolla, CA 92093 USA; [Larsen, N. A.; Leitch, E. M.] Univ Chicago, Kavli Inst Cosmol Phys, Chicago, IL 60637 USA; [Namikawa, T.] Natl Taiwan Univ, Leung Ctr Cosmol &amp; Particle Astrophys, Taipei 10617, Taiwan; [Netterfieled, C. B.] Canadian Inst Adv Res, Toronto, ON M5G 1Z8, Canada; [Karkare, K. S.; Sheehy, C. D.] Brookhaven Natl Lab, Phys Dept, Upton, NY 11973 USA; [Vieregg, A. G.] Univ Chicago, Enrico Fermi Inst, Dept Phys, Chicago, IL 60637 USA</t>
  </si>
  <si>
    <t>California Institute of Technology; Cardiff University; Stanford University; United States Department of Energy (DOE); SLAC National Accelerator Laboratory; Smithsonian Astrophysical Observatory; Smithsonian Institution; Harvard University; University of Toronto; University System of Ohio; University of Cincinnati; National Aeronautics &amp; Space Administration (NASA); NASA Jet Propulsion Laboratory (JPL); University of Minnesota System; University of Minnesota Twin Cities; Harvard University; University of Minnesota System; University of Minnesota Twin Cities; Communaute Universite Grenoble Alpes; Universite Grenoble Alpes (UGA); CEA; University of Illinois System; University of Illinois Urbana-Champaign; University of Illinois System; University of Illinois Urbana-Champaign; Stanford University; University of British Columbia; National Institute of Standards &amp; Technology (NIST) - USA; University of Chicago; University of California System; University of California San Diego; University of Chicago; National Taiwan University; Canadian Institute for Advanced Research (CIFAR); United States Department of Energy (DOE); Brookhaven National Laboratory; University of Chicago</t>
  </si>
  <si>
    <t>Hui, H (corresponding author), CALTECH, Dept Phys, Pasadena, CA 91125 USA.</t>
  </si>
  <si>
    <t>hhui@caltech.edu</t>
  </si>
  <si>
    <t>Moncelsi, Lorenzo/AAU-1009-2020; Nguyen, H.T/AAG-1974-2021; Nguyễn, Hương/JUV-6128-2023; sun, huan/JEO-7152-2023; Keating, Brian G/J-6063-2017; kaufman, jarrod/GXV-3683-2022</t>
  </si>
  <si>
    <t>Moncelsi, Lorenzo/0000-0002-4242-3015; Nguyen, H.T/0000-0001-5580-2877; Irwin, Kent/0000-0002-2998-9743; Racine, Benjamin/0000-0001-8861-3052; Schillaci, Alessandro/0000-0002-0512-1042; Dierickx, Marion/0000-0002-3519-8593; Kang, Jae Hwan/0000-0002-3470-2954; Lau, King/0000-0002-6445-2407; Namikawa, Toshiya/0000-0003-3070-9240; Tucker, Carole/0000-0002-1851-3918; Ahmed, Zeeshan/0000-0002-9957-448X; Zhang, Cheng/0000-0001-8288-5823; Hildebrandt, Sergi/0000-0003-0220-0009; Kovac, John/0009-0003-5432-7180; Crill, Brendan/0000-0002-4650-8518; /0000-0002-5215-6993; Hui, Howard/0000-0001-5812-1903; Bowens-Rubin, Rachel/0000-0001-5831-9530</t>
  </si>
  <si>
    <t>National Science Foundation [0742818, 0742592, 1044978, 1110087, 1145172, 1145143, 1145248, 1639040, 1638957, 1638978, 1638970, 1726917]; Keck Foundation; JPL Research and Technology Development Fund; NASA [06-ARPA206-0040, 10-SAT10-0017, 12-SAT12-0031, 14-SAT14-0009, 16-SAT16-0002]; Gordon and Betty Moore Foundation at Caltech; Canada Foundation for Innovation; U.S. DoE Office of Science; Division Of Polar Programs; Directorate For Geosciences [1110087]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</si>
  <si>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U.S. DoE Office of Science(United States Department of Energy (DOE)); Division Of Polar Programs; Directorate For Geosciences(National Science Foundation (NSF)NSF - Directorate for Geosciences (GEO))</t>
  </si>
  <si>
    <t>The Bicep/Keck Array project have been made possible through a series of grants from the National Science Foundation including 0742818, 0742592, 1044978, 1110087, 1145172, 1145143, 1145248, 1639040, 1638957, 1638978, 1638970, &amp; 1726917 and by the Keck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Irene Coyle, Donna Hernandez, and Dana Volponi.</t>
  </si>
  <si>
    <t>10.1117/12.2311725</t>
  </si>
  <si>
    <t>WOS:000451719300005</t>
  </si>
  <si>
    <t>Kang, JH; Ade, PAR; Ahmed, Z; Aikin, RW; Alexander, KD; Barkats, D; Benton, SJ; Bischoff, CA; Bock, JJ; Boenish, H; Bowens-Rubin, R; Brevik, JA; Buder, I; Bullock, E; Buza, V; Connors, J; Cornelison, J; Crill, BP; Crumrine, M; Dierickx, M; Duband, L; Dvorkin, C; Filippini, JP; Fliescher, S; Grayson, JA; Hall, G; Halpern, M; Harrison, S; Hildebrandt, SR; Hilton, GC; Hui, H; Irwin, KD; Karkare, KS; Karpel, E; Kaufman, JP; Keating, BG; Kefeli, S; Kernasovskiy, SA; Kovac, JM; Kuo, CL; Larsen, NA; Lau, K; Leitch, EM; Lueker, M; Megerian, KG; Moncelsi, L; Namikawa, T; Netterfield, B; Nguyen, HT; O'Brient, R; Ogburn, RW; Palladino, S; Pryke, C; Racine, B; Richter, S; Schillaci, A; Schwarz, R; Sheehy, CD; Soliman, A; St Germaine, T; Staniszewski, ZK; Steinbach, B; Sudiwala, RV; Teply, GP; Thompson, KL; Tolan, JE; Tucker, C; Turner, AD; Umiltà, C; Vieregg, AG; Wandui, A; Weber, AC; Wiebe, DV; Willmert, J; Wong, CL; Wu, WLK; Yang, H; Yoon, KW; Zhang, C</t>
  </si>
  <si>
    <t>Kang, Jae Hwan; Ade, P. A. R.; Ahmed, Z.; Aikin, R. W.; Alexander, K. D.; Barkats, D.; Benton, S. J.; Bischoff, C. A.; Bock, J. J.; Boenish, H.; Bowens-Rubin, R.; Brevik, J. A.; Buder, I.; Bullock, E.; Buza, V.; Connors, J.; Cornelison, J.; Crill, B. P.; Crumrine, M.; Dierickx, M.; Duband, L.; Dvorkin, C.; Filippini, J. P.; Fliescher, S.; Grayson, J. A.; Hall, G.; Halpern, M.; Harrison, S.; Hildebrandt, S. R.; Hilton, G. C.; Hui, H.; Irwin, K. D.; Karkare, K. S.; Karpel, E.; Kaufman, J. P.; Keating, B. G.; Kefeli, S.; Kernasovskiy, S. A.; Kovac, J. M.; Kuo, C. L.; Larsen, N. A.; Lau, K.; Leitch, E. M.; Lueker, M.; Megerian, K. G.; Moncelsi, L.; Namikawa, T.; Netterfield, B.; Nguyen, H. T.; O'Brient, R.; Ogburn, R. W.; Palladino, S.; Pryke, C.; Racine, B.; Richter, S.; Schillaci, A.; Schwarz, R.; Sheehy, C. D.; Soliman, A.; St Germaine, T.; Staniszewski, Z. K.; Steinbach, B.; Sudiwala, R. V.; Teply, G. P.; Thompson, K. L.; Tolan, J. E.; Tucker, C.; Turner, A. D.; Umilta, C.; Vieregg, A. G.; Wandui, A.; Weber, A. C.; Wiebe, D. V.; Willmert, J.; Wong, C. L.; Wu, W. L. K.; Yang, H.; Yoon, K. W.; Zhang, C.</t>
  </si>
  <si>
    <t>2017 upgrade and performance of BICEP3: a 95GHz refracting telescope for degree-scale CMB polarization</t>
  </si>
  <si>
    <t>Cosmic Microwave Background; Inflation; Gravitational Waves; Polarization; BICEP3; Keck Array</t>
  </si>
  <si>
    <t>Bicep3 is a 520mm aperture on-axis refracting telescope observing the polarization of the cosmic microwave background (CMB) at 95GHz in search of the B-mode signal originating from inflationary gravitational waves. Bicep3's focal plane is populated with modularized tiles of antenna-coupled transition edge sensor (TES) bolometers. Bicep3 was deployed to the South Pole during 2014-15 austral summer and has been operational since. During the 2016-17 austral summer, we implemented changes to optical elements that lead to better noise performance. We discuss this upgrade and show the performance of Bicep3 at its full mapping speed from the 2017 and 2018 observing seasons. Bicep3 achieves an order-of-magnitude improvement in mapping speed compared to a Keck 95GHz receiver. We demonstrate 6.6 mu K root s noise performance of the Bicep3 receiver.</t>
  </si>
  <si>
    <t>[Kang, Jae Hwan; Grayson, J. A.; Irwin, K. D.; Karpel, E.; Kernasovskiy, S. A.; Kuo, C. L.; Ogburn, R. W.; Thompson, K. L.; Tolan, J. E.; Wu, W. L. K.; Yang, H.; Yoon, K. W.] Stanford Univ, Dept Phys, Stanford, CA 94305 USA; [Ade, P. A. R.; Sudiwala, R. V.; Tucker, C.] Cardiff Univ, Sch Phys &amp; Astron, Cardiff CF24 3AA, S Glam, Wales; [Ahmed, Z.; Buder, I.; Buza, V.; Connors, J.; Cornelison, J.; Irwin, K. D.; Kuo, C. L.; Ogburn, R. W.; Thompson, K. L.; Yoon, K. W.] SLAC Natl Accelerator Lab, Kavli Inst Particle Astrophys &amp; Cosmol, Menlo Pk, CA 94025 USA; [Aikin, R. W.; Bock, J. J.; Brevik, J. A.; Hildebrandt, S. R.; Hui, H.; Kefeli, S.; Lueker, M.; Moncelsi, L.; O'Brient, R.; Schillaci, A.; Soliman, A.; Staniszewski, Z. K.; Steinbach, B.; Teply, G. P.; Wandui, A.; Zhang, C.] CALTECH, Dept Phys, Pasadena, CA 91125 USA; [Alexander, K. D.; Barkats, D.; Boenish, H.; Bowens-Rubin, R.; Dierickx, M.; Harrison, S.; Karkare, K. S.; Kovac, J. M.; Racine, B.; Richter, S.; St Germaine, T.; Wong, C. L.] Harvard Smithsonian Ctr Astrophys, 60 Garden St, Cambridge, MA 02138 USA; [Benton, S. J.; Netterfield, B.] Univ Toronto, Dept Phys, Toronto, ON M5S 1A7, Canada; [Bischoff, C. A.; Palladino, S.; Umilta, C.] Univ Cincinnati, Dept Phys, Cincinnati, OH 45221 USA; [Bock, J. J.; Crill, B. P.; Hildebrandt, S. R.; Megerian, K. G.; Nguyen, H. T.; O'Brient, R.; Staniszewski, Z. K.; Turner, A. D.; Weber, A. C.] Jet Prop Lab, Pasadena, CA 91109 USA; [Bullock, E.; Pryke, C.] Univ Minnesota, Minnesota Inst Astrophys, Minneapolis, MN 55455 USA; [Buza, V.; Dvorkin, C.; Kovac, J. M.; Wong, C. L.] Harvard Univ, Dept Phys, Cambridge, MA 02138 USA; [Duband, L.] Commissariat Energie Atom, Serv Basses Temp, F-38054 Grenoble, France; [Filippini, J. P.] Univ Illinois, Dept Phys, Urbana, IL 61801 USA; [Filippini, J. P.] Univ Illinois, Dept Astron, Urbana, IL 61801 USA; [Crumrine, M.; Fliescher, S.; Hall, G.; Lau, K.; Pryke, C.; Schwarz, R.; Willmert, J.] Univ Minnesota, Dept Phys &amp; Astron, Minneapolis, MN 55455 USA; [Halpern, M.; Wiebe, D. V.] Univ British Columbia, Dept Phys &amp; Astron, Vancouver, BC V6T 1Z1, Canada; [Hilton, G. C.; Irwin, K. D.] NIST, Boulder, CO 80305 USA; [Karkare, K. S.; Larsen, N. A.; Leitch, E. M.; Sheehy, C. D.; Vieregg, A. G.; Wu, W. L. K.] Univ Chicago, Kavli Inst Cosmol Phys, Chicago, IL 60637 USA; [Kaufman, J. P.; Keating, B. G.; Teply, G. P.] Univ Calif San Diego, Dept Phys, La Jolla, CA 92093 USA; [Namikawa, T.] Natl Taiwan Univ, Leung Ctr Cosmol &amp; Particle Astrophys, Taipei 10617, Taiwan; [Netterfield, B.] Canadian Inst Adv Res, Toronto, ON M5G 1Z8, Canada; [Sheehy, C. D.] Brookhaven Natl Lab, Dept Phys, Upton, NY 11973 USA; [Vieregg, A. G.] Univ Chicago, Enrico Fermi Inst, Dept Phys, Chicago, IL 60637 USA</t>
  </si>
  <si>
    <t>Stanford University; Cardiff University; Stanford University; United States Department of Energy (DOE); SLAC National Accelerator Laboratory; California Institute of Technology; Smithsonian Astrophysical Observatory; Harvard University; Smithsonian Institution; University of Toronto; University System of Ohio; University of Cincinnati; National Aeronautics &amp; Space Administration (NASA); NASA Jet Propulsion Laboratory (JPL); University of Minnesota System; University of Minnesota Twin Cities; Harvard University; Communaute Universite Grenoble Alpes; Universite Grenoble Alpes (UGA); CEA; University of Illinois System; University of Illinois Urbana-Champaign; University of Illinois System; University of Illinois Urbana-Champaign; University of Minnesota System; University of Minnesota Twin Cities; University of British Columbia; National Institute of Standards &amp; Technology (NIST) - USA; University of Chicago; University of California System; University of California San Diego; National Taiwan University; Canadian Institute for Advanced Research (CIFAR); United States Department of Energy (DOE); Brookhaven National Laboratory; University of Chicago</t>
  </si>
  <si>
    <t>Kang, JH (corresponding author), Stanford Univ, Dept Phys, Stanford, CA 94305 USA.</t>
  </si>
  <si>
    <t>jaehwan@stanford.edu</t>
  </si>
  <si>
    <t>sun, huan/JEO-7152-2023; Nguyen, H.T/AAG-1974-2021; kaufman, jarrod/GXV-3683-2022; Keating, Brian G/J-6063-2017; Moncelsi, Lorenzo/AAU-1009-2020; Nguyễn, Hương/JUV-6128-2023</t>
  </si>
  <si>
    <t>Nguyen, H.T/0000-0001-5580-2877; Moncelsi, Lorenzo/0000-0002-4242-3015; Schillaci, Alessandro/0000-0002-0512-1042; Irwin, Kent/0000-0002-2998-9743; Hildebrandt, Sergi/0000-0003-0220-0009; Racine, Benjamin/0000-0001-8861-3052; Bowens-Rubin, Rachel/0000-0001-5831-9530; Tucker, Carole/0000-0002-1851-3918; Namikawa, Toshiya/0000-0003-3070-9240; Kovac, John/0009-0003-5432-7180; Zhang, Cheng/0000-0001-8288-5823; Kang, Jae Hwan/0000-0002-3470-2954; Lau, King/0000-0002-6445-2407; Hui, Howard/0000-0001-5812-1903; Dierickx, Marion/0000-0002-3519-8593; /0000-0002-5215-6993; Crill, Brendan/0000-0002-4650-8518; Ahmed, Zeeshan/0000-0002-9957-448X</t>
  </si>
  <si>
    <t>National Science Foundation [0742818, 0742592, 1044978, 1110087, 1145172, 1145143, 1145248, 1639040, 1638957, 1638978, 1638970, 1726917]; Gordon and Betty Moore Foundation; Keck Foundation; John Templeton Foundation [55802]; JPL Research and Technology Development Fund; NASA [06-ARPA206-0040, 10-SAT10-0017, 12-SAT12-0031, 14-SAT14-0009, 16-SAT16-0002]; Canada Foundation for Innovation grant; U.S. DoE Office of Science; Division Of Polar Programs; Directorate For Geosciences [1110087] Funding Source: National Science Foundation</t>
  </si>
  <si>
    <t>National Science Foundation(National Science Foundation (NSF)); Gordon and Betty Moore Foundation(Gordon and Betty Moore Foundation); Keck Foundation(W.M. Keck Foundation); John Templeton Foundation; JPL Research and Technology Development Fund; NASA(National Aeronautics &amp; Space Administration (NASA)); Canada Foundation for Innovation grant(Canada Foundation for Innovation); U.S. DoE Office of Science(United States Department of Energy (DOE)); Division Of Polar Programs; Directorate For Geosciences(National Science Foundation (NSF)NSF - Directorate for Geosciences (GEO))</t>
  </si>
  <si>
    <t>The Bicep/Keck projects have been made possible through a series of grants from the National Science Foundation including 0742818, 0742592, 1044978, 1110087, 1145172, 1145143, 1145248, 1639040, 1638957, 1638978, 1638970, &amp; 1726917, by the Gordon and Betty Moore Foundation, by the Keck Foundation, and by the grant 55802 from John Templeton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We thank all those who have contributed past efforts to the Bicep/Keck series of experiments, including the Bicep1 team. Tireless administrative support was provided by Kathy Deniston, Sheri Stoll, Irene Coyle, Donna Hernandez, Dana Volponi, and Julie Shih.</t>
  </si>
  <si>
    <t>107082N</t>
  </si>
  <si>
    <t>10.1117/12.2313854</t>
  </si>
  <si>
    <t>WOS:000451719300047</t>
  </si>
  <si>
    <t>Soliman, A; Ade, PAR; Ahmed, Z; Aikin, RW; Alexander, KD; Barkats, D; Benton, SJ; Bischoff, CA; Bock, JJ; Bowens-Rubin, R; Brevik, JA; Buder, I; Bullock, E; Buza, V; Connors, J; Cornelison, J; Crill, BP; Crumrine, M; Dierickx, M; Duband, L; Dvorkin, C; Filippini, JP; Fliescher, S; Grayson, J; Hall, G; Halpern, M; Harrison, S; Hildebrandt, SR; Hilton, GC; Hui, H; Irwin, KD; Kang, JH; Karkare, KS; Karpel, E; Kaufman, JP; Keating, BG; Kefeli, S; Kernasovskiy, SA; Kovac, JM; Kuo, CL; Lau, K; Larsen, NA; Leitch, EM; Lueker, M; Megerian, KG; Moncelsi, L; Namikawa, T; Netterfield, CB; Nguyen, HT; O'Brient, R; Ogburn, RW; Palladino, S; Pryke, C; Racine, B; Richter, S; Schwarz, R; Schillaci, A; Sheehy, CD; St Germaine, T; Staniszewski, ZK; Steinbach, B; Sudiwala, RV; Teply, GP; Thompson, KL; Tolan, JE; Tucker, C; Turner, AD; Umiltà, C; Van Zyl, J; Vieregg, AG; Wandui, A; Weber, AC; Wiebe, DV; Willmert, J; Wong, CL; Wu, WLK; Yang, E; Yoon, KW; Zhang, C</t>
  </si>
  <si>
    <t>Soliman, A.; Ade, P. A. R.; Ahmed, Z.; Aikin, R. W.; Alexander, K. D.; Barkats, D.; Benton, S. J.; Bischoff, C. A.; Bock, J. J.; Bowens-Rubin, R.; Brevik, J. A.; Buder, I.; Bullock, E.; Buza, V.; Connors, J.; Cornelison, J.; Crill, B. P.; Crumrine, M.; Dierickx, M.; Duband, L.; Dvorkin, C.; Filippini, J. P.; Fliescher, S.; Grayson, J.; Hall, G.; Halpern, M.; Harrison, S.; Hildebrandt, S. R.; Hilton, G. C.; Hui, H.; Irwin, K. D.; Kang, J. H.; Karkare, K. S.; Karpel, E.; Kaufman, J. P.; Keating, B. G.; Kefeli, S.; Kernasovskiy, S. A.; Kovac, J. M.; Kuo, C. L.; Lau, K.; Larsen, N. A.; Leitch, E. M.; Lueker, M.; Megerian, K. G.; Moncelsi, L.; Namikawa, T.; Netterfield, C. B.; Nguyen, H. T.; O'Brient, R.; Ogburn, R. W.; Palladino, S.; Pryke, C.; Racine, B.; Richter, S.; Schwarz, R.; Schillaci, A.; Sheehy, C. D.; St Germaine, T.; Staniszewski, Z. K.; Steinbach, B.; Sudiwala, R. V.; Teply, G. P.; Thompson, K. L.; Tolan, J. E.; Tucker, C.; Turner, A. D.; Umilta, C.; Van Zyl, J.; Vieregg, A. G.; Wandui, A.; Weber, A. C.; Wiebe, D. V.; Willmert, J.; Wong, C. L.; Wu, W. L. K.; Yang, E.; Yoon, K. W.; Zhang, C.</t>
  </si>
  <si>
    <t>Design and performance of wide-band corrugated walls for the BICEP Array detector modules at 30/40 GHz</t>
  </si>
  <si>
    <t>BICEP Array; Cosmic Microwave Background; Detector; Corrugations; Beam Systematic</t>
  </si>
  <si>
    <t>BICEP Array is a degree-scale Cosmic Microwave Background (CMB) experiment that will search for primordial B-mode polarization while constraining Galactic foregrounds. BICEP Array will be comprised of four receivers to cover a broad frequency range with channels at 30/40, 95, 150 and 220/270 GHz. The first low-frequency receiver will map synchrotron emission at 30 and 40 GHz and will deploy to the South Pole at the end of 2019. In this paper, we give an overview of the BICEP Array science and instrument, with a focus on the detector module. We designed corrugations in the metal frame of the module to suppress unwanted interactions with the antenna-coupled detectors that would otherwise deform the beams of edge pixels. This design reduces the residual beam systematics and temperature-to-polarization leakage due to beam steering and shape mismatch between polarized beam pairs. We report on the simulated performance of single-and wide-band corrugations designed to minimize these effects. Our optimized design alleviates beam differential ellipticity caused by the metal frame to about 7% over 57% bandwidth (25 to 45 GHz), which is close to the level due the bare antenna itself without a metal frame. Initial laboratory measurements are also presented.</t>
  </si>
  <si>
    <t>[Soliman, A.; Aikin, R. W.; Bock, J. J.; Brevik, J. A.; Hildebrandt, S. R.; Hui, H.; Kefeli, S.; Lueker, M.; Moncelsi, L.; O'Brient, R.; Schillaci, A.; Staniszewski, Z. K.; Steinbach, B.; Teply, G. P.; Van Zyl, J.; Wandui, A.; Zhang, C.] CALTECH, Dept Phys, Pasadena, CA 91125 USA; [Ade, P. A. R.; Sudiwala, R. V.; Tucker, C.; Wiebe, D. V.] Cardiff Univ, Sch Phys &amp; Astron, Cardiff CF24 3AA, S Glam, Wales; [Ahmed, Z.; Irwin, K. D.; Kuo, C. L.; Ogburn, R. W.; Thompson, K. L.; Yang, E.; Yoon, K. W.] SLAC Natl Accelerator Lab, Kavli Inst Particle Astrophys &amp; Cosmol, 2575 Sand Hill Rd, Menlo Pk, CA 94025 USA; [Alexander, K. D.; Barkats, D.; Bowens-Rubin, R.; Buder, I.; Buza, V.; Connors, J.; Cornelison, J.; Dierickx, M.; Harrison, S.; Karkare, K. S.; Kovac, J. M.; Racine, B.; Richter, S.; St Germaine, T.; Wong, C. L.] Harvard Smithsonian Ctr Astrophys, 60 Garden St MS 42, Cambridge, MA 02138 USA; [Benton, S. J.; Netterfield, C. B.] Univ Toronto, Dept Phys, Toronto, ON M5S 1A7, Canada; [Bischoff, C. A.; Palladino, S.; Umilta, C.] Univ Cincinnati, Dept Phys, Cincinnati, OH 45221 USA; [Bock, J. J.; Crill, B. P.; Hildebrandt, S. R.; Megerian, K. G.; Nguyen, H. T.; O'Brient, R.; Staniszewski, Z. K.; Turner, A. D.; Weber, A. C.] Jet Prop Lab, Pasadena, CA 91109 USA; [Bullock, E.; Pryke, C.; Schwarz, R.; Willmert, J.] Univ Minnesota, Minnesota Inst Astrophys, Minneapolis, MN 55455 USA; [Buza, V.; Dvorkin, C.; Kovac, J. M.; Wong, C. L.] Harvard Univ, Dept Phys, Cambridge, MA 02138 USA; [Crumrine, M.; Fliescher, S.; Hall, G.; Lau, K.; Pryke, C.] Univ Minnesota, Sch Phys &amp; Astron, Minneapolis, MN 55455 USA; [Grayson, J.; Irwin, K. D.; Kang, J. H.; Karpel, E.; Kernasovskiy, S. A.; Kuo, C. L.; Ogburn, R. W.; Thompson, K. L.; Tolan, J. E.; Yoon, K. W.] Stanford Univ, Dept Phys, Stanford, CA 94305 USA; [Filippini, J. P.] Univ Illinois, Dept Phys, Urbana, IL 61801 USA; [Filippini, J. P.] Univ Illinois, Dept Astron, Urbana, IL 61801 USA; [Halpern, M.] Univ British Columbia, Dept Phys &amp; Astron, Vancouver, BC V6T 1Z1, Canada; [Hilton, G. C.; Irwin, K. D.] NIST, Boulder, CO 80305 USA; [Kaufman, J. P.; Keating, B. G.; Teply, G. P.] Univ Calif San Diego, Dept Phys, La Jolla, CA 92093 USA; [Karkare, K. S.; Larsen, N. A.; Leitch, E. M.; Vieregg, A. G.; Wu, W. L. K.] Univ Chicago, Kavli Inst Cosmol Phys, Chicago, IL 60637 USA; [Namikawa, T.] Natl Taiwan Univ, Leung Ctr Cosmol &amp; Particle Astrophys, Taipei 10617, Taiwan; [Netterfield, C. B.] Canadian Inst Adv Res, Toronto, ON M5G 1Z8, Canada; [Sheehy, C. D.] Brookhaven Natl Lab, Dept Phys, Upton, NY 11973 USA; [Vieregg, A. G.] Univ Chicago, Enrico Fermi Inst, Dept Phys, Chicago, IL 60637 USA; [Duband, L.] Commissari Energie Atom, Serv Basses Temp, F-38054 Grenoble, France</t>
  </si>
  <si>
    <t>California Institute of Technology; Cardiff University; Stanford University; United States Department of Energy (DOE); SLAC National Accelerator Laboratory; Harvard University; Smithsonian Astrophysical Observatory; Smithsonian Institution; University of Toronto; University System of Ohio; University of Cincinnati; National Aeronautics &amp; Space Administration (NASA); NASA Jet Propulsion Laboratory (JPL); University of Minnesota System; University of Minnesota Twin Cities; Harvard University; University of Minnesota System; University of Minnesota Twin Cities; Stanford University; University of Illinois System; University of Illinois Urbana-Champaign; University of Illinois System; University of Illinois Urbana-Champaign; University of British Columbia; National Institute of Standards &amp; Technology (NIST) - USA; University of California System; University of California San Diego; University of Chicago; National Taiwan University; Canadian Institute for Advanced Research (CIFAR); United States Department of Energy (DOE); Brookhaven National Laboratory; University of Chicago; CEA</t>
  </si>
  <si>
    <t>Soliman, A (corresponding author), CALTECH, Dept Phys, Pasadena, CA 91125 USA.</t>
  </si>
  <si>
    <t>Moncelsi, Lorenzo/AAU-1009-2020; sun, huan/JEO-7152-2023; Keating, Brian G/J-6063-2017; Nguyen, H.T/AAG-1974-2021; kaufman, jarrod/GXV-3683-2022; Nguyễn, Hương/JUV-6128-2023</t>
  </si>
  <si>
    <t>Moncelsi, Lorenzo/0000-0002-4242-3015; Nguyen, H.T/0000-0001-5580-2877; Crill, Brendan/0000-0002-4650-8518; Hildebrandt, Sergi/0000-0003-0220-0009; Kovac, John/0009-0003-5432-7180; Schillaci, Alessandro/0000-0002-0512-1042; Kang, Jae Hwan/0000-0002-3470-2954; Lau, King/0000-0002-6445-2407; Tucker, Carole/0000-0002-1851-3918; Hui, Howard/0000-0001-5812-1903; Zhang, Cheng/0000-0001-8288-5823; Irwin, Kent/0000-0002-2998-9743; Ahmed, Zeeshan/0000-0002-9957-448X; Namikawa, Toshiya/0000-0003-3070-9240; Dierickx, Marion/0000-0002-3519-8593; Bowens-Rubin, Rachel/0000-0001-5831-9530; /0000-0002-5215-6993</t>
  </si>
  <si>
    <t>National Science Foundation [0742818, 0742592, 1044978, 1110087, 1145172, 1145143, 1145248, 1639040, 1638957, 1638978, 1638970, 1726917]; Keck Foundation; JPL Research and Technology Development Fund; NASA [06-ARPA206-0040, 10-SAT10-0017, 12-SAT12-0031, 14-SAT14-0009, 16-SAT16-0002]; Gordon and Betty Moore Foundation at Caltech; Canada Foundation for Innovation grant; U.S. DoE Office of Science; Division Of Polar Programs; Directorate For Geosciences [1110087] Funding Source: National Science Foundation</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</si>
  <si>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 grant(Canada Foundation for Innovation); U.S. DoE Office of Science(United States Department of Energy (DOE)); Division Of Polar Programs; Directorate For Geosciences(National Science Foundation (NSF)NSF - Directorate for Geosciences (GEO))</t>
  </si>
  <si>
    <t>The Bicep/Keck Array project have been made possible through a series of grants from the National Science Foundation including 0742818, 0742592, 1044978, 1110087, 1145172, 1145143, 1145248, 1639040, 1638957, 1638978, 1638970, &amp; 1726917 and by the Keck Foundation. The development of antenna-coupled detector technology was supported by the JPL Research and Technology Development Fund and NASA Grants 06-ARPA206-0040, 10-SAT10-0017, 12-SAT12-0031, 14-SAT14-0009 &amp; 16-SAT16-0002.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DoE Office of Science. We thank the staff of the U.S. Antarctic Program and in particular the South Pole Station without whose help this research would not have been possible. Tireless administrative support was provided by Kathy Deniston, Sheri Stoll, Irene Coyle, Donna Hernandez, and Dana Volponi. We are grateful our BICEP/Keck Array collaboration colleagues for useful discussions and technical feedback.</t>
  </si>
  <si>
    <t>107082G</t>
  </si>
  <si>
    <t>10.1117/12.2312942</t>
  </si>
  <si>
    <t>WOS:000451719300042</t>
  </si>
  <si>
    <t>Marques-Santos, LF; Grassi, G; Bergami, E; Faleri, C; Balbi, T; Salis, A; Damonte, G; Canesi, L; Corsi, I</t>
  </si>
  <si>
    <t>Marques-Santos, L. F.; Grassi, G.; Bergami, E.; Faleri, C.; Balbi, T.; Salis, A.; Damonte, G.; Canesi, L.; Corsi, I.</t>
  </si>
  <si>
    <t>Cationic polystyrene nanoparticle and the sea urchin immune system: biocorona formation, cell toxicity, and multixenobiotic resistance phenotype</t>
  </si>
  <si>
    <t>NANOTOXICOLOGY</t>
  </si>
  <si>
    <t>Nanoplastics; sea urchin coelomocytes; protein-corona; toposome; MXR</t>
  </si>
  <si>
    <t>LIPID RAFTS; MULTIDRUG-RESISTANCE; PROTEIN CORONA; P-GLYCOPROTEIN; BIOMOLECULAR CORONAS; ECHINOMETRA-LUCUNTER; BIOCHEMICAL-ANALYSIS; EFFLUX TRANSPORTERS; PLASTIC DEBRIS; BLOOD-CELLS</t>
  </si>
  <si>
    <t>In order to assess the impact of nanoplastics on marine species, polystyrene nanoparticles (PS NPs) have been largely used as model particles. Here we studied the effects of 50nm amino-modified PS-NH2 on Mediterranean sea urchin Paracentrotus lividus immune system cells (coelomocytes) in the presence of celomic fluid (CF) and at different NP concentrations (1, 5, 10, and 25g mL(-1)) and experimental conditions (absence or presence of EDTA). PS-NH2 acquired a protein corona once incubated with CF, dominated by the toposome precursor protein (TPP). In short-term cultures, a significant concentration- and time-dependent decrease in lysosomal membrane stability and apoptotic-like nuclear alterations were observed in phagocytes upon exposure to PS-NH2 (10 and 25 mu g mL(-1)) in CF but they resulted abolished in the presence of EDTA confirming the role of TPP in triggering PS-NH2-coelomocytes interaction and toxicity. PS-NH2 did not alter MXR phenotype but the observed dose-dependent decrease in calcein accumulation suggests the ability of PS-NH2 to affect pump's efflux activity. Overall results encourage additional studies on positively charged nanoplastics, since the observed effects on sea urchin coelomocytes as well as the TPP corona formation might represent a first step for addressing their impact on sensitive marine species.</t>
  </si>
  <si>
    <t>[Marques-Santos, L. F.] Univ Fed Paraiba, Dept Mol Biol, Joao Pessoa, Paraiba, Brazil; [Grassi, G.; Bergami, E.; Corsi, I.] Univ Siena, Dept Phys Earth &amp; Environm Sci DSFTA, Siena, Italy; [Faleri, C.] Univ Genoa, Dept Earth Environm &amp; Life Sci DISTAV, Genoa, Italy; [Balbi, T.; Canesi, L.] Univ Siena, Dept Life Sci DSV, Siena, Italy; [Salis, A.; Damonte, G.] Univ Genoa, Ctr Excellence Biomed Res, Genoa, Italy</t>
  </si>
  <si>
    <t>Universidade Federal da Paraiba; University of Siena; University of Genoa; University of Siena; University of Genoa</t>
  </si>
  <si>
    <t>Corsi, I (corresponding author), Univ Siena, Dept Phys Earth &amp; Environm Sci DSFTA, Siena, Italy.</t>
  </si>
  <si>
    <t>ilaria.corsi@unisi.it</t>
  </si>
  <si>
    <t>Corsi, Ilaria/D-3795-2012; Bergami, Elisa/JFJ-1703-2023; Marques-Santos, LF/JCE-1593-2023; Marques-Santos, LF/AAC-4924-2020; Salis, Annalisa/R-9241-2018</t>
  </si>
  <si>
    <t>Corsi, Ilaria/0000-0002-1811-3041; Bergami, Elisa/0000-0001-8149-9584; Salis, Annalisa/0000-0002-3082-2908; Marques-Santos, Luis Fernando/0000-0002-0243-2283; Balbi, Teresa/0000-0002-7495-6000; Grassi, Giacomo/0000-0002-9907-0636</t>
  </si>
  <si>
    <t>Italian National Antarctic Research Program [PNRA 14_00090]; Conselho Nacional de Desenvolvimento Cientifico e Tecnologico (CNPq) [234109/2014-9]</t>
  </si>
  <si>
    <t>Italian National Antarctic Research Program; Conselho Nacional de Desenvolvimento Cientifico e Tecnologico (CNPq)(Conselho Nacional de Desenvolvimento Cientifico e Tecnologico (CNPQ))</t>
  </si>
  <si>
    <t>This work was done in the framework of the project PLANET (Plastics in the Antarctic Environment - PNRA 14_00090) funded by the Italian National Antarctic Research Program and coordinated by the Department of Physical, Earth and Environmental Sciences, University of Siena (Italy). L. F. Marques-Santos acknowledges support from the Conselho Nacional de Desenvolvimento Cientifico e Tecnologico (CNPq - Research fellowship number 234109/2014-9).</t>
  </si>
  <si>
    <t>1743-5390</t>
  </si>
  <si>
    <t>1743-5404</t>
  </si>
  <si>
    <t>Nanotoxicology</t>
  </si>
  <si>
    <t>10.1080/17435390.2018.1482378</t>
  </si>
  <si>
    <t>Nanoscience &amp; Nanotechnology; Toxicology</t>
  </si>
  <si>
    <t>Science &amp; Technology - Other Topics; Toxicology</t>
  </si>
  <si>
    <t>HD1OV</t>
  </si>
  <si>
    <t>WOS:000452281100004</t>
  </si>
  <si>
    <t>Gao, LB; Rintoul, SR; Yu, WD</t>
  </si>
  <si>
    <t>Gao, Libao; Rintoul, Stephen R.; Yu, Weidong</t>
  </si>
  <si>
    <t>Recent wind-driven change in Subantarctic Mode Water and its impact on ocean heat storage</t>
  </si>
  <si>
    <t>NATURE CLIMATE CHANGE</t>
  </si>
  <si>
    <t>SOUTHERN-OCEAN; CIRCULATION; VARIABILITY; FRONTS</t>
  </si>
  <si>
    <t>The subduction and export of Subantarctic Mode Water (SAMW) supplies the upper limb of the overturning circulation and makes an important contribution to global heat, freshwater, carbon and nutrient budgets(1-5). Upper ocean heat content has increased since 2006, helping to explain the so-called global warming hiatus between 1998 and 2014, with much of the ocean warming concentrated in extratropical latitudes of the Southern Hemisphere in close association with SAMW and Antarctic Intermediate Water (AAIW)(6,7). Here we use Argo observations to assess changes in the thickness, depth and heat content of the SAMW layer. Between 2005 and 2015, SAMW has thickened (3.6 +/- 0.3 m yr(-1)), deepened (2.4 +/- 0.2 m yr(-1)) and warmed (3.9 +/- 0.3 W m(-2)). Wind forcing, rather than buoyancy forcing, is largely responsible for the observed trends in SAMW. Most (84%) of the increase in SAMW heat content is the result of changes in thickness; warming by buoyancy forcing (increased heat flux to the ocean) accounts for the remaining 16%. Projected increases in wind stress curl would drive further deepening of SAMW and increase in heat storage in the Southern Hemisphere oceans.</t>
  </si>
  <si>
    <t>[Gao, Libao; Yu, Weidong] SOA, Inst Oceanog 1, Ctr Ocean &amp; Climate Res, Qingdao, Peoples R China; [Gao, Libao; Yu, Weidong] Qingdao Natl Lab Marine Sci &amp; Technol, Lab Reg Oceanog &amp; Numer Modeling, Qingdao, Peoples R China; [Gao, Libao] Ocean Univ China, Coll Ocean &amp; Atmospher Sci, Qingdao, Peoples R China; [Rintoul, Stephen R.] CSIRO Oceans Atmosphere, Hobart, Tas, Australia; [Rintoul, Stephen R.] Univ Tasmania, Antarctic Climate &amp; Ecosyst Cooperat Res Ctr, Hobart, Tas, Australia; [Rintoul, Stephen R.] Ctr Southern Hemisphere Oceans Res, Hobart, Tas, Australia; [Yu, Weidong] SOA, Natl Marine Environm Forecasting Ctr, Beijing, Peoples R China</t>
  </si>
  <si>
    <t>First Institute of Oceanography, Ministry of Natural Resources; Laoshan Laboratory; Ocean University of China; Commonwealth Scientific &amp; Industrial Research Organisation (CSIRO); University of Tasmania; Antarctic Climate &amp; Ecosystems Cooperative Research Centre (ACE CRC); National Marine Environmental Forecasting Center</t>
  </si>
  <si>
    <t>Gao, LB (corresponding author), SOA, Inst Oceanog 1, Ctr Ocean &amp; Climate Res, Qingdao, Peoples R China.;Gao, LB (corresponding author), Qingdao Natl Lab Marine Sci &amp; Technol, Lab Reg Oceanog &amp; Numer Modeling, Qingdao, Peoples R China.;Gao, LB (corresponding author), Ocean Univ China, Coll Ocean &amp; Atmospher Sci, Qingdao, Peoples R China.</t>
  </si>
  <si>
    <t>gaolb@fio.org.cn</t>
  </si>
  <si>
    <t>Yu, Weidong/IWL-8649-2023; Yu, Weidong/I-7130-2013; Rintoul, Stephen R/A-1471-2012</t>
  </si>
  <si>
    <t>Yu, Weidong/0000-0003-2503-2415; Rintoul, Stephen R/0000-0002-7055-9876; Gao, Libao/0000-0002-0402-9340</t>
  </si>
  <si>
    <t>NSFC [41306206, U1606405]; Chinese Polar Environment Comprehensive Investigation &amp; Assessment Programs [CHINARE2017-01-01, CHINARE2017-04-01, CHINARE2017-04-04]; Basic Scientific Fund for National Public Research Institutes of China [2015P06]; AoShan Talents Cultivation Program - Qingdao National Laboratory for Marine Science and Technology [2017ASTCP-OS01]; Australian government's Cooperative Research Centres Program through the Antarctic Climate &amp; Ecosystems Cooperative Research Centre (ACE/CRC); Australian Government Department of the Environment; Bureau of Meteorology; CSIRO</t>
  </si>
  <si>
    <t>NSFC(National Natural Science Foundation of China (NSFC)); Chinese Polar Environment Comprehensive Investigation &amp; Assessment Programs; Basic Scientific Fund for National Public Research Institutes of China; AoShan Talents Cultivation Program - Qingdao National Laboratory for Marine Science and Technology; Australian government's Cooperative Research Centres Program through the Antarctic Climate &amp; Ecosystems Cooperative Research Centre (ACE/CRC)(Australian GovernmentDepartment of Industry, Innovation and ScienceCooperative Research Centres (CRC) Programme); Australian Government Department of the Environment(Australian Government); Bureau of Meteorology(Bureau of Meteorology - Australia); CSIRO(Commonwealth Scientific &amp; Industrial Research Organisation (CSIRO))</t>
  </si>
  <si>
    <t>This work was supported by the NSFC grants (41306206, U1606405), Chinese Polar Environment Comprehensive Investigation &amp; Assessment Programs (CHINARE2017-01-01, CHINARE2017-04-01, CHINARE2017-04-04) and Basic Scientific Fund for National Public Research Institutes of China (2015P06). W.Y. was supported by AoShan Talents Cultivation Program funded by Qingdao National Laboratory for Marine Science and Technology (no. 2017ASTCP-OS01). This work was also supported by the Australian government's Cooperative Research Centres Program through the Antarctic Climate &amp; Ecosystems Cooperative Research Centre (ACE/CRC), and by the Australian Government Department of the Environment, the Bureau of Meteorology and CSIRO through the Australian Climate Change Science Program.</t>
  </si>
  <si>
    <t>1758-678X</t>
  </si>
  <si>
    <t>1758-6798</t>
  </si>
  <si>
    <t>NAT CLIM CHANGE</t>
  </si>
  <si>
    <t>Nat. Clim. Chang.</t>
  </si>
  <si>
    <t>10.1038/s41558-017-0022-8</t>
  </si>
  <si>
    <t>Environmental Sciences; Environmental Studies; Meteorology &amp; Atmospheric Sciences</t>
  </si>
  <si>
    <t>FU4RJ</t>
  </si>
  <si>
    <t>WOS:000423840000021</t>
  </si>
  <si>
    <t>Setyawan, E; Sianipar, AB; Erdmann, MV; Fischer, AM; Haddy, JA; Beale, CS; Lewis, SA; Mambrasar, R</t>
  </si>
  <si>
    <t>Setyawan, Edy; Sianipar, Abraham B.; Erdmann, Mark, V; Fischer, Andrew M.; Haddy, James A.; Beale, Calvin S.; Lewis, Sarah A.; Mambrasar, Ronald</t>
  </si>
  <si>
    <t>SITE FIDELITY AND MOVEMENT PATTERNS OF REEF MANTA RAYS (MOBULA ALFREDI: MOBULIDAE) USING PASSIVE ACOUSTIC TELEMETRY IN NORTHERN RAJA AMPAT, INDONESIA</t>
  </si>
  <si>
    <t>NATURE CONSERVATION RESEARCH</t>
  </si>
  <si>
    <t>management; Marine Protected Area; reef manta; seasonal movement; tagging; West Papua</t>
  </si>
  <si>
    <t>VERTICAL MIGRATION; HABITAT USE; CONSERVATION; BIROSTRIS; ECOLOGY; OCEAN; ZOOPLANKTON; SATELLITE; ECOSYSTEM; DYNAMICS</t>
  </si>
  <si>
    <t>Though extremely valuable to the local marine tourism industry, there is a dearth of published information on the ecology and population dynamics of reef manta rays (Mobula alfredi) in Raja Ampat, West Papua, Indonesia. Knowledge of the movement ecology in particular of this large and scattered population is urgently needed to better manage the rapidly expanding manta-focused tourism. Here we report the results of an initial passive acoustic telemetry study designed to provide local managers with the first detailed knowledge of the site use and movement patterns of reef mantas in northern Raja Ampat. A total of 39 reef mantas were tagged with Vemco V16 acoustic transmitters over a 15-month period between 27 November 2013 and 22 February 2015. To monitor their movements, VR2W acoustic receivers were deployed at eight sites corresponding to known manta cleaning and feeding aggregation sites, with receivers downloaded every six months over a two-year initial monitoring period. The duration between tag deployments and last date of detections at sites ranged from 1 to 682 days (mean +/- SE = 237 +/- 27). The cumulative number of days of manta detections at receiver sites by individual mantas ranged from 1 to 188 days (mean +/- SE = 42 +/- 7). Manta Ridge was the most visited site with 565 days of detections. The tagged mantas demonstrated strong site fidelity to the observed aggregation sites. At the same time, they also exhibited seasonal movements within an approximately 150 km long corridor between sites in the Dampier Strait and the northwest of Waigeo Island. Data analysed from a nearby array of six VR2W receivers in southern Raja Ampat (approximately 180 km to the south of the study area) confirmed that none of the tagged mantas were detected in this array, providing further evidence of strong site fidelity and limited movements within northern Raja Ampat. More than 96% of detections occurred during the daytime. The number of detections reached a peak around noon at Yefnabi Kecil and Eagle Rock and slightly earlier at Manta Ridge. These findings have been shared with the Raja Ampat Marine Protected Area Management Authority and are now being used in the formulation of a management plan for this vulnerable and economically important species to ensure the long-term health of Raja Ampat's reef mantas and the sustainability of manta tourism in the region.</t>
  </si>
  <si>
    <t>[Setyawan, Edy; Fischer, Andrew M.; Haddy, James A.] Univ Tasmania, Inst Marine &amp; Antarctic Studies, Hobart, Tas, Australia; [Setyawan, Edy; Lewis, Sarah A.] Sea Sanctuaries Trust, London, England; [Setyawan, Edy; Lewis, Sarah A.] Manta Trust Indonesian Manta Project, Bali, Indonesia; [Sianipar, Abraham B.; Mambrasar, Ronald] Conservat Int Indonesia Marine Program, Bali, Indonesia; [Erdmann, Mark, V] Conservat Int Asia Pacific Marine Programs, Wellington, New Zealand; [Beale, Calvin S.; Lewis, Sarah A.] Misool Manta Project, Raja Ampat, Indonesia</t>
  </si>
  <si>
    <t>University of Tasmania; Conservation International - Indonesia</t>
  </si>
  <si>
    <t>Setyawan, E (corresponding author), Univ Tasmania, Inst Marine &amp; Antarctic Studies, Hobart, Tas, Australia.;Setyawan, E (corresponding author), Sea Sanctuaries Trust, London, England.;Setyawan, E (corresponding author), Manta Trust Indonesian Manta Project, Bali, Indonesia.</t>
  </si>
  <si>
    <t>edysetyawan@gmail.com</t>
  </si>
  <si>
    <t>Setyawan, Edy/HZL-5003-2023; Setyawan, Edy/HKV-8474-2023</t>
  </si>
  <si>
    <t>Setyawan, Edy/0000-0001-6629-5997</t>
  </si>
  <si>
    <t>Allchin Family's Sunbridge Foundation; Wolcott Henry Foundation; Paine Family Trust; Australia Awards Scholarship</t>
  </si>
  <si>
    <t>The authors declare that they have no conflict of interest. Financial support for the fieldwork was generously provided by the Allchin Family's Sunbridge Foundation, the Wolcott Henry Foundation, Alex and Sybilla Balkanski, the Paine Family Trust, and an Australia Awards Scholarship to the first author. We would like to thank all of the staff at Conservation International Indonesia for their excellent support during fieldwork. We moreover thank the captain and crews of the MV Putiraja and the MV Inbekwan and the Yaswal for their tireless support of this fieldwork. Finally, we thank the traditional communities and the regency government of Raja Ampat, and especially the UPTD-BLUD Raja Ampat MPA Management Authority, for hosting and supporting this work. Special thanks to reviewers for their assistance and review during the process of this paper's publication.</t>
  </si>
  <si>
    <t>SARANSK FOND PODDERZKI &amp; RAZVITIA ZAPOVEDNYH</t>
  </si>
  <si>
    <t>SARANSK</t>
  </si>
  <si>
    <t>SUMMER LANE, BUILDING 4,, SARANSK, REPUBLIC OF MORDOVIA 430007, RUSSIA</t>
  </si>
  <si>
    <t>2500-008X</t>
  </si>
  <si>
    <t>NAT CONSERV RES</t>
  </si>
  <si>
    <t>Nat. Conserv. Res.</t>
  </si>
  <si>
    <t>10.24189/ncr.2018.043</t>
  </si>
  <si>
    <t>HE7HF</t>
  </si>
  <si>
    <t>Green Submitted, Green Accepted, gold</t>
  </si>
  <si>
    <t>WOS:000453601500002</t>
  </si>
  <si>
    <t>van Denderen, PD; Lindegren, M; MacKenzie, BR; Watson, RA; Andersen, KH</t>
  </si>
  <si>
    <t>van denderen, P. Daniel; Lindegren, Martin; MacKenzie, Brian R.; Watson, Reg A.; Andersen, Ken H.</t>
  </si>
  <si>
    <t>Global patterns in marine predatory fish</t>
  </si>
  <si>
    <t>NATURE ECOLOGY &amp; EVOLUTION</t>
  </si>
  <si>
    <t>OCEAN PRODUCTIVITY; NORTHEAST PACIFIC; ECOSYSTEMS; CARBON; SHELF; TEMPERATURE; FISHERIES; ATLANTIC; STABILITY; COMMUNITY</t>
  </si>
  <si>
    <t>Large teleost (bony) fish are a dominant group of predators in the oceans and constitute a major source of food and livelihood for humans. These species differ markedly in morphology and feeding habits across oceanic regions; large pelagic species such as tunas and billfish typically occur in the tropics, whereas demersal species of gadoids and flatfish dominate boreal and temperate regions. Despite their importance for fisheries and the structuring of marine ecosystems, the underlying factors determining the global distribution and productivity of these two groups of teleost predators are poorly known. Here, we show how latitudinal differences in predatory fish can essentially be explained by the inflow of energy at the base of the pelagic and benthic food chain. A low productive benthic energy pathway favours large pelagic species, whereas equal productivities support large demersal generalists that outcompete the pelagic specialists. Our findings demonstrate the vulnerability of large teleost predators to ecosystem-wide changes in energy flows and hence provide key insight to predict the responses of these important marine resources under global change.</t>
  </si>
  <si>
    <t>[van denderen, P. Daniel; Lindegren, Martin; MacKenzie, Brian R.; Andersen, Ken H.] Tech Univ Denmark, Natl Inst Aquat Resources, Ctr Ocean Life, Kemitorvet B-202, DK-2800 Lyngby, Denmark; [Watson, Reg A.] Univ Tasmania, Inst Marine &amp; Antarctic Studies, GPO Box 252-49, Hobart, Tas 7001, Australia; [Watson, Reg A.] Univ Tasmania, Ctr Marine Socioecol, Hobart, Tas 7004, Australia</t>
  </si>
  <si>
    <t>Technical University of Denmark; University of Tasmania; University of Tasmania</t>
  </si>
  <si>
    <t>van Denderen, PD (corresponding author), Tech Univ Denmark, Natl Inst Aquat Resources, Ctr Ocean Life, Kemitorvet B-202, DK-2800 Lyngby, Denmark.</t>
  </si>
  <si>
    <t>pdvd@aqua.dtu.dk</t>
  </si>
  <si>
    <t>van Denderen, Daniel/AAX-2673-2020; Watson, Reg A/F-4850-2012; MacKenzie, Brian R./T-9379-2019</t>
  </si>
  <si>
    <t>van Denderen, Daniel/0000-0001-6351-0241; Watson, Reg A/0000-0001-7201-8865; MacKenzie, Brian R./0000-0002-4798-0363; Andersen, Ken Haste/0000-0002-8478-3430; Lindegren, Martin/0000-0002-9185-951X</t>
  </si>
  <si>
    <t>Villum Foundation; European Union [609405]; VILLUM Young Investigator grant [13159]; Australian Research Council [DP140101377]; Villum Fonden [00013159, 00007178] Funding Source: researchfish</t>
  </si>
  <si>
    <t>Villum Foundation(Villum Fonden); European Union(European Union (EU)); VILLUM Young Investigator grant(Villum Fonden); Australian Research Council(Australian Research Council); Villum Fonden(Villum Fonden)</t>
  </si>
  <si>
    <t>We thank N. S. Jacobsen for help with the RAM Legacy Stock Assessment Database, C. A. Stock for advice on the energy fluxes, U. R. Sumaila for making the global fish prices available and H. van Someren Greve for Fig. 1,3 and 4 fish illustrations. P.D.v.D., M.L. and K.H.A. conducted the work within the Centre for Ocean Life-a Villum Kann Rasmussen Center of Excellence supported by the Villum Foundation. P.D.v.D. received funding from the People Programme (Marie Curie Actions) of the European Union's Seventh Framework Programme (FP7/2007-2013) under Research Executive Agency grant agreement number 609405 (COFUNDPostdocDTU). M.L. is supported by a VILLUM Young Investigator grant (13159). R.A.W. acknowledges support from the Australian Research Council (Discovery Project DP140101377).</t>
  </si>
  <si>
    <t>2397-334X</t>
  </si>
  <si>
    <t>NAT ECOL EVOL</t>
  </si>
  <si>
    <t>Nat. Ecol. Evol.</t>
  </si>
  <si>
    <t>10.1038/s41559-017-0388-z</t>
  </si>
  <si>
    <t>FY0PU</t>
  </si>
  <si>
    <t>WOS:000426514800012</t>
  </si>
  <si>
    <t>Jansen, J; Hill, NA; Dunstan, PK; McKinlay, J; Sumner, MD; Post, AL; Eléaume, MP; Armand, LK; Warnock, JP; Galton-Fenzi, BK; Johnson, CR</t>
  </si>
  <si>
    <t>Jansen, Jan; Hill, Nicole A.; Dunstan, Piers K.; McKinlay, John; Sumner, Michael D.; Post, Alexandra L.; Eleaume, Marc P.; Armand, Leanne K.; Warnock, Jonathan P.; Galton-Fenzi, Benjamin K.; Johnson, Craig R.</t>
  </si>
  <si>
    <t>Abundance and richness of key Antarctic seafloor fauna correlates with modelled food availability</t>
  </si>
  <si>
    <t>SOUTHERN-OCEAN SEDIMENTS; MERTZ GLACIER; DEEP-SEA; CONTINENTAL-MARGIN; EAST ANTARCTICA; TERRE ADELIE; ICE; DIATOM; SHELF; LAND</t>
  </si>
  <si>
    <t>Most seafloor communities at depths below the photosynthesis zone rely on food that sinks through the water column. However, the nature and strength of this pelagic-benthic coupling and its influence on the structure and diversity of seafloor communities is unclear, especially around Antarctica where ecological data are sparse. Here we show that the strength of pelagic-benthic coupling along the East Antarctic shelf depends on both physical processes and the types of benthic organisms considered. In an approach based on modelling food availability, we combine remotely sensed sea-surface chlorophyll-a, a regional ocean model and diatom abundances from sediment grabs with particle tracking and show that fluctuating seabed currents are crucial in the redistribution of surface productivity at the seafloor. The estimated availability of suspended food near the seafloor correlates strongly with the abundance of benthic suspension feeders, while the deposition of food particles correlates with decreasing suspension feeder richness and more abundant deposit feeders. The modelling framework, which can be modified for other regions, has broad applications in conservation and management, as it enables spatial predictions of key components of seafloor biodiversity over vast regions around Antarctica.</t>
  </si>
  <si>
    <t>[Jansen, Jan; Hill, Nicole A.; Johnson, Craig R.] Univ Tasmania, IMAS, Battery Point, Tas, Australia; [Jansen, Jan; McKinlay, John; Sumner, Michael D.; Galton-Fenzi, Benjamin K.] Australian Antarctic Div, Kingston, Tas, Australia; [Dunstan, Piers K.] CSIRO Marine &amp; Atmospher Res, Battery Point, Tas, Australia; [Sumner, Michael D.; Galton-Fenzi, Benjamin K.] Univ Tasmania, ACE CRC, Battery Point, Tas, Australia; [Post, Alexandra L.] Geosci Australia, Symonston, ACT, Australia; [Eleaume, Marc P.] Museum Natl Hist Nat, UMR ISYEB 7205, MNHN CNRS UPMC EPHE, Paris, France; [Armand, Leanne K.; Warnock, Jonathan P.] Macquarie Univ, Dept Biol Sci, MQ Marine Res Ctr, N Ryde, NSW, Australia; [Warnock, Jonathan P.] Indiana Univ Penn, Dept Geosci, Indiana, PA USA</t>
  </si>
  <si>
    <t>University of Tasmania; Australian Antarctic Division; Commonwealth Scientific &amp; Industrial Research Organisation (CSIRO); University of Tasmania; Geoscience Australia; Sorbonne Universite; Museum National d'Histoire Naturelle (MNHN); Macquarie University; Pennsylvania State System of Higher Education (PASSHE); Indiana University of Pennsylvania</t>
  </si>
  <si>
    <t>Jansen, J (corresponding author), Univ Tasmania, IMAS, Battery Point, Tas, Australia.;Jansen, J (corresponding author), Australian Antarctic Div, Kingston, Tas, Australia.</t>
  </si>
  <si>
    <t>jan.jansen@utas.edu.au</t>
  </si>
  <si>
    <t>Dunstan, Piers K/B-7309-2016; Sumner, Michael D/J-3478-2013; Hill, Nicole A/J-7856-2014; Armand, Leanne K/C-9004-2009; Jansen, Jan/O-8632-2014</t>
  </si>
  <si>
    <t>Post, Alexandra/0000-0002-6287-3283; Armand, Leanne/0000-0003-3995-308X; McKinlay, John/0000-0003-4858-2604; Jansen, Jan/0000-0001-5896-365X; Warnock, Jonathan/0000-0002-0900-613X; Galton-Fenzi, Benjamin Keith/0000-0003-1404-4103; Sumner, Michael/0000-0002-2471-7511</t>
  </si>
  <si>
    <t>US NSF East Asia and Pacific Summer Institutes; Australian Academy of Science Summer Fellowship at Macquarie University; Institut Polaire Francais Paul Emile Victor (IPEV); Antarctic program IPEV [1124 REVOLTA]; Museum national d'Histoire naturelle (MNHN); Tasmanian Graduate Research Scholarship; QAS Top-Up scholarship; Australian Antarctic Science project [4124]</t>
  </si>
  <si>
    <t>US NSF East Asia and Pacific Summer Institutes; Australian Academy of Science Summer Fellowship at Macquarie University; Institut Polaire Francais Paul Emile Victor (IPEV); Antarctic program IPEV; Museum national d'Histoire naturelle (MNHN); Tasmanian Graduate Research Scholarship; QAS Top-Up scholarship; Australian Antarctic Science project</t>
  </si>
  <si>
    <t>We thank B. Raymond, S. Wotherspoon and S. Foster for their ideas and support in the analysis of the data, E. Cougnon for her help with the ROMS, and S. Jansen and Jeroen Jansen for their help designing Fig. 1. C. Thun and B. Poignant (Geoscience Australia) prepared samples for the diatom analysis which was funded by a Joint US NSF East Asia and Pacific Summer Institutes and Australian Academy of Science Summer Fellowship at Macquarie University to J.P.W.C. Robineau (supported by Institut Polaire Francais Paul Emile Victor (IPEV) and the Antarctic program IPEV 1124 REVOLTA) and J. Delaplanque-Lasserre (supported by Museum national d'Histoire naturelle (MNHN)) scored the benthic images. We thank the captain, crew and scientific party of the RV Aurora Australis who obtained the samples during the CEAMARC program as part of the IPY #53 Census of Antarctic Marine Life program, with particular thanks to G. Hosie (CEMARC program leader) and M. Riddle (chief scientist on board the RV Aurora Australis). Coastline and glacial features for the figures are taken from the Antarctic Digital Database version 5. J. J. is supported by a Tasmanian Graduate Research Scholarship and a QAS Top-Up scholarship. A.L.P. publishes with the permission of the Chief Executive Officer, Geoscience Australia. This work was completed as part of Australian Antarctic Science project 4124.</t>
  </si>
  <si>
    <t>10.1038/s41559-017-0392-3</t>
  </si>
  <si>
    <t>WOS:000426514800013</t>
  </si>
  <si>
    <t>Pupo, FM; Britto, MR</t>
  </si>
  <si>
    <t>Pupo, Fabio M.; Britto, Marcelo R.</t>
  </si>
  <si>
    <t>Comparative gross encephalon morphology in Callichthyidae (Teleostei: Ostariophysi: Siluriformes)</t>
  </si>
  <si>
    <t>NEOTROPICAL ICHTHYOLOGY</t>
  </si>
  <si>
    <t>Brain; Comparative Morphology; Corydoras; Loricarioidea; Systematics</t>
  </si>
  <si>
    <t>ANTARCTIC NOTOTHENIOID FISHES; SENSE ORGAN ANATOMY; BRAIN MORPHOLOGY; PERCIFORMES; HISTOLOGY; PHYLOGENY; DIVERSIFICATION; MINIATURIZATION; EVOLUTION; CATFISHES</t>
  </si>
  <si>
    <t>Callichthyidae comprises the subfamilies Callichthyinae and Corydoradinae, both of which are morphologically distinct and monophyletic. Although there is consensus regarding the monophyly of the family, the relationships of about 80% of its species, currently included in the genus Corydoras, remain poorly known. Despite the vast amount of osteological information for Teleostei, knowledge regarding the phylogenetic implications of encephalon anatomy is sparse and represents a poorly explored source of potential characters. The present study aims to describe the encephalon morphology in members of the Callichthyidae in order to propose new characters that may help address phylogenetic questions regarding this group. In addition to representatives of Callichthyidae, specimens belonging to the Nematogenyidae, Trichomycteridae, Scoloplacidae, Astroblepidae and Loricariidae were dissected for comparative purposes. Head dissection revealed information on the structure of the medulla spinalis, rhombencephalon, mesencephalon, diencephalon and telencephalon. The conditions observed on the encephalons examined suggest that representatives of Callichthyidae have great taste perception and processing, while Corydoradinae stand out for visual acuity and Callichthyinae for mechanoreception processing subunits. Our results also indicate that the encephalon has important features for systematic studies of the family bringing greater resolution to current phylogenetic hypotheses.</t>
  </si>
  <si>
    <t>[Pupo, Fabio M.; Britto, Marcelo R.] Univ Fed Rio de Janeiro, Museu Nacl, Dept Vertebrados, Setor Ictiol, Quinta Boa Vista S-N, BR-20940040 Rio De Janeiro, RJ, Brazil</t>
  </si>
  <si>
    <t>Universidade Federal do Rio de Janeiro</t>
  </si>
  <si>
    <t>Pupo, FM (corresponding author), Univ Fed Rio de Janeiro, Museu Nacl, Dept Vertebrados, Setor Ictiol, Quinta Boa Vista S-N, BR-20940040 Rio De Janeiro, RJ, Brazil.</t>
  </si>
  <si>
    <t>fmpupo@gmail.com; mrbritto2002@yahoo.com.br</t>
  </si>
  <si>
    <t>Britto, Marcelo R/G-3889-2012</t>
  </si>
  <si>
    <t>Pupo, Fabio/0000-0002-2757-0295</t>
  </si>
  <si>
    <t>Edital Programa Institucional de Pesquisa nos Acervos da USP; Brazilian government via CAPES (Coordenacao de Aperfeicoamento de Pessoal de Nivel Superior, Ministerio da Educacao); CNPq (Conselho Nacional de Desenvolvimento Cientifico e Tecnologico, Ministerio de Ciencia e Tecnologia) [305955/2015-2]</t>
  </si>
  <si>
    <t>Edital Programa Institucional de Pesquisa nos Acervos da USP; Brazilian government via CAPES (Coordenacao de Aperfeicoamento de Pessoal de Nivel Superior, Ministerio da Educacao); CNPq (Conselho Nacional de Desenvolvimento Cientifico e Tecnologico, Ministerio de Ciencia e Tecnologia)(Conselho Nacional de Desenvolvimento Cientifico e Tecnologico (CNPQ))</t>
  </si>
  <si>
    <t>Most of the present study was conducted by the first author as a requirement for a Master's degree in Zoology at the Programa de Pos-graduacao em Ciencias Biologicas (Zoologia), Museu Nacional, Universidade Federal do Rio de Janeiro. We thank Jon Armbruster and Shobnom Ferdous (AUM), David Catania and Luiz Rocha (CAS), Francisco Langeani and Roselene Ferreira (DZSJRP), Claudio Oliveira (LBP), Carlos Lucena and Roberto Reis (MCP), Javier Maldonado Ocampo and Saul Prada (MPUJ), Herna ' n Ortega (MUSM), Alexandre Clistenes (MZFS), Fernando Jerep, Jose Birindelli and Oscar Shibatta (MZUEL), Mario de Pinna, Alessio Datovo, Osvaldo Oyakawa and Michel Gianetti (MZUSP) for loaning specimens. Photographs of encephalons were taken with an auto-stacking multifocus stereomicroscope at Setor de Herpetologia at Museu Nacional. This work was supported by the Brazilian government via CAPES (Coordenacao de Aperfeicoamento de Pessoal de Nivel Superior, Ministerio da Educacao) and CNPq (Conselho Nacional de Desenvolvimento Cientifico e Tecnologico, Ministerio de Ciencia e Tecnologia, to MRB: 305955/2015-2). MRB is also supported by a grant from Edital Programa Institucional de Pesquisa nos Acervos da USP.</t>
  </si>
  <si>
    <t>SOC BRASILEIRA ICTIOLOGIA</t>
  </si>
  <si>
    <t>SAO PAULO</t>
  </si>
  <si>
    <t>UNIV SAO PAULO, DEPT FISIOLOGIA-IB, RUA DO MATAO, TRAVESSA 14 N 321, SAO PAULO, SP 05508-900, BRAZIL</t>
  </si>
  <si>
    <t>1679-6225</t>
  </si>
  <si>
    <t>NEOTROP ICHTHYOL</t>
  </si>
  <si>
    <t>Neotrop. Ichthyol.</t>
  </si>
  <si>
    <t>e170162</t>
  </si>
  <si>
    <t>10.1590/1982-0224-20170162</t>
  </si>
  <si>
    <t>GY8ZG</t>
  </si>
  <si>
    <t>WOS:000448927500001</t>
  </si>
  <si>
    <t>Ropars, P; Comeau, É; Lee, WG; Boudreau, S</t>
  </si>
  <si>
    <t>Ropars, Pascale; Comeau, Elisabeth; Lee, William G.; Boudreau, Stephane</t>
  </si>
  <si>
    <t>Biome transition in a changing world: from indigenous grasslands to shrub-dominated communities</t>
  </si>
  <si>
    <t>NEW ZEALAND JOURNAL OF ECOLOGY</t>
  </si>
  <si>
    <t>aerial photographs; Glendhu State Forest; grasslands; Leptospermum scoparium; model selection; shrub expansion; topography</t>
  </si>
  <si>
    <t>WOODY PLANT ENCROACHMENT; AKAIKES-INFORMATION-CRITERION; NORTH-AMERICAN GRASSLANDS; ANTARCTIC CAMPBELL ISLAND; SNOW TUSSOCK GRASSLAND; SOUTHERN NEW-MEXICO; NEW-ZEALAND; SEMIARID GRASSLANDS; VEGETATION CHANGE; DESERT GRASSLAND</t>
  </si>
  <si>
    <t>Shrub encroachment in grassland environments is observed in many regions worldwide. However, in New Zealand, there is no consensus on the trend and magnitude of this phenomenon, and we lack empirical data to determine what environmental variables may promote shrub invasion. Here, we present a comprehensive study evaluating shrub cover change in a tussock water catchment in eastern Otago, New Zealand. Specifically, we aim to quantify shrub cover change in the catchment between 1980 and 2015, to identify the shrub species involved and to determine the environmental variables that promote shrub cover change in the studied area. Using aerial photographic records over a 35-year period, we found a 29% increase in shrub cover (from 10.5% in 1980 to 39.5% in 2015 -a 3.8-fold increase in 35 years). According to ground truthing, this shrub expansion was mainly associated with an increase in manuka (Leptospermum scoparium) cover. Using model selection with Akaike Information Criterion, we found that the best model explaining shrub cover change in the studied tussock catchment included multiple environmental variables. Among these, initial shrub cover and elevation negatively impacted shrub cover increase within the study area, whereas slope had a positive influence, especially on the north-and east-facing aspects. Overall, shrub cover change was mostly observed in low-elevation gullies (&lt; 500 metres elevation) with steep slopes, where manuka is known to have optimal growth conditions. However, further shrub cover expansion may be slow as most of the available space is now restricted to poorly drained spurs at higher elevation (&gt; 650 metres elevation).</t>
  </si>
  <si>
    <t>[Ropars, Pascale] Univ Quebec Rimouski, Chaire Rech Canada Biodiversite Nord, 300 Allee Ursulincs, Rimouski, PQ G5L 3A1, Canada; [Ropars, Pascale] Univ Quebec Rimouski, Dept Biol Chim &amp; Geog, 300 Allee Ursulincs, Rimouski, PQ G5L 3A1, Canada; [Ropars, Pascale; Comeau, Elisabeth; Boudreau, Stephane] Univ Laval, Ctr Etud Nord, 2405 Rue Terrasse, Quebec City, PQ G1V 0A6, Canada; [Boudreau, Stephane] Univ Laval, Dept Biol, 1045 Ave Med, Quebec City, PQ G1V 0A6, Canada; [Lee, William G.] Landcare Res, Private Bag 1930, Dunedin 9054, New Zealand; [Lee, William G.] Univ Auckland, Sch Biol Sci, Private Bag 92019, Auckland 1010, New Zealand</t>
  </si>
  <si>
    <t>University of Quebec; Universite du Quebec a Rimouski; University of Quebec; Universite du Quebec a Rimouski; Laval University; Laval University; Landcare Research - New Zealand; University of Auckland</t>
  </si>
  <si>
    <t>Ropars, P (corresponding author), Univ Quebec Rimouski, Chaire Rech Canada Biodiversite Nord, 300 Allee Ursulincs, Rimouski, PQ G5L 3A1, Canada.;Ropars, P (corresponding author), Univ Quebec Rimouski, Dept Biol Chim &amp; Geog, 300 Allee Ursulincs, Rimouski, PQ G5L 3A1, Canada.;Ropars, P (corresponding author), Univ Laval, Ctr Etud Nord, 2405 Rue Terrasse, Quebec City, PQ G1V 0A6, Canada.</t>
  </si>
  <si>
    <t>pascale.ropars@uqar.ca</t>
  </si>
  <si>
    <t>Lee, William/KHX-0414-2024; Boudreau, Stephane/I-7838-2012</t>
  </si>
  <si>
    <t>Boudreau, Stephane/0000-0002-1035-6452</t>
  </si>
  <si>
    <t>Natural Sciences and Engineering Research Council of Canada (NSERC); Fonds de Recherche Quebec - Nature et Technologies (FRQNT)</t>
  </si>
  <si>
    <t>Natural Sciences and Engineering Research Council of Canada (NSERC)(Natural Sciences and Engineering Research Council of Canada (NSERC)); Fonds de Recherche Quebec - Nature et Technologies (FRQNT)</t>
  </si>
  <si>
    <t>This research was funded by Natural Sciences and Engineering Research Council of Canada (NSERC) and by the Fonds de Recherche Quebec - Nature et Technologies (FRQNT). The authors are grateful to Stella Belliss for her valuable help with aerial image analyses and to Emilie Saulnier-Talbot for linguistic revision. We also thank the current land owners, Rayonier New Zealand (Matariki Forests), and especially Steve Chandler for enabling access to the study site.</t>
  </si>
  <si>
    <t>NEW ZEALAND ECOL SOC</t>
  </si>
  <si>
    <t>CHRISTCHURCH</t>
  </si>
  <si>
    <t>PO BOX 25178, CHRISTCHURCH, NEW ZEALAND</t>
  </si>
  <si>
    <t>0110-6465</t>
  </si>
  <si>
    <t>1177-7788</t>
  </si>
  <si>
    <t>NEW ZEAL J ECOL</t>
  </si>
  <si>
    <t>N. Z. J. Ecol.</t>
  </si>
  <si>
    <t>10.20417/nzjecol.42.26</t>
  </si>
  <si>
    <t>Ecology</t>
  </si>
  <si>
    <t>GV0BK</t>
  </si>
  <si>
    <t>WOS:000445720800015</t>
  </si>
  <si>
    <t>Morozov, EG</t>
  </si>
  <si>
    <t>Morozov, Eugene G.</t>
  </si>
  <si>
    <t>Observations of Internal Tides in the Atlantic Ocean</t>
  </si>
  <si>
    <t>OCEANIC INTERNAL TIDES: OBSERVATIONS, ANALYSIS AND MODELING: A GLOBAL VIEW</t>
  </si>
  <si>
    <t>WESTERN BOUNDARY CURRENT; ANTARCTIC BOTTOM WATER; TIDAL ENERGY; SHELF BREAK; SOLITARY WAVE; MALIN SHELF; STRAIT; GENERATION; BAY; MODEL</t>
  </si>
  <si>
    <t>This chapter describes the measurements of internal tides in the Atlantic Ocean and in the Mediterranean Sea together with modeling of the generation and propagation of internal tides in some important regions of the Atlantic Ocean. The generation of internal tides is associated with the interaction of the currents of the barotropic tide with the slopes of the bottom topography. One of the most important ideas presented here is the strong generation of internal tides over submarine ridges. The generation and propagation of internal tides in the Strait of Gibraltar where the strongest internal tides on the globe exist are described. The generation of internal tides over the Mid-Atlantic Ridge in the South Atlantic is demonstrated on the basis of measurements in several regions near the ridge. The measurements reveal strong internal tides in Biscay Bay. Weaker internal tides are found in the Sargasso Sea. Measurements of internal tides on mooring clusters confirm the well known fact that internal tides are generated over the bottom slopes.</t>
  </si>
  <si>
    <t>[Morozov, Eugene G.] Russian Acad Sci, Dept Phys, Shirshov Inst Oceanol, Moscow, Russia</t>
  </si>
  <si>
    <t>Morozov, EG (corresponding author), Russian Acad Sci, Dept Phys, Shirshov Inst Oceanol, Moscow, Russia.</t>
  </si>
  <si>
    <t>Morozov, Eugene G/L-3023-2018</t>
  </si>
  <si>
    <t>978-3-319-73159-9; 978-3-319-73158-2</t>
  </si>
  <si>
    <t>10.1007/978-3-319-73159-9_2</t>
  </si>
  <si>
    <t>10.1007/978-3-319-53856-3</t>
  </si>
  <si>
    <t>BL3KT</t>
  </si>
  <si>
    <t>WOS:000449827000003</t>
  </si>
  <si>
    <t>Properties of Internal Tides</t>
  </si>
  <si>
    <t>ANTARCTIC BOTTOM WATER; COASTAL GENERATION; CONTINENTAL-SLOPE; BAROCLINIC TIDES; WAVES; CIRCULATION; ATLANTIC; ENERGY; DISSIPATION; PROPAGATION</t>
  </si>
  <si>
    <t>This chapter describes some important properties of internal tides. The diurnal and semidiurnal spectral peaks related to the internal tides consist of separate waves with close frequencies. Internal tides are modulated due to the spring-neap variability of the barotropic tide that generates them. Strong internal tides usually have mode structure, which is considered here on the basis of field measurements. Fluctuations of currents at a semidiurnal frequency consist of the currents induced by the barotropic tide and internal tide. The methods for separating them are considered. The beam propagation of internal tides near the generation regions of submarine slopes is considered. The long distance propagation of internal tides and decay of their energy are analyzed based on observations and modeling. Mixing induced by internal tides influences the propagation of Antarctic Bottom Water to the north in the Atlantic Ocean.</t>
  </si>
  <si>
    <t>10.1007/978-3-319-73159-9_7</t>
  </si>
  <si>
    <t>WOS:000449827000008</t>
  </si>
  <si>
    <t>Chiang, JCH; Tokos, KS; Lee, SY; Matsumoto, K</t>
  </si>
  <si>
    <t>Chiang, John C. H.; Tokos, K. S.; Lee, S. -Y.; Matsumoto, K.</t>
  </si>
  <si>
    <t>Contrasting Impacts of the South Pacific Split Jet and the Southern Annular Mode Modulation on Southern Ocean Circulation and Biogeochemistry</t>
  </si>
  <si>
    <t>PALEOCEANOGRAPHY AND PALEOCLIMATOLOGY</t>
  </si>
  <si>
    <t>Southern Ocean; westerlies; ocean biogeochemistry</t>
  </si>
  <si>
    <t>ATMOSPHERIC CO2 VARIATIONS; LAST GLACIAL TERMINATION; ANTARCTIC COLD REVERSAL; NEW-ZEALAND; CLIMATE-CHANGE; YOUNGER DRYAS; NORTH PACIFIC; WIND CHANGES; DEEP-OCEAN; HEMISPHERE</t>
  </si>
  <si>
    <t>A recent hypothesis postulated that paleoclimate changes to the Southern Hemisphere westerlies were characterized by the modulation of the wintertime South Pacific Split Jet. We explore this hypothesis further through simulating changes to the ocean circulation from Split Jet modulation, contrasting them against changes associated with the wintertime Southern Annular Mode (SAM). Three responses distinguish the Split Jet from the SAM impact on ocean circulation. (i) A weaker Split Jet strengthens the South Pacific subtropical gyre, leading to stronger western boundary currents and warming of the sea surface temperatures (SSTs) surrounding New Zealand. (ii) A positive SAM leads to an increase in the Antarctic Circumpolar Current and specifically Drake Passage throughflow. And (iii) a weaker Split Jet leads to increased formation of Subantartic Mode Water, whereas a positive SAM leads to increased Antarctic Intermediate Water. Both a weaker Split Jet and positive SAM lead to increased Southern Ocean meridional overturning circulation, though it is more pronounced for the latter. However, enhanced ventilation of deep water in both cases increases atmospheric pCO(2) by only 1-3ppm, because the associated cooling and efficient nutrient utilization in the model effectively negates the venting of deep ocean carbon. Both a weaker Split Jet and positive SAM enhance oxygenation of the deep ocean and intermediate waters but diminish oxygenation of the eastern equatorial Pacific. Our results provide guidance to distinguish SAM-like changes from Split Jet-like changes in paleoceanographic records, and we discuss the case of early deglacial transition to Heinrich 1.</t>
  </si>
  <si>
    <t>[Chiang, John C. H.] Univ Calif Berkeley, Dept Geog, Berkeley, CA 94720 USA; [Chiang, John C. H.] Univ Calif Berkeley, Berkeley Atmospher Sci Ctr, Berkeley, CA 94720 USA; [Tokos, K. S.; Matsumoto, K.] Univ Minnesota, Dept Earth Sci, Minneapolis, MN USA; [Lee, S. -Y.] Acad Sinica, Res Ctr Environm Changes, Taipei, Taiwan</t>
  </si>
  <si>
    <t>University of California System; University of California Berkeley; University of California System; University of California Berkeley; University of Minnesota System; University of Minnesota Twin Cities; Academia Sinica - Taiwan</t>
  </si>
  <si>
    <t>Chiang, JCH (corresponding author), Univ Calif Berkeley, Dept Geog, Berkeley, CA 94720 USA.;Chiang, JCH (corresponding author), Univ Calif Berkeley, Berkeley Atmospher Sci Ctr, Berkeley, CA 94720 USA.</t>
  </si>
  <si>
    <t>jch_chiang@berkeley.edu</t>
  </si>
  <si>
    <t>Chiang, John/AAK-6169-2021; LEE, SHIH-YU/AAP-3128-2021; Matsumoto, Katsumi/X-3706-2018</t>
  </si>
  <si>
    <t>LEE, SHIH-YU/0000-0001-8484-3846; Matsumoto, Katsumi/0000-0002-5832-9592</t>
  </si>
  <si>
    <t>National Science Foundation [1537496, 1537105]; National Science Foundation; Directorate For Geosciences [1537496] Funding Source: National Science Foundation; Division Of Ocean Sciences [1537496] Funding Source: National Science Foundation</t>
  </si>
  <si>
    <t>National Science Foundation(National Science Foundation (NSF)); National Science Foundation(National Science Foundation (NSF)); Directorate For Geosciences(National Science Foundation (NSF)NSF - Directorate for Geosciences (GEO)); Division Of Ocean Sciences(National Science Foundation (NSF)NSF - Directorate for Geosciences (GEO))</t>
  </si>
  <si>
    <t>The CESM forcing files and model output used is available for download at https://doi.org/10.6078/D1PM3T (Chiang et al., 2017). This work was funded by National Science Foundation grant 1537496 to J. C. H. C. and National Science Foundation grant 1537105 to K. M. The Community Earth System Model was developed by the National Center for Atmospheric Research (NCAR). We thank Keith Lindsay at NCAR for providing the ocean biogeochemistry module used in our model simulations. We acknowledge high-performance computing support for the CESM simulations from the Yellowstone cluster (ark:/85065/d7wd3xhc) provided by NCAR's Computational and Information Systems Laboratory, sponsored by the National Science Foundation. The CORE v2 data are obtained from a website hosted by the Geophysical Fluid Dynamics Laboratory: http://data1.gfdl.noaa.gov/nomads/forms/core/COREv2.html. The Southern Annular Mode index used to compare against the wind EOF2 time series in section 3 was obtained from the NOAA CPC website: http://www.cpc.ncep.noaa.gov/products/precip/CWlink/daily_ao_index/aao/aao.shtml.</t>
  </si>
  <si>
    <t>2572-4525</t>
  </si>
  <si>
    <t>PALEOCEANOGR PALEOCL</t>
  </si>
  <si>
    <t>Paleoceanogr. Paleoclimatology</t>
  </si>
  <si>
    <t>10.1002/2017PA003229</t>
  </si>
  <si>
    <t>Geosciences, Multidisciplinary; Oceanography; Paleontology</t>
  </si>
  <si>
    <t>Geology; Oceanography; Paleontology</t>
  </si>
  <si>
    <t>FY2OA</t>
  </si>
  <si>
    <t>Bronze, Green Submitted</t>
  </si>
  <si>
    <t>WOS:000426654000001</t>
  </si>
  <si>
    <t>Delord, K; Cherel, Y; Barbraud, C; Chastel, O; Weimerskirch, H</t>
  </si>
  <si>
    <t>Delord, Karine; Cherel, Yves; Barbraud, Christophe; Chastel, Olivier; Weimerskirch, Henri</t>
  </si>
  <si>
    <t>High variability in migration and wintering strategies of brown skuas (Catharacta antarctica lonnbergi) in the Indian Ocean</t>
  </si>
  <si>
    <t>POLAR BIOLOGY</t>
  </si>
  <si>
    <t>Activity; Feather; Geolocator; Intraspecific strategies; Phenology; Stable isotopes</t>
  </si>
  <si>
    <t>TRANS-EQUATORIAL MIGRATION; TERNS STERNA-PARADISAEA; STABLE-ISOTOPES REVEAL; BODY FEATHERS; HABITAT USE; POPULATION-DYNAMICS; TRACKING SEABIRDS; MERCURY EXPOSURE; FEEDING ECOLOGY; PELAGIC SEABIRD</t>
  </si>
  <si>
    <t>Movements of brown skuas (Catharacta antarctica lonnbergi) originating from two populations in the southern Indian Ocean were studied during the nonbreeding period using geolocation. A total of 33 individuals were equipped resulting in 34 annual tracks recovered from 50 deployments. Brown skuas varied extensively in their post-breeding movements, from true long range migrations to reach distant wintering zones, to short movements in the vicinity of breeding grounds. Overall, brown skuas migrated northward to overwinter in different areas in the southern hemisphere; individuals remained in the Indian Ocean, except two that overwintered in the Benguela Current (Atlantic Ocean). Wintering grounds were generally situated in productive dynamic upwelling waters or frontal systems. Brown skuas avoided the less productive area of the South Subtropical Gyre in the Central Indian Ocean. Individuals clearly differed in migratory strategies, targeting areas in a continuum from the sub-Antarctic to the tropics. Inter-individual differences were not sex-dependent. The migration dates varied between sexes with females leaving the breeding sites earlier and returning later compared to males. The duration of migration depended on wintering area and sex. Males had shorter migrations than females, regardless of the wintering area. Isotopic signatures clearly indicated that birds moulted in the wintering area and during migration. The low delta N-15 values of feathers that grew in mixed subtropical-sub-Antarctic waters suggest that skuas fed on low trophic level prey in these areas. The origin and consequences of such strong inter-individual variation in migratory strategies requires further investigation.</t>
  </si>
  <si>
    <t>[Delord, Karine; Cherel, Yves; Barbraud, Christophe; Chastel, Olivier; Weimerskirch, Henri] Univ La Rochelle, Ctr Etud Biol Chize, CNRS, UMR 7372, F-79360 Villiers En Bois, France</t>
  </si>
  <si>
    <t>Centre National de la Recherche Scientifique (CNRS); CNRS - Institute of Ecology &amp; Environment (INEE); La Rochelle Universite</t>
  </si>
  <si>
    <t>Delord, K (corresponding author), Univ La Rochelle, Ctr Etud Biol Chize, CNRS, UMR 7372, F-79360 Villiers En Bois, France.</t>
  </si>
  <si>
    <t>karine.delord@cebc.cnrs.fr</t>
  </si>
  <si>
    <t>Weimerskirch, Henri/F-5562-2013; Weimerskirch, Henri/K-7306-2019; Barbraud, Christophe/A-5870-2012</t>
  </si>
  <si>
    <t>Weimerskirch, Henri/0000-0002-0457-586X; Barbraud, Christophe/0000-0003-0146-212X</t>
  </si>
  <si>
    <t>IPEV [109]; Prince Albert II de Monaco Foundation; ANR POLARTOP Program</t>
  </si>
  <si>
    <t>IPEV; Prince Albert II de Monaco Foundation; ANR POLARTOP Program(Agence Nationale de la Recherche (ANR))</t>
  </si>
  <si>
    <t>The authors thank many field workers, namely K Coustaut, N El Ksabi, O Gore, T Gouello, T Lacombe, M Loubon, M Passerault, R Perdriat, A Perot, B Planade, A Prudor, F Theron. We also thank S Ruault for molecular sexing, M Brault-Favrou for preparing feather samples and G Guillou for running stable isotope analysis. We are grateful to R Phillips, British Antarctic Survey, Cambridge, for providing loggers and to H Demarcq and P Lehodey for valuable insights into oceanographic characteristics of Indian Ocean. The authors would also like to thank three anonymous referees and D Piepenburg for helpful reviews and constructive suggestions to improve the manuscript. We are grateful to R Reisinger for kindly revising the English of this manuscript. The Ethics Committee of IPEV and Comite Environnement Polaire approved the field procedures. The study was supported by IPEV (programme No 109, PI: H. Weimerskirch), with additional funding from the Prince Albert II de Monaco Foundation and the ANR POLARTOP Program (PI: O Chastel).</t>
  </si>
  <si>
    <t>0722-4060</t>
  </si>
  <si>
    <t>1432-2056</t>
  </si>
  <si>
    <t>POLAR BIOL</t>
  </si>
  <si>
    <t>Polar Biol.</t>
  </si>
  <si>
    <t>10.1007/s00300-017-2169-1</t>
  </si>
  <si>
    <t>FR1PM</t>
  </si>
  <si>
    <t>Green Published</t>
  </si>
  <si>
    <t>WOS:000418839500005</t>
  </si>
  <si>
    <t>Cipro, CVZ; Cherel, Y; Bocher, P; Caurant, F; Miramand, P; Bustamante, P</t>
  </si>
  <si>
    <t>Cipro, Caio V. Z.; Cherel, Y.; Bocher, P.; Caurant, F.; Miramand, P.; Bustamante, P.</t>
  </si>
  <si>
    <t>Trace elements in invertebrates and fish from Kerguelen waters, southern Indian Ocean</t>
  </si>
  <si>
    <t>Plankton; Myctophid; Food web; Metals; Trace elements; Kerguelen</t>
  </si>
  <si>
    <t>HEAVY-METAL CONCENTRATIONS; SILVERFISH PLEURAGRAMMA-ANTARCTICUM; PERSISTENT ORGANIC POLLUTANTS; KING GEORGE ISLAND; STABLE-ISOTOPES; MERCURY CONCENTRATIONS; FOOD-WEB; TROPHIC POSITION; FEEDING ECOLOGY; ICEFISHES CHANNICHTHYIDAE</t>
  </si>
  <si>
    <t>Given the lack of background data on essential and non-essential trace elements in invertebrates and fish known to be the predominant prey of marine mammals and seabirds breeding at the Kerguelen Islands, this study intends to provide these results of great influence for predators in higher trophic levels. To this end, plankton organisms (9 species/4 phyla), mollusks (2 bivalves and 2 squid species) and fishes (8 benthic and 10 pelagic species) from Kerguelen waters were analysed for cadmium (Cd), copper (Cu), mercury (Hg) and zinc (Zn). Individual concentrations of non-essential elements (particularly Cd) showed larger variation in comparison with essential ones likely due to their homeostasis. Thus Cd ranged over 4 orders of magnitude; however, Hg ranged only 1, without significant correlation to trophic level. Instead, ecological parameters (benthic/mesopelagic habitat and feeding ecology) showed a more important influence on the results. Concerning seashore organisms, bivalves collected inside the Gulf of Morbihan had higher Cd concentrations compared to those from the Kerguelen shelf, suggesting a local source of Cd, such as runoff water from bird colonies. Comparison with the literature showed metal concentrations in invertebrates and fishes from Kerguelen Islands somewhat lower than those in the Antarctic area, with Hg prevailing in benthic species and Cd in pelagic ones. In contrast to Hg, Cd values of squids, jellyfish and the amphipod Themisto gaudichaudii were significantly higher than all other species. Finally, top predators foraging in this area that can be subject to potentially high Hg and Cd exposure through their diet at Kerguelen are reviewed.</t>
  </si>
  <si>
    <t>[Cipro, Caio V. Z.; Bocher, P.; Caurant, F.; Miramand, P.; Bustamante, P.] Univ La Rochelle, Littoral Environm &amp; Soc LIENSs, CNRS, UMR 7266, 2 Rue Olympe Gouges, F-17042 La Rochelle 01, France; [Cipro, Caio V. Z.] Univ Sao Paulo, Inst Oceanog, Lab Quim Organ Marinha, BR-05508120 Sao Paulo, SP, Brazil; [Cherel, Y.] Univ La Rochelle, Ctr Etud Biol Chize, CNRS, UMR 7372, BP 14, F-79360 Villiers En Bois, France</t>
  </si>
  <si>
    <t>La Rochelle Universite; Centre National de la Recherche Scientifique (CNRS); Universidade de Sao Paulo; La Rochelle Universite; Centre National de la Recherche Scientifique (CNRS); CNRS - Institute of Ecology &amp; Environment (INEE)</t>
  </si>
  <si>
    <t>Cipro, CVZ (corresponding author), Univ La Rochelle, Littoral Environm &amp; Soc LIENSs, CNRS, UMR 7266, 2 Rue Olympe Gouges, F-17042 La Rochelle 01, France.;Cipro, CVZ (corresponding author), Univ Sao Paulo, Inst Oceanog, Lab Quim Organ Marinha, BR-05508120 Sao Paulo, SP, Brazil.</t>
  </si>
  <si>
    <t>caiovzc@usp.br</t>
  </si>
  <si>
    <t>Bustamante, Paco/G-5833-2011; Zecchin Cipro, Caio Vinicius/C-6338-2014</t>
  </si>
  <si>
    <t>Bustamante, Paco/0000-0003-3877-9390; Zecchin Cipro, Caio Vinicius/0000-0002-7028-6353</t>
  </si>
  <si>
    <t>Agence Nationale de la Recherche (Program POLARTOP); Institut Paul Emile Victor(IPEV) [109]; Terres Australes et Antarctiques Francaises (TAAF); CPER (Contrat de Projet Etat-Region); University of La Rochelle; CNRS (French acronym for National Council of Scientific Research); CAPES (Coordination for the Improvement of Higher Education Personnel via the Science without Borders programme, Brazil); FAPESP (Sao Paulo Research Foundation, Brazil); IUF (Institut Universitaire de France)</t>
  </si>
  <si>
    <t>Agence Nationale de la Recherche (Program POLARTOP)(Agence Nationale de la Recherche (ANR)); Institut Paul Emile Victor(IPEV); Terres Australes et Antarctiques Francaises (TAAF); CPER (Contrat de Projet Etat-Region); University of La Rochelle; CNRS (French acronym for National Council of Scientific Research); CAPES (Coordination for the Improvement of Higher Education Personnel via the Science without Borders programme, Brazil); FAPESP (Sao Paulo Research Foundation, Brazil)(Fundacao de Amparo a Pesquisa do Estado de Sao Paulo (FAPESP)); IUF (Institut Universitaire de France)</t>
  </si>
  <si>
    <t>We thank G. Duhamel and the crew of the RV 'La Curieuse' for their help in the collection of the fish specimens. This work was financially supported by the Agence Nationale de la Recherche (Program POLARTOP, O. Chastel), the Institut Paul Emile Victor(IPEV, Programme No. 109, H. Weimerskirch), the Terres Australes et Antarctiques Francaises (TAAF) and the CPER (Contrat de Projet Etat-Region) for funding the AMA of the Plateforme Analyses Elementaires of LIENSs. C.V.Z. Cipro was supported financially through a post-doctoral grant from the University of La Rochelle and the CNRS (French acronym for National Council of Scientific Research), and also scholarships from CAPES (Coordination for the Improvement of Higher Education Personnel via the Science without Borders programme, Brazil) and FAPESP (Sao Paulo Research Foundation, Brazil) during the course of this work and its publication. The IUF (Institut Universitaire de France) is acknowledged for its support to Paco Bustamante.</t>
  </si>
  <si>
    <t>233 SPRING ST, NEW YORK, NY 10013 USA</t>
  </si>
  <si>
    <t>10.1007/s00300-017-2180-6</t>
  </si>
  <si>
    <t>WOS:000418839500016</t>
  </si>
  <si>
    <t>Smykla, J; Szarek-Gwiazda, E; Drewnik, M; Knap, W; Emslie, SD</t>
  </si>
  <si>
    <t>Smykla, Jerzy; Szarek-Gwiazda, Ewa; Drewnik, Marek; Knap, Wieslaw; Emslie, Steven D.</t>
  </si>
  <si>
    <t>Natural variability of major and trace elements in non-ornithogenic Gelisoils at Edmonson Point, northern Victoria Land, Antarctica</t>
  </si>
  <si>
    <t>POLISH POLAR RESEARCH</t>
  </si>
  <si>
    <t>Antarctic; Victoria Land; soil; pedogenesis; weathering; geochemistry; natural background</t>
  </si>
  <si>
    <t>KING-GEORGE ISLAND; SOUTH-SHETLAND ISLANDS; ROSS SEA REGION; TERRA-NOVA BAY; METAL CONTAMINATION; LIVINGSTON ISLAND; FILDES PENINSULA; BIOTIC FACTORS; SOILS; SEDIMENTS</t>
  </si>
  <si>
    <t>Antarctica is perceived as one of the most pristine environments on Earth, though increasing human activities and global climate change raise concerns about preserving the continent's environmental quality. Limited in distribution, soils are particularly vulnerable to disturbances and pollution, yet lack of baseline studies limits our abilities to recognize and monitor adverse effects of environmental change. To improve the understanding of natural geochemical variability of soils, a survey was conducted in the fellfield environments of Edmonson Point (Victoria Land). Soil samples were analyzed for six major (Fe, Ca, Mg, Na, K and Ti) and 24 trace elements (As, Ba, Be, Bi, Cd, Co, Cr, Cs, Cu, Ga, Li, Mn, Mo, Ni, Pb, Rb, Sn, Sr, Tl, U, V, Y, Zn and Zr). Relationships among element concentrations in the samples and local bedrock were analyzed to identify their origin and similarities in geochemical cycles. Element concentrations in the soils were highly variable but generally within the lowest values reported elsewhere in Antarctica. Though values of Cd, Mn, Ni and Zn were relatively high, they are consistent with those in the local soil-forming rocks indicating an origin from natural sources rather than anthropogenic contamination. Chemical composition of soils vs. rocks pointed to alkali basalts as the lithogenic source of the soil matrix, but also indicated considerable alteration of elemental composition in the soil. Considering local environmental settings, the soil elemental content was likely affected by marine-derived inputs and very active hydrological processes which enhanced leaching and removal of mobilized elements. Both of these processes may be of particular importance within the context of global climate change as the predicted increases in temperature, water availability and length of the summer season would favor mineral weathering and increase geochemical mobility of elements.</t>
  </si>
  <si>
    <t>[Smykla, Jerzy; Szarek-Gwiazda, Ewa] Polish Acad Sci, Inst Nat Conservat, Mickiewicza 33, PL-31120 Krakow, Poland; [Smykla, Jerzy; Emslie, Steven D.] Univ North Carolina Wilmington, Dept Biol &amp; Marine Biol, 601 S Coll Rd, Wilmington, NC 28403 USA; [Drewnik, Marek] Jagiellonian Univ, Inst Geog &amp; Spatial Management, Dept Pedol &amp; Soil Geog, Gronostajowa 7, Krakow, Poland; [Knap, Wieslaw] AGH Univ Sci &amp; Technol, Fac Geol Geophys &amp; Environm Protect, Dept Hydrogeol &amp; Geol Engn, Mickiewicza 30, PL-30059 Krakow, Poland</t>
  </si>
  <si>
    <t>Polish Academy of Sciences; University of North Carolina; University of North Carolina Wilmington; Jagiellonian University; AGH University of Krakow</t>
  </si>
  <si>
    <t>Smykla, J (corresponding author), Polish Acad Sci, Inst Nat Conservat, Mickiewicza 33, PL-31120 Krakow, Poland.;Smykla, J (corresponding author), Univ North Carolina Wilmington, Dept Biol &amp; Marine Biol, 601 S Coll Rd, Wilmington, NC 28403 USA.</t>
  </si>
  <si>
    <t>smykla@iop.krakow.pl</t>
  </si>
  <si>
    <t>; Smykla, Jerzy/N-3288-2014</t>
  </si>
  <si>
    <t>Drewnik, Marek/0000-0001-7400-2103; Knap, Wieslaw/0000-0001-7058-8733; Smykla, Jerzy/0000-0001-8228-6695; Szarek-Gwiazda, Ewa/0000-0001-6999-8401</t>
  </si>
  <si>
    <t>Polish Ministry of Science and Higher Education within the program Supporting International Mobility of Scientists; National Science Foundation [ANT 0739575]; [2P04F00127]; [NN305376438]</t>
  </si>
  <si>
    <t>Polish Ministry of Science and Higher Education within the program Supporting International Mobility of Scientists; National Science Foundation(National Science Foundation (NSF)); ;</t>
  </si>
  <si>
    <t>We would like to express our special thanks to Larry Coats for comradeship and assistance during the field survey, and to personnel of the U.S. Antarctic Program at McMurdo Station and the Italian National Program for Antarctic Research (PNRA) at Mario Zucchelli Station at Terra Nova Bay for logistical aid. We would also like to thank three anonymous referees for their valuable suggestions and constructive comments on the manuscript. This work was completed within the project of the senior author funded by the Polish Ministry of Science and Higher Education within the program Supporting International Mobility of Scientists and within grant nos. 2P04F00127 and NN305376438. The field survey was made possible with funding to S. Emslie from the National Science Foundation (ANT 0739575) and through logistical support from Raytheon Polar Services.</t>
  </si>
  <si>
    <t>POLSKA AKAD NAUK, POLISH ACAD SCIENCES</t>
  </si>
  <si>
    <t>WARSZAWA</t>
  </si>
  <si>
    <t>PL DEFILAD 1, WARSZAWA, 00-901, POLAND</t>
  </si>
  <si>
    <t>0138-0338</t>
  </si>
  <si>
    <t>2081-8262</t>
  </si>
  <si>
    <t>POL POLAR RES</t>
  </si>
  <si>
    <t>Pol. Polar. Res.</t>
  </si>
  <si>
    <t>10.24425/118737</t>
  </si>
  <si>
    <t>GI8RV</t>
  </si>
  <si>
    <t>WOS:000434793700002</t>
  </si>
  <si>
    <t>Kochman-Kedziora, N; Noga, T; Olech, M; Van De Vijver, B</t>
  </si>
  <si>
    <t>Kochman-Kedziora, Natalia; Noga, Teresa; Olech, Maria; Van De Vijver, Bart</t>
  </si>
  <si>
    <t>Freshwater diatoms of the Ecology Glacier foreland, King George Island, South Shetland Islands</t>
  </si>
  <si>
    <t>Antarctic; King George Island; Ecology Glacier; diatoms; freshwater assemblages</t>
  </si>
  <si>
    <t>GENUS MUELLERIA BACILLARIOPHYTA; JAMES-ROSS-ISLAND; LIVINGSTON ISLAND; MARINE DIATOM; VAR. NOV.; COMMUNITIES; SUBANTARCTICA; REVISION</t>
  </si>
  <si>
    <t>Diatom assemblages from small pools and creeks on the Ecology Glacier forefield have been investigated. It is the first study in the Admiralty Bay region after the thorough taxonomic revision of the non-marine Antarctic diatom flora. A total of 122 diatom taxa, belonging to 35 genera were identified. More than 55% of all observed species have a restricted Antarctic distribution. Another 15% have a marine origin. Nitzschia gracilis Hantzsch, N. homburgiensis Lange-Bertalot and Planothidium rostrolanceolatum Van de Vijver et al. dominated the flora. Based on a DCA analysis, samples were subdivided in three groups reflecting ecological differences. Several samples (group 1) showed a mixed freshwater/marine diatom composition and are typical for coastal pools. Two other groups were separated based on the amount of limnoterrestrial taxa indicating the temporary character of some of the pools.</t>
  </si>
  <si>
    <t>[Kochman-Kedziora, Natalia] Univ Rzeszow, Fac Biol &amp; Agr, Podkarpackie Innovat Res Ctr Environm, Zelwerowicza 8B, PL-35601 Rzeszow, Poland; [Noga, Teresa] Univ Rzeszow, Fac Biol &amp; Agr, Dept Soil Studies Environm Chem &amp; Hydrol, Zelwerowicza 8B, PL-35601 Rzeszow, Poland; [Olech, Maria] Jagiellonian Univ, Dept Polar Res &amp; Documentat, Inst Bot, Kopernika 27, PL-31501 Krakow, Poland; [Olech, Maria] Polish Acad Sci, Inst Biochem &amp; Biophys, Pawinskiego 5a, PL-02106 Warsaw, Poland; [Van De Vijver, Bart] Bot Garden Meise, Res Dept, Nieuwelaan 38, B-1860 Meise, Belgium; [Van De Vijver, Bart] Univ Antwerp, Dept Biol, ECOBE, Univ Pl 1, B-2610 Antwerp, Belgium</t>
  </si>
  <si>
    <t>University of Rzeszow; University of Rzeszow; Jagiellonian University; Polish Academy of Sciences; Institute of Biochemistry &amp; Biophysics - Polish Academy of Sciences; University of Antwerp</t>
  </si>
  <si>
    <t>Kochman-Kedziora, N (corresponding author), Univ Rzeszow, Fac Biol &amp; Agr, Podkarpackie Innovat Res Ctr Environm, Zelwerowicza 8B, PL-35601 Rzeszow, Poland.</t>
  </si>
  <si>
    <t>nkochman@ur.edu.pl</t>
  </si>
  <si>
    <t>Noga, Teresa/0000-0002-4864-5620; Kochman-Kedziora, Natalia/0000-0003-1006-1715</t>
  </si>
  <si>
    <t>Belspo MICROBIAN project</t>
  </si>
  <si>
    <t>Natalia Kochman-Kedziora benefitted from an Erasmus student grant when visiting the University of Antwerp and the Botanic Garden Meise. This work has been financially supported by the Belspo MICROBIAN project.</t>
  </si>
  <si>
    <t>10.24425/118753</t>
  </si>
  <si>
    <t>HE3IG</t>
  </si>
  <si>
    <t>WOS:000453246900003</t>
  </si>
  <si>
    <t>Recio-Blitz, C; Navarro, FJ; Otero, J; Lapazaran, J; Gonzalez, S</t>
  </si>
  <si>
    <t>Recio-Blitz, Cayetana; Navarro, Francisco J.; Otero, Jaime; Lapazaran, Javier; Gonzalez, Sergi</t>
  </si>
  <si>
    <t>Effects of recent cooling in the Antarctic Peninsula on snow density and surface mass balance</t>
  </si>
  <si>
    <t>Antarctica; Livingston Island; glacier snow cover; compaction; air temperature</t>
  </si>
  <si>
    <t>LIVINGSTON ISLAND; GLACIERS; HURD</t>
  </si>
  <si>
    <t>The Antarctic Peninsula region has experienced a recent cooling for about 15 years since the beginning of the 21st century. In Livingston Island, this cooling has been of 0.8 degrees C over the 12-yr period 2004-2016, and of 1.0 degrees C for the summer average temperatures over the same period. In this paper, we analyse whether this observed cooling has implied a significant change in the density of the snowpack covering Hurd and Johnsons glaciers, and whether such a density change has had, by itself, a noticeable impact in the calculated surface mass balance. Our results indicate a decrease in the snow density by 22 kg m(-3) over the study period. The density changes are shown to be correlated with the summer temperature changes. We show that this observed decrease in density does not have an appreciable effect on the calculated surface mass balance, as the corresponding changes are below the usual error range of the surface mass balance estimates. This relieves us from the need of detailed and time-consuming snow density measurements at every mass-balance campaign.</t>
  </si>
  <si>
    <t>[Recio-Blitz, Cayetana; Navarro, Francisco J.; Otero, Jaime; Lapazaran, Javier] Univ Politecn Madrid, Dept Math Appl ICT, Madrid, Spain; [Gonzalez, Sergi] Spanish Meteorol Serv AEMET, AEMET Antarctic Grp, Madrid, Spain</t>
  </si>
  <si>
    <t>Universidad Politecnica de Madrid; Agencia Estatal de Meteorologia (AEMET)</t>
  </si>
  <si>
    <t>Recio-Blitz, C (corresponding author), Univ Politecn Madrid, Dept Math Appl ICT, Madrid, Spain.</t>
  </si>
  <si>
    <t>cayetana.rblitz@upm.es; francisco.navarro@upm.es; jaime.otero@upm.es; javier.lapazaran@upm.es; sgonzalezh@aemet.es</t>
  </si>
  <si>
    <t>Otero, Jaime/L-6521-2014; Lapazaran, Javier Jesús J/L-7362-2014; Navarro, Francisco/L-2941-2014; Gonzalez-Herrero, Sergi/Y-7279-2018</t>
  </si>
  <si>
    <t>Otero, Jaime/0000-0002-3518-7763; Navarro, Francisco/0000-0002-5147-0067; Gonzalez-Herrero, Sergi/0000-0002-2505-2435</t>
  </si>
  <si>
    <t>Spanish State Plan for Research and Development projects [CTM2014-56473-R, CTM2017-84441-R]</t>
  </si>
  <si>
    <t>Spanish State Plan for Research and Development projects</t>
  </si>
  <si>
    <t>This research was funded by the Spanish State Plan for Research and Development projects CTM2014-56473-R and CTM2017-84441-R. We thank the Spanish Met Office (AEMET) for supplying the meteorological data. Mass balance calculations were made using a modified version, by Ulf Jonsell (Swedish Polar Programme) of a Matlab (TM) script developed by Rickard Pettersson, Uppsala University, Sweden. Copernicus Sentinel data 2013. We thank the suggestions by two anonymous reviewers, which greatly improved the quality of the manuscript.</t>
  </si>
  <si>
    <t>10.24425/118756</t>
  </si>
  <si>
    <t>HE3IO</t>
  </si>
  <si>
    <t>WOS:000453247800001</t>
  </si>
  <si>
    <t>Józwiak, P; Pabis, K; Jazdzewska, A; Sicinski, J</t>
  </si>
  <si>
    <t>Jozwiak, Piotr; Pabis, Krzysztof; Jazdzewska, Anna; Sicinski, Jacek</t>
  </si>
  <si>
    <t>Taxonomic surrogacy in the diversity assessment of the soft-bottom macrofauna along a depth gradient of an Antarctic fjord</t>
  </si>
  <si>
    <t>Antarctic; King George Island; Admiralty Bay; ecological gradients; species richness</t>
  </si>
  <si>
    <t>KING-GEORGE-ISLAND; SOUTH SHETLAND ISLANDS; ADMIRALTY BAY; BENTHIC COMMUNITIES; BATHYMETRIC DISTRIBUTION; AMPHIPOD CRUSTACEANS; MARINE BIODIVERSITY; NEARSHORE ZONE; GLACIAL FJORD; MARTEL-INLET</t>
  </si>
  <si>
    <t>The study was aimed at analyzing patterns of abundance and diversity of macrozoobenthic communities along a depth gradient in the Admiralty Bay, a semi-enclosed basin located in a rapidly changing region of the western Antarctic Peninsula The study concerns primarily the Polychaeta and Amphipoda, the taxonomic richness and diversity of both groups being analyzed at different taxonomic levels (species, genus and family). Such an analysis, which uses a basic surrogacy measure (low taxonomic resolution) can be very useful in future monitoring programs of the Admiralty Bay. The analysis was based on 35 samples collected in the summer seasons of 1984/85 and 1985/86, with a Tvarminne sampler (within the 7-30 m depth range) and an 0.1 m(2) van Veen grab (deeper areas) along a transect with the depth changing from 7 to 502 m. The total macrozoobenthos abundance was found to decrease with depth, from 1581 +/- 730 ind./0.1 m(2) within the 7-30 m to as few as 384 +/- 145 ind./0.1 m(2) at 400-500 m. The number of phyla per sample was observed to increase along the depth gradient of 7-30 to 200-300 m but was substantially reduced in the deepest sublittoral (400-500 m). The results showed large differences between amphipods and polychaetes in their respective depth-related biodiversity changes. On the other hand, the diversity metrics used (Pielou's evenness, Shannon-Wiener index, number of species per sample, number of genera per sample, number of families per sample) at different taxonomic levels within each group produced similar patterns, demonstrating the usefulness of surrogacy in studies of Antarctic fjords.</t>
  </si>
  <si>
    <t>[Jozwiak, Piotr; Pabis, Krzysztof; Jazdzewska, Anna; Sicinski, Jacek] Univ Lodz, Lab Polar Biol &amp; Oceanobiol, Banacha 12-16, PL-90237 Lodz, Poland</t>
  </si>
  <si>
    <t>University of Lodz</t>
  </si>
  <si>
    <t>Józwiak, P (corresponding author), Univ Lodz, Lab Polar Biol &amp; Oceanobiol, Banacha 12-16, PL-90237 Lodz, Poland.</t>
  </si>
  <si>
    <t>piotr.jozwiak@biol.uni.lodz.pl</t>
  </si>
  <si>
    <t>Jazdzewska, Anna/AAK-4697-2020; Sicinski, Jacek/P-2033-2017; Pabis, Krzysztof/O-8628-2017</t>
  </si>
  <si>
    <t>Jazdzewska, Anna/0000-0003-2529-0641; Jozwiak, Piotr/0000-0002-5171-3145; Sicinski, Jacek/0000-0002-5235-3188; Pabis, Krzysztof/0000-0002-9625-3453</t>
  </si>
  <si>
    <t>This study was supported from the University of Lodz internal funds. We would like to thank Teresa Radziejewska for the linguistic assistance. Thanks are also due to anonymous reviewers for their valuable comments.</t>
  </si>
  <si>
    <t>10.24425/118758</t>
  </si>
  <si>
    <t>WOS:000453247800003</t>
  </si>
  <si>
    <t>Navrotska, D; Andreev, I; Betekhtin, A; Rojek, M; Parnikoza, I; Myryuta, G; Poronnik, O; Miryuta, N; Szymanowska-Pulka, J; Grakhov, V; Ivannikov, R; Hasterok, R; Kunakh, V</t>
  </si>
  <si>
    <t>Navrotska, Daria; Andreev, Igor; Betekhtin, Alexander; Rojek, Magdalena; Parnikoza, Ivan; Myryuta, Ganna; Poronnik, Oksana; Miryuta, Natalia; Szymanowska-Pulka, Joanna; Grakhov, Volodymyr; Ivannikov, Roman; Hasterok, Robert; Kunakh, Viktor</t>
  </si>
  <si>
    <t>Assessment of the molecular cytogenetic, morphometric and biochemical parameters of Deschampsia antarctica from its southern range limit in maritime Antarctic</t>
  </si>
  <si>
    <t>Antarctic; Deschampsia antarctica; marginal populations; variation; phenotypic characteristics</t>
  </si>
  <si>
    <t>ULTRAVIOLET-B RADIATION; GENOME SIZE VARIATION; CHROMOSOME; POLYPLOIDY; POPULATIONS; SEQUENCE; DESV.; EVOLUTION; NUCLEAR; POLYMORPHISM</t>
  </si>
  <si>
    <t>Different chromosomal forms of Deschampsia antarctica Desv. (Poaceae), including diploids (2n=26), hypotriploid (2n=36-38) and a genotype with an occasional occurrence of B chromosome (2n=26+0-1B) that originated from southern marginal populations (Argentine Islands region, maritime Antarctic) were studied using molecular cytogenetic, morphometric and biochemical methods. FISH analysis revealed variations in the number of rDNA sites between the diploid and hypotriploid plants. The genome size varied among plants with a different chromosome number and was on average 10.88 pg/2C. for diploids and 16.46 pg/2C for hypotriploid. The mean values of leaf length of plants grown in vitro varied within a range of 5.23-9.56 cm. The total phenolic content ranged from 51.10 to 105.40 mg/g, and the total flavonoid content ranged from 1.22 to 4.67 mg/g. The amount of phenolic compounds did not differ significantly between the genotypes, while a variation in the flavonoid content was observed for L59 and DAR12. The diploids did not differ significantly among each other in terms of the number of rDNA loci, but differed slightly in their genome size. The individuals of DAR12 carrying B chromosome were similar to other diploids in terms of their genome size, but statistically differed in leaf length. The hypotriploid had both a greater number of rDNA sites and a larger genome size. No statistical correlations were observed between the genome size and leaf length or genome size and accumulation of phenolic and flavonoid compounds. The results of this study suggest that D. antarctica plants from the southern edge of the range are characterised by the heterogeneity of the studied parameters.</t>
  </si>
  <si>
    <t>[Navrotska, Daria; Andreev, Igor; Parnikoza, Ivan; Myryuta, Ganna; Poronnik, Oksana; Miryuta, Natalia; Kunakh, Viktor] Natl Acad Sci Ukraine, Inst Mol Biol &amp; Genet, Dept Cell Populat Genet, 150 Acad Zabolotnogo St, UA-03143 Kiev, Ukraine; [Parnikoza, Ivan] Minist Educ &amp; Sci Ukraine, State Inst Natl Antarctic Sci Ctr, 16 Shevchenko Ave, UA-01601 Kiev, Ukraine; [Betekhtin, Alexander; Rojek, Magdalena; Hasterok, Robert] Univ Silesia Katowice, Fac Biol &amp; Environm Protect, Dept Plant Anat &amp; Cytol, 28 Jagiellonska St, PL-40032 Katowice, Poland; [Szymanowska-Pulka, Joanna] Univ Silesia Katowice, Fac Biol &amp; Environm Protect, Dept Biophys &amp; Morphogenesis Plants, 28 Jagiellonska St, PL-40032 Katowice, Poland; [Grakhov, Volodymyr; Ivannikov, Roman] Natl Acad Sci Ukraine, MM Gryshko Natl Bot Garden, 1 Timiryazyevska St, UA-01014 Kiev, Ukraine</t>
  </si>
  <si>
    <t>National Academy of Sciences Ukraine; Institute of Molecular Biology &amp; Genetics of NASU; Ministry of Education &amp; Science of Ukraine; State Institution National Antarctic Scientific Center; University of Silesia in Katowice; University of Silesia in Katowice; National Academy of Sciences Ukraine; MM Gryshko National Botanical Garden, NAS of Ukraine</t>
  </si>
  <si>
    <t>Navrotska, D (corresponding author), Natl Acad Sci Ukraine, Inst Mol Biol &amp; Genet, Dept Cell Populat Genet, 150 Acad Zabolotnogo St, UA-03143 Kiev, Ukraine.</t>
  </si>
  <si>
    <t>navrotska.daria@gmail.com</t>
  </si>
  <si>
    <t>Parnikoza, Ivan/I-2398-2016; Hasterok, Robert/A-1629-2008; Poronnik, Oksana/HJI-1907-2023; Kunakh, Viktor A./HKV-4993-2023; Andreev, Igor/G-6194-2016; Ivannikov, Roman/KEH-5471-2024; Betekhtin, Alexander/O-4619-2018</t>
  </si>
  <si>
    <t>Andreev, Igor/0000-0002-3706-8514; Navrotska, Daria/0000-0001-8405-4732; Ivannikov, Roman/0000-0001-5917-2980; Betekhtin, Alexander/0000-0001-6146-1669; Hasterok, Robert/0000-0001-6667-2721; Miryuta, Natalia/0000-0001-7180-7117; Szymanowska-Pulka, Joanna/0000-0001-7793-7238</t>
  </si>
  <si>
    <t>National Antarctic Scientific Centre of the Ministry of Education and Science of Ukraine; National Academy of Science of Ukraine</t>
  </si>
  <si>
    <t>The authors are grateful for the support of the National Antarctic Scientific Centre of the Ministry of Education and Science of Ukraine and the National Academy of Science of Ukraine. The study was also performed as a part of the State Target Programme of Scientific and Technical Research in Antarctica for 2011-2020.</t>
  </si>
  <si>
    <t>10.24425/118759</t>
  </si>
  <si>
    <t>WOS:000453247800004</t>
  </si>
  <si>
    <t>Behling, H; de Oliveira, MAT</t>
  </si>
  <si>
    <t>Behling, Hermann; Teixeira de Oliveira, Marcelo Accioly</t>
  </si>
  <si>
    <t>Evidence of a late glacial warming event and early Holocene cooling in the southern Brazilian coastal highlands</t>
  </si>
  <si>
    <t>QUATERNARY RESEARCH</t>
  </si>
  <si>
    <t>Atlantic rain forest biome; Climate change; Grasslands; Holocene; Late glacial; Pollen; Southern Brazil; Weinmannia; Vegetation history</t>
  </si>
  <si>
    <t>LATE QUATERNARY VEGETATION; SEA-SURFACE TEMPERATURE; CLIMATE DYNAMICS; LATE PLEISTOCENE; ATMOSPHERIC CIRCULATION; ARAUCARIA FOREST; SAO-FRANCISCO; PARANA STATE; PAULA REGION; FIRE HISTORY</t>
  </si>
  <si>
    <t>A high-resolution pollen record of the Atlantic rain forest (ARF) biome from the coastal Serra do Tabuleiro mountains of southern Brazil documents an 11,960 yr history of vegetation and climate change. A marked expansion of Weinmannia into the grassland vegetation marks the latter part of the Younger Dryas, reflecting warm and relatively wet conditions. Between 11,490 and 9110 cal yr BP, grasslands became dominant again, indicating a long cold and dry phase, probably in response to the stronger influence of cold South Atlantic seawater and to Antarctic cold fronts. Between 9110 and 2640 cal yr BP, four distinct phases with strong or moderate expansions of different ARF biome taxa were recorded, reflecting warmer and relatively dry conditions with changes in rainfall and length of the annual dry season. After 2640 cal yr BP, the modern ARF biome became established with high amounts of ferns, reflecting somewhat cooler and wetter conditions with a reduced annual dry season. In particular, after 1000 cal yr BP tree ferns increased, reflecting wetter conditions with no dry season.</t>
  </si>
  <si>
    <t>[Behling, Hermann] Univ Gottingen, Albrecht von Haller Inst Plant Sci, Dept Palynol &amp; Climate Dynam, D-37073 Gottingen, Germany; [Teixeira de Oliveira, Marcelo Accioly] Univ Fed Santa Catarina, Dept Geociencias, BR-88040900 Florianopolis, SC, Brazil</t>
  </si>
  <si>
    <t>University of Gottingen; Universidade Federal de Santa Catarina (UFSC)</t>
  </si>
  <si>
    <t>Behling, H (corresponding author), Univ Gottingen, Albrecht von Haller Inst Plant Sci, Dept Palynol &amp; Climate Dynam, D-37073 Gottingen, Germany.</t>
  </si>
  <si>
    <t>Hermann.Beh-ling@bio.uni-goettingen.de</t>
  </si>
  <si>
    <t>de Oliveira, Marcelo A T/H-6489-2017</t>
  </si>
  <si>
    <t>Fundacao de Apoio a Pesquisa Cientifica e Tecnologica do Estado de Santa Catarina (FAPESC) [CON08857/2007-9]; Conselho Nacional de Desenvolvimento Cientifico e Tecnologico (CNPq) [459779/2014-1]; Sistema Nacional de Pesquisas em Biodiversidade (SISBIOTA Brasil); CNPq [563307/2010-2]; FAPESC [1193/2011]</t>
  </si>
  <si>
    <t>Fundacao de Apoio a Pesquisa Cientifica e Tecnologica do Estado de Santa Catarina (FAPESC)(Fundacao Araucaria de Apoio ao Desenvolvimento Cientifico e Tecnologico do Estado do Parana FAFundacao de Amparo a Pesquisa e Inovacao do Estado de Santa Catarina (FAPESC)); Conselho Nacional de Desenvolvimento Cientifico e Tecnologico (CNPq)(Conselho Nacional de Desenvolvimento Cientifico e Tecnologico (CNPQ)); Sistema Nacional de Pesquisas em Biodiversidade (SISBIOTA Brasil); CNPq(Conselho Nacional de Desenvolvimento Cientifico e Tecnologico (CNPQ)); FAPESC(Fundacao de Amparo a Pesquisa e Inovacao do Estado de Santa Catarina (FAPESC))</t>
  </si>
  <si>
    <t>Part of the fieldwork expenses and radiocarbon dating were financially supported by the Fundacao de Apoio a Pesquisa Cientifica e Tecnologica do Estado de Santa Catarina (FAPESC; Grant CON08857/2007-9). Complementary fieldwork, GPS/GIS location, and detailed maps were supported by the Conselho Nacional de Desenvolvimento Cientifico e Tecnologico (CNPq; Grant 459779/2014-1) and by the Sistema Nacional de Pesquisas em Biodiversidade (SISBIOTA Brasil; CNPq: Grant 563307/2010-2 and FAPESC: Grant 1193/2011). We also thank Jeffrey Hoff for improving the English of the manuscript.</t>
  </si>
  <si>
    <t>0033-5894</t>
  </si>
  <si>
    <t>1096-0287</t>
  </si>
  <si>
    <t>QUATERNARY RES</t>
  </si>
  <si>
    <t>Quat. Res.</t>
  </si>
  <si>
    <t>10.1017/qua.2017.87</t>
  </si>
  <si>
    <t>FX3IM</t>
  </si>
  <si>
    <t>WOS:000425965700008</t>
  </si>
  <si>
    <t>Bergstedt, H; Zwieback, S; Bartsch, A; Leibman, M</t>
  </si>
  <si>
    <t>Bergstedt, Helena; Zwieback, Simon; Bartsch, Annett; Leibman, Marina</t>
  </si>
  <si>
    <t>Dependence of C-Band Backscatter on Ground Temperature, Air Temperature and Snow Depth in Arctic Permafrost Regions</t>
  </si>
  <si>
    <t>REMOTE SENSING</t>
  </si>
  <si>
    <t>permafrost; ASCAT; backscatter; snow; C-band</t>
  </si>
  <si>
    <t>FREEZE-THAW CYCLES; MICROWAVE-SCATTERING PROPERTIES; NASA SCATTEROMETER NSCAT; SOIL-MOISTURE RETRIEVAL; ANTARCTIC ICE-SHEET; UNFROZEN WATER; ACTIVE LAYER; DIELECTRIC-PROPERTIES; REGRESSION SLOPES; ERS-1 SAR</t>
  </si>
  <si>
    <t>Microwave remote sensing has found numerous applications in areas affected by permafrost and seasonally frozen ground. In this study, we focused on data obtained by the Advanced Scatterometer (ASCAT, C-band) during winter periods when the ground is assumed to be frozen. This paper discusses the relationships of ASCAT backscatter with snow depth, air and ground temperature through correlations and the analysis of covariance (ANCOVA) to quantify influences on backscatter values during situations of frozen ground. We studied sites in Alaska, Northern Canada, Scandinavia and Siberia. Air temperature and snow depth data were obtained from 19 World Meteorological Organization (WMO) and 4 Snow Telemetry (SNOTEL) stations. Ground temperature data were obtained from 36 boreholes through the Global Terrestrial Network for Permafrost Database (GTN-P) and additional records from central Yamal. Results suggest distinct differences between sites with and without underlying continuous permafrost. Sites characterized by high freezing indices (&gt;4000 degree-days) have consistently stronger median correlations of ASCAT backscatter with ground temperature for all measurement depths. We show that the dynamics in winter-time backscatter cannot be solely explained through snow processes, but are also highly correlated with ground temperature up to a considerable depth (60 cm). These findings have important implications for both freeze/thaw and snow water equivalent retrieval algorithms based on C-band radar measurements.</t>
  </si>
  <si>
    <t>[Bergstedt, Helena] Univ Salzburg, Dept Geoinformat Z GIS, A-5020 Salzburg, Austria; [Zwieback, Simon] Univ Guelph, Dept Geog, Guelph, ON N1G 2W1, Canada; [Bartsch, Annett] B Geos, A-2100 Korneuburg, Austria; [Bartsch, Annett] Austrian Polar Res Inst, A-1010 Vienna, Austria; [Leibman, Marina] Earth Cryosphere Inst Tyumen Sci Ctr SB RAS, POB 1230, Tyumen 625000, Russia; [Leibman, Marina] Univ Tyumen, Int Inst Cryol &amp; Cryosophy, 6 Volodarskogo St, Tyumen 625003, Russia</t>
  </si>
  <si>
    <t>Salzburg University; University of Guelph; Tyumen State University</t>
  </si>
  <si>
    <t>Bergstedt, H (corresponding author), Univ Salzburg, Dept Geoinformat Z GIS, A-5020 Salzburg, Austria.</t>
  </si>
  <si>
    <t>helena.bergstedt@sbg.ac.at; zwieback@uoguelph.ca; annett.bartsch@bgeos.com; moleibman@gmail.com</t>
  </si>
  <si>
    <t>Bartsch, Annett/G-6332-2012; Bartsch, Annett/N-1347-2019; Leibman, Marina/V-6577-2017</t>
  </si>
  <si>
    <t>Bartsch, Annett/0000-0002-3737-7931; Bergstedt, Helena/0000-0003-4044-4792; Leibman, Marina/0000-0003-4634-6413</t>
  </si>
  <si>
    <t>Austrian Science Fund (Fonds zur Forderung der wissenschaftlichen Forschung, FWF) through the Doctoral College GIScience [DK W1237-N23]; FWF [I 1401]; Russian Foundation for Basic Research [13-05-91001-ANF-a]</t>
  </si>
  <si>
    <t>Austrian Science Fund (Fonds zur Forderung der wissenschaftlichen Forschung, FWF) through the Doctoral College GIScience(Austrian Science Fund (FWF)); FWF(Austrian Science Fund (FWF)); Russian Foundation for Basic Research(Russian Foundation for Basic Research (RFBR)Spanish Government)</t>
  </si>
  <si>
    <t>This work was supported by the Austrian Science Fund (Fonds zur Forderung der wissenschaftlichen Forschung, FWF) through the Doctoral College GIScience (DK W1237-N23) as well as FWF Grant I 1401 and the Russian Foundation for Basic Research Grant 13-05-91001-ANF-a (Joint Russian-Austrian project COLD-Yamal). We would like to thank Sebastian Hahn (Vienna University of Technology) for extraction of records from the TU Wien ASCAT repository for a subset of the sites used in an earlier version of this manuscript. We would like to thank the two anonymous reviewers for their valuable comments.</t>
  </si>
  <si>
    <t>MDPI AG</t>
  </si>
  <si>
    <t>2072-4292</t>
  </si>
  <si>
    <t>REMOTE SENS-BASEL</t>
  </si>
  <si>
    <t>Remote Sens.</t>
  </si>
  <si>
    <t>10.3390/rs10010142</t>
  </si>
  <si>
    <t>Environmental Sciences; Geosciences, Multidisciplinary; Remote Sensing; Imaging Science &amp; Photographic Technology</t>
  </si>
  <si>
    <t>Environmental Sciences &amp; Ecology; Geology; Remote Sensing; Imaging Science &amp; Photographic Technology</t>
  </si>
  <si>
    <t>FU8GW</t>
  </si>
  <si>
    <t>WOS:000424092300140</t>
  </si>
  <si>
    <t>Galbán-Malagón, CJ; Hernán, G; Abad, E; Dachs, J</t>
  </si>
  <si>
    <t>Galban-Malagon, Cristobal J.; Hernan, Gema; Abad, Esteban; Dachs, Jordi</t>
  </si>
  <si>
    <t>Persistent organic pollutants in krill from the Bellingshausen, South Scotia, and Weddell Seas</t>
  </si>
  <si>
    <t>Krill; Water; Phytoplankton; POPs; Southern Ocean; Antarctica; Cycling; Biological pump</t>
  </si>
  <si>
    <t>POLYBROMINATED DIPHENYL ETHERS; WESTERN ANTARCTIC PENINSULA; EUPHAUSIA-SUPERBA DANA; DIBENZO-P-DIOXINS; MARINE FOOD-WEB; POLYCHLORINATED-BIPHENYLS; ORGANOCHLORINE PESTICIDES; PARTICULATE MATTER; FEEDING-BEHAVIOR; FLAME RETARDANTS</t>
  </si>
  <si>
    <t>Persistent organic pollutants (POPs) reach Antarctica through atmospheric transport, oceanic currents, and to minor extent, by migratory animals. The Southern Ocean is a net sink for many POPs, with a key contribution of the settling fluxes of POPs bound to organic matter (biological pump). However, little is known about POP transfer through the food web in the Southern Ocean and Antarctic waters, where krill is an important ecological node. In this study, we assessed the occurrence of polychlorinated dibenzo-p-dioxins and furans (PCDD/Fs), polybrominated diphenyl ethers (PBDEs), and polychlorinated biphenyls (PCBs) in Antarctic krill (Euphausia superba) from the Bellingshausen, South Scotia and Weddell Seas around the Antarctic Peninsula. The concentrations of PCDD/Fs, PBDEs and PCBs in krill showed a large variability and the average were higher (generally within a factor 3) than those previously reported for eastern Antarctica. This result highlights regional differences related to atmospheric transport and deposition, and also probable regional sources due to human activities. Bioaccumulation and biomagnification factors for PCBs in krill were estimated using previously reported phytoplankton and seawater concentrations for this region. These suggested a near water-krill equilibrium for PCBs, which was not observed for water-phytoplankton partitioning. The estimated removal settling fluxes of PCBs due to the biological pump were several orders ofmagnitude higher than the estimated fluxes of PCBs transferred from phytoplankton to krill. (C) 2017 Elsevier B.V. All rights reserved.</t>
  </si>
  <si>
    <t>[Galban-Malagon, Cristobal J.] Univ Andres Bello, Dept Ecol &amp; Biodiversidad, Fac Ecol &amp; Recursos Nat, Santiago, Chile; [Galban-Malagon, Cristobal J.] Fdn MERI, Av Kennedy 5682, Santiago, Chile; [Hernan, Gema; Abad, Esteban; Dachs, Jordi] IDAEA CSIC, Dept Environm Chem, Barcelona, Catalonia, Spain; [Hernan, Gema] Mediterranean Inst Adv Studies IMEDEA CSIC UIB, Dept Ecol &amp; Marine Resources, Esporles, Illes Balears, Spain</t>
  </si>
  <si>
    <t>Universidad Andres Bello; Consejo Superior de Investigaciones Cientificas (CSIC); CSIC - Centro de Investigacion y Desarrollo Pascual Vila (CID-CSIC); CSIC - Instituto de Diagnostico Ambiental y Estudios del Agua (IDAEA); Consejo Superior de Investigaciones Cientificas (CSIC); ATTITUS Educacao</t>
  </si>
  <si>
    <t>Galbán-Malagón, CJ (corresponding author), Univ Andres Bello, Dept Ecol &amp; Biodiversidad, Fac Ecol &amp; Recursos Nat, Santiago, Chile.</t>
  </si>
  <si>
    <t>cristobal.galban@unah.cl</t>
  </si>
  <si>
    <t>HERNAN, GEMA/B-8393-2015; MARTINEZ, GEMA HERNAN/L-5693-2019; Galbán-Malagón, Cristobal/B-2170-2017; Abad, Esteban/ABF-6565-2020; Galban Malagon, Cristobal/J-2384-2015</t>
  </si>
  <si>
    <t>HERNAN MARTINEZ, GEMA/0000-0002-0806-9729; Galban Malagon, Cristobal/0000-0001-8397-5804; Dachs, Jordi/0000-0002-4237-169X</t>
  </si>
  <si>
    <t>ATOS - Spanish Ministry of Economy and competiveness [POL 2006-0550/CTM]; FONDECYT INICIACION [N 11150548]; FONDECYT REGULAR [N 1161504]</t>
  </si>
  <si>
    <t>ATOS - Spanish Ministry of Economy and competiveness; FONDECYT INICIACION(Comision Nacional de Investigacion Cientifica y Tecnologica (CONICYT)CONICYT FONDECYT); FONDECYT REGULAR(Comision Nacional de Investigacion Cientifica y Tecnologica (CONICYT)CONICYT FONDECYT)</t>
  </si>
  <si>
    <t>The authors wish to express their gratitude to the crew of the R/V Hesperides, and the technicians of the UTM. Mr. M. Pastor is specially acknowledged for assistance finding krill swarms during the cruise. The present work was supported by the project ATOS (POL 2006-0550/CTM) funded by the Spanish Ministry of Economy and competiveness to Jordi Dachs, and the Chilean funded project FONDECYT INICIACION (N 11150548) and FONDECYT REGULAR (N 1161504) to Cristobal Galban-Malagon.</t>
  </si>
  <si>
    <t>10.1016/j.scitotenv.2017.08.108</t>
  </si>
  <si>
    <t>FI3VI</t>
  </si>
  <si>
    <t>WOS:000411897700152</t>
  </si>
  <si>
    <t>Sugden, DE; Jamieson, SSR</t>
  </si>
  <si>
    <t>Sugden, David E.; Jamieson, Stewart S. R.</t>
  </si>
  <si>
    <t>The pre-glacial landscape of Antarctica</t>
  </si>
  <si>
    <t>SCOTTISH GEOGRAPHICAL JOURNAL</t>
  </si>
  <si>
    <t>Antarctica; geomorphology; subglacial; landscape; denudation evolution</t>
  </si>
  <si>
    <t>FISSION-TRACK THERMOCHRONOLOGY; ICE-SHEET; TRANSANTARCTIC MOUNTAINS; ELLSWORTH MOUNTAINS; GLACIAL EROSION; EAST ANTARCTICA; LAMBERT GRABEN; VICTORIA LAND; DRY VALLEYS; EVOLUTION</t>
  </si>
  <si>
    <t>The geomorphology of the hidden subglacial landscape of Antarctica is relevant to our understanding of the stability of the Antarctic Ice Sheet and also to that of global interactions between plate tectonics and surface processes. We believe that geomorphology has much to contribute, but that the lack of coherent hypotheses about the origins of the subglacial landscape is holding back understanding. This paper approaches the problem by using southern hemisphere land masses in Africa and Madagascar as analogues. We find that the Antarctic landscape evolved in a similar way to passive margin evolution in southern Africa. Rifting associated with the breakup of Gondwana changed river base levels and caused rapid erosion on the flanks of rifts and was accompanied by the uplift of rift-margin mountains. Rift-margin plains, often coastal or extending inland along large rivers, are backed by an escarpment, while low-gradient continental river basins characterised the interior of Antarctica. In East Antarctica ice has removed pre-existing regolith from lowlands and excavated 2-3km troughs below sea level along the course of major trunk rivers. The micro-continents of West Antarctica are comparable to Madagascar and apparently share a similar topography with coastal plains, backing escarpments and interior plateaux.</t>
  </si>
  <si>
    <t>[Sugden, David E.] Univ Edinburgh, Sch GeoSci, Inst Geog, Edinburgh EH8 9XP, Midlothian, Scotland; [Jamieson, Stewart S. R.] Univ Durham, Dept Geog, Durham, England</t>
  </si>
  <si>
    <t>University of Edinburgh; Durham University</t>
  </si>
  <si>
    <t>Sugden, DE (corresponding author), Univ Edinburgh, Sch GeoSci, Inst Geog, Edinburgh EH8 9XP, Midlothian, Scotland.</t>
  </si>
  <si>
    <t>david.sugden@ed.ac.uk</t>
  </si>
  <si>
    <t>Jamieson, Stewart S.R./B-8330-2013</t>
  </si>
  <si>
    <t>Jamieson, Stewart S.R./0000-0002-9036-2317</t>
  </si>
  <si>
    <t>NERC [NE/R000824/1, NE/I025840/1] Funding Source: UKRI</t>
  </si>
  <si>
    <t>1470-2541</t>
  </si>
  <si>
    <t>1751-665X</t>
  </si>
  <si>
    <t>SCOT GEOGR J</t>
  </si>
  <si>
    <t>Scott. Geogr. J.</t>
  </si>
  <si>
    <t>3-4</t>
  </si>
  <si>
    <t>10.1080/14702541.2018.1535090</t>
  </si>
  <si>
    <t>HC0ZU</t>
  </si>
  <si>
    <t>WOS:000451529400008</t>
  </si>
  <si>
    <t>Chang, TJ; Xiong, XX; Shrestha, A; Wu, AS; Chen, N; Li, YH; Mu, QZ</t>
  </si>
  <si>
    <t>Neeck, SP; Martimort, P; Kimura, T</t>
  </si>
  <si>
    <t>Chang, Tiejun; Xiong, Xiaoxiong (Jack); Shrestha, Ashish; Wu, Aisheng; Chen, Na; Li, Yonghong; Mu, Qiaozhen</t>
  </si>
  <si>
    <t>Assessment of Terra MODIS Thermal emissive band calibration using cold targets and measurements in lunar roll events</t>
  </si>
  <si>
    <t>SENSORS, SYSTEMS, AND NEXT-GENERATION SATELLITES XXII</t>
  </si>
  <si>
    <t>Conference on Sensors, Systems, and Next-Generation Satellites XXII</t>
  </si>
  <si>
    <t>SEP 10-12, 2018</t>
  </si>
  <si>
    <t>Berlin, GERMANY</t>
  </si>
  <si>
    <t>MODIS; Radiometric calibration; TEB; DCC; Dome-C</t>
  </si>
  <si>
    <t>Terra MODIS has provided continuous global observations for science research and applications for more than 18 years. The MODIS Thermal emissive bands (TEB) radiometric calibration uses a quadratic function for instrument response. The calibration coefficients are updated using the response of an on-board blackbody (BB) in quarterly warm-up and cool-down (WUCD) events. As instrument degradation and electronic crosstalk of long-wave infrared (LWIR) bands 27 to 30 developed substantial issues, accurate calibration is crucial for a high-quality L1B product. The on-board BB WUCD temperature ranges from 270 K to 315 K and the derived nonlinear response has a relatively large uncertainty for the offset, especially for these LWIR bands, which affects the measurements of low brightness temperature (BT) scenes. In this study, the TEB radiometric calibration impact on the L1B product is assessed using selected cold targets and the measurements during regular lunar rolls. The cold targets include Antarctic Dome Concordia (Dome-C) and deep convective clouds (DCC) for the calibration assessment, focusing on bands 27 to 30. Dome-C area is covered with uniformly-distributed permanent snow, and the atmospheric effect is small and relatively constant. Usually the DCC is treated as an invariant earth target to evaluate the reflective solar band calibration. The DCC can also be treated as a stable target to assess the performance of TEB calibration. During a scheduled lunar observation event with a spacecraft roll maneuver to view the moon through the space view port, the instrument cavity provides a stable reference for calibration assessment. The long-term trending of BT measurements and the relative difference between scan mirror sides and detectors are used for the assessment of the calibration consistency and stability. The comparison of L1B products over the selected targets before and after the calibration coefficients update can be used to assess the impact of a calibration look-up table (LUT) update. This assessment is beneficial for future calibration algorithm and LUT update procedure improvements for enhancing the L1B product quality.</t>
  </si>
  <si>
    <t>[Chang, Tiejun; Shrestha, Ashish; Wu, Aisheng; Chen, Na; Li, Yonghong; Mu, Qiaozhen] Sci Syst &amp; Applicat Inc, Lanham, MD 20706 USA; [Xiong, Xiaoxiong (Jack)] NASA, GSFC, Sci &amp; Explorat Directorate, Greenbelt, MD 20771 USA</t>
  </si>
  <si>
    <t>Science Systems and Applications Inc; National Aeronautics &amp; Space Administration (NASA); NASA Goddard Space Flight Center</t>
  </si>
  <si>
    <t>Chang, TJ (corresponding author), Sci Syst &amp; Applicat Inc, Lanham, MD 20706 USA.</t>
  </si>
  <si>
    <t>Gu, Yucheng/GPX-1847-2022; Shrestha, Ashish/AAE-3929-2019</t>
  </si>
  <si>
    <t>Gu, Yucheng/0000-0002-6400-6167; Shrestha, Ashish/0000-0002-9407-5462</t>
  </si>
  <si>
    <t>978-1-5106-2154-1</t>
  </si>
  <si>
    <t>107851C</t>
  </si>
  <si>
    <t>10.1117/12.2325378</t>
  </si>
  <si>
    <t>Engineering, Aerospace; Remote Sensing; Optics; Imaging Science &amp; Photographic Technology</t>
  </si>
  <si>
    <t>Engineering; Remote Sensing; Optics; Imaging Science &amp; Photographic Technology</t>
  </si>
  <si>
    <t>BL5SF</t>
  </si>
  <si>
    <t>WOS:000452638500029</t>
  </si>
  <si>
    <t>Smykla, J; Porazinska, DL; Iakovenko, NS; Devetter, M; Drewnik, M; Hii, YS; Emslie, SD</t>
  </si>
  <si>
    <t>Smykla, Jerzy; Porazinska, Dorota L.; Iakovenko, Nataliia S.; Devetter, Miloslav; Drewnik, Marek; Hii, Yii Siang; Emslie, Steven D.</t>
  </si>
  <si>
    <t>Geochemical and biotic factors influencing the diversity and distribution of soil microfauna across ice-free coastal habitats in Victoria Land, Antarctica</t>
  </si>
  <si>
    <t>SOIL BIOLOGY &amp; BIOCHEMISTRY</t>
  </si>
  <si>
    <t>Habitat suitability; Soil biodiversity; Nematodes; Rotifers; Tardigrades; Antarctica</t>
  </si>
  <si>
    <t>MCMURDO DRY VALLEYS; COMMUNITY STRUCTURE; EDMONSON POINT; ROSS ISLAND; TERRESTRIAL ECOSYSTEMS; LATITUDINAL GRADIENT; NEMATODES; INVERTEBRATES; BIODIVERSITY; NORTHERN</t>
  </si>
  <si>
    <t>Soils in Antarctica support simple but unique biological assemblages in one of the most extreme terrestrial habitats on Earth. Among terrestrial fauna, microscopic invertebrates (nematodes, rotifers and tardigrades) are the most abundant and diverse, but the paucity of surveys still limits a more thorough understanding of their diversity and distribution patterns. To address this gap in knowledge, we conducted a survey-across soil environments with differing biogeochemical characteristics (i.e., fellfields, moss communities, wedands, and ornithogenic soils) at Edmonson Point. Our primary objective was to identify local diversity and drivers of distribution patterns of soil microfatma assemblages at the species level for all phyla. Presence of a broad range of soil habitats supported abundant and diverse microfauna of 24 species, including 18 rotifers, 4 nematodes, and 2 tardigrades. While nematode and tardigrade fauna were generally consistent with previous reports in the region, rotifers consisted mostly of bdelloids, newly-recorded and likely endemic species. Bdelloid rotifers were generally the most abundant followed by nematodes and tardigrades in similar numbers, with very patchy distributions and only nematodes found across all soil habitats. The type of soil environment was the most significant predictor of species distributions, with the richest and most abtmdant microfauna found in moist soils associated with cryptogamic vegetation and the poorest in dry fellfields and ornithogenic soils. Species distributions were also highly variable within particular environments and were related primarily to moisture, nutrients and organic matter, but availability and quality of food resources was the major underlying driver. Given the exceptionally wide range of terrestrial environments, Edmonson Point represents one of the most important biodiversity hot-spots for microfauna in the Ross Sea region, emphasizing its outstanding ecological importance and conservation value.</t>
  </si>
  <si>
    <t>[Smykla, Jerzy] Polish Acad Sci, Inst Nat Conservat, Mickiewicza 33, PL-31120 Krakow, Poland; [Porazinska, Dorota L.] Univ Colorado, Dept Ecol &amp; Evolutionary Biol, Cb 334, Boulder, CO 80309 USA; [Iakovenko, Nataliia S.] Natl Acad Sci Ukraine, Schmalhausen Inst Zool, Dept Invertebrate Fauna &amp; Systemat, Bogdana Khmelnitskogo Str 15, UA-01601 Kiev, Ukraine; [Iakovenko, Nataliia S.] Univ Ostrava, Dept Biol &amp; Ecol, Chittussiho 10, Ostrava 71000, Czech Republic; [Iakovenko, Nataliia S.] Czech Acad Sci, Inst Anim Physiol &amp; Genet, Lab Fish Genet, Rumburska 89, Libechov 27721, Czech Republic; [Devetter, Miloslav] Czech Acad Sci, Biol Ctr, Inst Soil Biol, Sadkach 7, Ceske Budejovice 37005, Czech Republic; [Devetter, Miloslav] Univ South Bohemia, Fac Sci, Branisovska 31, Ceske Budejovice 37005, Czech Republic; [Drewnik, Marek] Jagiellonian Univ, Dept Pedol &amp; Soil Geog, Inst Geog &amp; Spatial Management, Gronostajowa 7, Krakow, Poland; [Hii, Yii Siang] Univ Malaysia Terengganu, Inst Oceanog &amp; Environm, Kuala Terengganu 21030, Terengganu, Malaysia; [Smykla, Jerzy; Emslie, Steven D.] Univ North Carolina Wilmington, Dept Biol &amp; Marine Biol, 601 S Coll Rd, Wilmington, NC 28403 USA</t>
  </si>
  <si>
    <t>Polish Academy of Sciences; University of Colorado System; University of Colorado Boulder; National Academy of Sciences Ukraine; Schmalhausen Institute of Zoology of NASU; University of Ostrava; Czech Academy of Sciences; Institute of Animal Physiology &amp; Genetics of the Czech Academy of Sciences; Czech Academy of Sciences; Biology Centre of the Czech Academy of Sciences; University of South Bohemia Ceske Budejovice; Jagiellonian University; Universiti Malaysia Terengganu; University of North Carolina; University of North Carolina Wilmington</t>
  </si>
  <si>
    <t>Devetter, Miloslav/AAE-1676-2021; Devetter, Miloslav/G-1087-2014; Smykla, Jerzy/N-3288-2014; Iakovenko, Nataliia/S-6462-2018</t>
  </si>
  <si>
    <t>Devetter, Miloslav/0000-0003-1767-4266; Smykla, Jerzy/0000-0001-8228-6695; Drewnik, Marek/0000-0001-7400-2103; Iakovenko, Nataliia/0000-0003-4458-9884</t>
  </si>
  <si>
    <t>Polish Ministry of Science and Higher Education within the program Supporting International Mobility of Scientists [2P04F00127, NN304069033, NN305376438, NN304014939]; Polish Academy of Sciences; Czech Republic Academy of Sciences; National Academy of Sciences of Ukraine; National Science Foundation [ANT 0739575]; MOSTI ScienceFund [FP1213E037S6]; Directorate For Geosciences; Office of Polar Programs (OPP) [1443578] Funding Source: National Science Foundation</t>
  </si>
  <si>
    <t>Polish Ministry of Science and Higher Education within the program Supporting International Mobility of Scientists; Polish Academy of Sciences; Czech Republic Academy of Sciences; National Academy of Sciences of Ukraine; National Science Foundation(National Science Foundation (NSF)); MOSTI ScienceFund(Ministry of Energy, Science, Technology, Environment and Climate Change (MESTECC), Malaysia); Directorate For Geosciences; Office of Polar Programs (OPP)(National Science Foundation (NSF)NSF - Directorate for Geosciences (GEO))</t>
  </si>
  <si>
    <t>'The senior author would like to thank the Directors of the Department of the Antarctic Biology Polish Academy of Sciences, Stanislaw Rakusa-Suszczewski, Andrzej Tatur and Katarzyna Chwedorzewska, for their cooperation and support provided on behalf of the Polish Antarctic Program. Thanks are also due to Eva Kastovska, Ondrej Komarek, Franciszek Kornobis, Renata Malejki, Justyna Morawska-Ploskonka, Julia Shrubovych and Diana Wall for laboratory support and/or assistance. We would also like to express our special thanks to Larry Coats for comradeship and assistance during the field survey, and to personnel of the U.S. Antarctic Program at McMurdo Station and the Italian National Program for Antarctic Research (PNRA) at Mario Zucchelli Station at Terra Nova Bay for logistical aid. This work was completed within the project of the senior author funded by the Polish Ministry of Science and Higher Education within the program Supporting International Mobility of Scientists and within grants 2P04F00127, NN304069033, NN305376438 and NN304014939. This project was also partly supported under the agreement on scientific cooperation between the Polish Academy of Sciences with the Czech Republic Academy of Sciences and the National Academy of Sciences of Ukraine for years 2006-2016. The field survey was made possible with funding to S. Emslie from the National Science Foundation (ANT 0739575) and through logistical support supplied by Raytheon Polar Services. Y.S. Hii was supported by MOSTI ScienceFund within the project FP1213E037S6.</t>
  </si>
  <si>
    <t>0038-0717</t>
  </si>
  <si>
    <t>1879-3428</t>
  </si>
  <si>
    <t>SOIL BIOL BIOCHEM</t>
  </si>
  <si>
    <t>Soil Biol. Biochem.</t>
  </si>
  <si>
    <t>10.1016/j.soilbio.2017.10.028</t>
  </si>
  <si>
    <t>Soil Science</t>
  </si>
  <si>
    <t>Agriculture</t>
  </si>
  <si>
    <t>FR9UF</t>
  </si>
  <si>
    <t>WOS:000419417900030</t>
  </si>
  <si>
    <t>Kruczek, Z; Kruczek, M; Szromek, AR</t>
  </si>
  <si>
    <t>Kruczek, Zygmunt; Kruczek, Michal; Szromek, Adam R.</t>
  </si>
  <si>
    <t>Possibilities of Using the Tourism Area Life Cycle Model to Understand and Provide Sustainable Solution for Tourism Development in the Antarctic Region</t>
  </si>
  <si>
    <t>SUSTAINABILITY</t>
  </si>
  <si>
    <t>Antarctica; exploration; tourism; Butler cycle; development boundaries; sustainable development</t>
  </si>
  <si>
    <t>LAST-CHANCE TOURISM; AMBASSADORSHIP</t>
  </si>
  <si>
    <t>An important problem for the development of tourism in the polar regions is the determination of the limit of tourist traffic that these regions can accept, without risking the degradation of the environment. One such region is Antarctica. This article describes the environmental conditions of Antarctica that decide its attractiveness for tourists, as well as its political and legal status. The factors that determine a tourist reception area of increasing intensity are analyzed. Based on the data of the International Association of Antarctic Tour Operators (IAATO), the volume of tourist traffic was determined, and environmental problems identified, which result from tourism development in Antarctica. The model of R.W. ButlerTourism Area Life Cycle (TALC)was used to analyze the development of tourism. By the middle of the second decade of the 21st century, the number of tourists in the Antarctic region exceeded 40 thousand, which seems to be the largest figure (the boom phase in the Butler cycle) in sheer numbers, and which resulted in the introduction of less tourist-friendly behavior, from the point of view of environmental protection. On the basis of IAATO data, the environmental problems that are a consequence of the development of tourism in Antarctica are identified. Reference is made to climate change affecting the area, and on the basis of the Butler cycle, the hypothetical limits of the further development of tourism are described.</t>
  </si>
  <si>
    <t>[Kruczek, Zygmunt] Univ Sch Phys Educ Krakow, Fac Tourism &amp; Recreat, Dept Nat Environm Sci, PL-31571 Krakow, Poland; [Kruczek, Michal] Agr Univ Krakow, Inst Plant Biol &amp; Biotechnol, Fac Biotechnol &amp; Hort, Unit Biochem, PL-33332 Krakow, Poland; [Szromek, Adam R.] Silesian Tech Univ, Dept Org &amp; Management, PL-44100 Gliwice, Poland</t>
  </si>
  <si>
    <t>Agricultural University Krakow; Silesian University of Technology</t>
  </si>
  <si>
    <t>Kruczek, Z (corresponding author), Univ Sch Phys Educ Krakow, Fac Tourism &amp; Recreat, Dept Nat Environm Sci, PL-31571 Krakow, Poland.</t>
  </si>
  <si>
    <t>kruczek.michael@gmail.com; kruczek.michael@gmail.com; aszromek@polsl.pl</t>
  </si>
  <si>
    <t>Szromek, Adam R./U-6533-2019; Kruczek, Zygmunt/J-5549-2019</t>
  </si>
  <si>
    <t>Szromek, Adam R./0000-0003-4989-9785; Kruczek, Zygmunt/0000-0003-3015-2139</t>
  </si>
  <si>
    <t>National Science Centre in Krakow [2017/25/B/HS4/00301]</t>
  </si>
  <si>
    <t>National Science Centre in Krakow</t>
  </si>
  <si>
    <t>This paper was published as part of the research project A business model for spa resort enterprises Nr 2017/25/B/HS4/00301, supervised and financed by the National Science Centre in Krakow.</t>
  </si>
  <si>
    <t>2071-1050</t>
  </si>
  <si>
    <t>SUSTAINABILITY-BASEL</t>
  </si>
  <si>
    <t>Sustainability</t>
  </si>
  <si>
    <t>10.3390/su10010089</t>
  </si>
  <si>
    <t>Green &amp; Sustainable Science &amp; Technology; Environmental Sciences; Environmental Studies</t>
  </si>
  <si>
    <t>Science &amp; Technology - Other Topics; Environmental Sciences &amp; Ecology</t>
  </si>
  <si>
    <t>FW1TN</t>
  </si>
  <si>
    <t>WOS:000425082600088</t>
  </si>
  <si>
    <t>Pravkin, SA; Bolshiyanov, DY; Pomortsev, OA; Savelieva, LA; Molodkov, AN; Grigoryev, MN; Arslanov, KA</t>
  </si>
  <si>
    <t>Pravkin, Sergei A.; Bolshiyanov, Dmitry Yu.; Pomortsev, Oleg A.; Savelieva, Larisa A.; Molodkov, Anatoly N.; Grigoryev, Mikhail N.; Arslanov, Khikmatulla A.</t>
  </si>
  <si>
    <t>The relief, structure and age of Quaternary deposits of the valley of the Lena River in the Yakutian bend</t>
  </si>
  <si>
    <t>VESTNIK OF SAINT PETERSBURG UNIVERSITY EARTH SCIENCES</t>
  </si>
  <si>
    <t>river valley; terraces; floodplain; the Lena River; IR-OSL-dating; radiocarbon dating; the evolution of the valley; Late Pleistocene; Holocene</t>
  </si>
  <si>
    <t>For understanding of the Lena River valley evolution geomorphological and geological structure of the valley in the area from the mouth of the Buotama river to the mouth of the Aldan river (Yakutian bend) studied. Transverse geomorphological profiles through the valley, a map of ruggedness relief density, a geomorphological scheme of the investigated area were constructed. The structure of the terraces was studied, and the sediments were dated by the method of optically stimulated luminescence (OSL) and radiocarbon method. Spore-pollen spectra of terraces and the content of diatom algae in sediments were studied. In the valley we fixed a low and high floodplain up to a height of 10-12 m, two terraces, the height of which varies along the river (5-20 and 30-70 m), and Abalakh plain at an altitude of 100-140 m above the river. Near Yakutsk, the first terrace is called the Sergelyakh and the second terrace is called the Bestyakh. The low floodplain has an age of the first hundred years; the first terrace is dated by 10,000 radiocarbon years, datings of the bestyakh terrace belong to the end of Karginsky time and Sartan time of the Late Pleistocene. The most ancient OSL-datings were obtained from the deposits of the erosion scarp of the Abalakh plain (234-182 thousand years ago). The surface of the bestyakh terrace is decreasing downstream from 60 mat the mouth of the Buotama River to 40 m downstream from the confluence with Aldan River. The deposits of the terrace downstream from the mouth of Aldan River consists of silt mainly by contrast with sand compositions of Lena deposits upstream from the confluence of two rivers. The height of terraces and floodplains varies on the investigated segment of the valley in such a way that the same surface can be worked out in sediments of different ages, or the same age can be distinctive to geological bodies, in which terraces with different altitudes have been developed.</t>
  </si>
  <si>
    <t>[Pravkin, Sergei A.; Bolshiyanov, Dmitry Yu.] Arctic &amp; Antarctic Res Inst, 38 Ul Beringa, St Petersburg 199397, Russia; [Pravkin, Sergei A.; Savelieva, Larisa A.; Arslanov, Khikmatulla A.] St Petersburg State Univ, 7-9 Univ Skaya Nab, St Petersburg 199034, Russia; [Pomortsev, Oleg A.] Ammosov North Eastern Fed Univ, 58 Ul Belinskogo, Yakutsk 677000, Sakha Yakutia R, Russia; [Molodkov, Anatoly N.] Tallinn Univ Technol, 5 Ehitajate St, EE-19086 Tallinn, Estonia; [Grigoryev, Mikhail N.] Melnikov Permafrost Inst SB RAS, 36 Merzlotnaya Ul, Yakutsk 677010, Sakha Yakutia R, Russia</t>
  </si>
  <si>
    <t>Arctic &amp; Antarctic Research Institute; Saint Petersburg State University; North-Eastern Federal University in Yakutsk; Tallinn University of Technology; Melnikov Permafrost Institute, Siberian Branch of the RAS</t>
  </si>
  <si>
    <t>Pravkin, SA (corresponding author), Arctic &amp; Antarctic Res Inst, 38 Ul Beringa, St Petersburg 199397, Russia.;Pravkin, SA (corresponding author), St Petersburg State Univ, 7-9 Univ Skaya Nab, St Petersburg 199034, Russia.</t>
  </si>
  <si>
    <t>s.pravkin1990@yandex.ru; bolshiyanov@aari.ru; fess117@rambler.ru; savelieval@mail.ru; anatoli.molodkov@ttu.ee; mngrigoriev@mpi.ysn.ru; arslanovkh@mail.ru</t>
  </si>
  <si>
    <t>Savelieva, Larisa/H-9135-2013; Pravkin, Sergey/K-4316-2016; Arslanov, Khikmatulla/J-4319-2013</t>
  </si>
  <si>
    <t>Arslanov, Khikmatulla/0000-0002-2302-8175</t>
  </si>
  <si>
    <t>ST PETERSBURG UNIV PRESS</t>
  </si>
  <si>
    <t>ST PETERSBURG</t>
  </si>
  <si>
    <t>6TH LINE VO, 11, ST PETERSBURG, 199004, RUSSIA</t>
  </si>
  <si>
    <t>2541-9668</t>
  </si>
  <si>
    <t>2587-585X</t>
  </si>
  <si>
    <t>VESTN ST PETER U-EAR</t>
  </si>
  <si>
    <t>Vestn. St. Petersb. Univ. Earth Sci.</t>
  </si>
  <si>
    <t>10.21638/11701/spbu07.2018.206</t>
  </si>
  <si>
    <t>GT4YP</t>
  </si>
  <si>
    <t>WOS:000444512800006</t>
  </si>
  <si>
    <t>Göllnitz, M</t>
  </si>
  <si>
    <t>Gollnitz, Martin</t>
  </si>
  <si>
    <t>The last white Spots. European Antarctic Travel around 1900</t>
  </si>
  <si>
    <t>ZEITSCHRIFT FUR GESCHICHTSWISSENSCHAFT</t>
  </si>
  <si>
    <t>German</t>
  </si>
  <si>
    <t>Book Review</t>
  </si>
  <si>
    <t>[Gollnitz, Martin] Johannes Gutenberg Univ Mainz, Hist Seminar, Mainz, Germany</t>
  </si>
  <si>
    <t>Johannes Gutenberg University of Mainz</t>
  </si>
  <si>
    <t>Göllnitz, M (corresponding author), Johannes Gutenberg Univ Mainz, Hist Seminar, Mainz, Germany.</t>
  </si>
  <si>
    <t>METROPOL-VERLAG</t>
  </si>
  <si>
    <t>KURFURSTENSTRASSE 135, 10785 BERLIN, GERMANY</t>
  </si>
  <si>
    <t>0044-2828</t>
  </si>
  <si>
    <t>Z GESCHICHTSWISS</t>
  </si>
  <si>
    <t>Z. Geschichtsw.</t>
  </si>
  <si>
    <t>HD6WO</t>
  </si>
  <si>
    <t>WOS:000452691200009</t>
  </si>
  <si>
    <t>Li, WH; Li, F; Zhang, SK; Lei, JT; Zhang, QC</t>
  </si>
  <si>
    <t>Li, Wenhao; Li, Fei; Zhang, Shengkai; Lei, Jintao; Zhang, Qingchuan</t>
  </si>
  <si>
    <t>Analysis of GPS Time Series Based on Spatio-temporal Filtering in Antarctic Peninsula</t>
  </si>
  <si>
    <t>Antarctic peninsula; GPS vertical velocities; Spatiotemporal filtering; Common mode errors</t>
  </si>
  <si>
    <t>The high-accuracy GPS velocity field is one of effective approaches to study the regional crustal displacement, and can provide validations and constraints for GIA models. There are spatially and temporally correlated errors in GPS data. Applying a spatiotemporal filter can reduce these effects and improve the accuracy of GPS time series. To obtain high-accuracy GPS vertical velocities in Antarctic peninsula, a regional filter is used to remove the spatially correlated errors in the selected 6 GPS time series, and the classic autocorrelation function is used to mitigate the temporally correlated errors of each GPS time series. The result shows that the scatter of GPS time series is reduced significantly after spatiotemporal filtering, the reduction of maximum RMS can reach up to 41.82%, and mean RMS reduction is 35.44%.</t>
  </si>
  <si>
    <t>[Li, Wenhao; Li, Fei; Zhang, Shengkai; Lei, Jintao; Zhang, Qingchuan] Chinese Antarctic Ctr Surveying &amp; Mapping, Wuhan 430079, Hubei, Peoples R China</t>
  </si>
  <si>
    <t>Zhang, SK (corresponding author), Chinese Antarctic Ctr Surveying &amp; Mapping, Wuhan 430079, Hubei, Peoples R China.</t>
  </si>
  <si>
    <t>zskai@whu.edu.cn</t>
  </si>
  <si>
    <t>LEI, Jintao/HHZ-6471-2022</t>
  </si>
  <si>
    <t>State Key Program of National Science of China [41531069]; State Program of National Science of China [41176173]; Chinese Polar Environment Comprehensive Investigation and Assessment Programs (CHINARE2017)</t>
  </si>
  <si>
    <t>State Key Program of National Science of China(National Natural Science Foundation of China (NSFC)); State Program of National Science of China; Chinese Polar Environment Comprehensive Investigation and Assessment Programs (CHINARE2017)</t>
  </si>
  <si>
    <t>This work is supported by the State Key Program of National Science of China (41531069), the State Program of National Science of China (41176173), and Chinese Polar Environment Comprehensive Investigation and Assessment Programs (CHINARE2017).</t>
  </si>
  <si>
    <t>10.1007/978-981-13-0014-1_58</t>
  </si>
  <si>
    <t>WOS:000451375100058</t>
  </si>
  <si>
    <t>Bialik, RJ; Karpinski, M</t>
  </si>
  <si>
    <t>Bialik, Robert J.; Karpinski, Mikolaj</t>
  </si>
  <si>
    <t>On the effect of the window size on the assessment of particle diffusion</t>
  </si>
  <si>
    <t>JOURNAL OF HYDRAULIC RESEARCH</t>
  </si>
  <si>
    <t>Data interpretation; Lagrangian model; particle diffusion; saltation; sediment transport</t>
  </si>
  <si>
    <t>SALTATION; BEHAVIOR; TRANSPORT; CHANNEL; MOTION</t>
  </si>
  <si>
    <t>In this work the decrease in the number of particles due to decrease in the size of the detection window on particle diffusion is investigated with the use of a numerical model of saltating grains. In order to formulate the problem, the available experimental data of particle diffusion are presented and discussed. Five different detection window sizes are investigated, showing that in both transverse and longitudinal directions the calculated dispersion of the particles noticeably decreases with the decrease in the window size. This highlights the window effect on the calculated variance of particle positions. The results indicate that the interpretation of the experimental data may be biased due to the window effect leading to potentially false conclusions about the regime of the diffusion of particles.</t>
  </si>
  <si>
    <t>[Bialik, Robert J.] Polish Acad Sci, Dept Antarctic Biol, Inst Biochem &amp; Biophys, Warsaw, Poland; [Bialik, Robert J.; Karpinski, Mikolaj] Polish Acad Sci, Dept Hydrol &amp; Hydrodynam, Inst Geophys, Warsaw, Poland</t>
  </si>
  <si>
    <t>Polish Academy of Sciences; Institute of Biochemistry &amp; Biophysics - Polish Academy of Sciences; Polish Academy of Sciences; Institute of Geophysics of the Polish Academy of Sciences</t>
  </si>
  <si>
    <t>Bialik, RJ (corresponding author), Polish Acad Sci, Dept Antarctic Biol, Inst Biochem &amp; Biophys, Warsaw, Poland.;Bialik, RJ (corresponding author), Polish Acad Sci, Dept Hydrol &amp; Hydrodynam, Inst Geophys, Warsaw, Poland.</t>
  </si>
  <si>
    <t>rbialik@ibb.waw.pl; mkarpin@igf.edu.pl</t>
  </si>
  <si>
    <t>Karpinski, Mikolaj/R-4116-2017</t>
  </si>
  <si>
    <t>Karpinski, Mikolaj/0000-0002-8846-332X; Bialik, Robert/0000-0002-0254-6352</t>
  </si>
  <si>
    <t>Ministry of Science and Higher Education of Poland [3841/E-41/S/2016]; Institute of Geophysics Polish Academy of Sciences [3d/IGF PAN/ 2015ml]</t>
  </si>
  <si>
    <t>Ministry of Science and Higher Education of Poland(Ministry of Science and Higher Education, Poland); Institute of Geophysics Polish Academy of Sciences</t>
  </si>
  <si>
    <t>This work was supported within statutory activities No 3841/E-41/S/2016 of the Ministry of Science and Higher Education of Poland and within the project for the Young Scientists No. 3d/IGF PAN/ 2015ml; Institute of Geophysics Polish Academy of Sciences.</t>
  </si>
  <si>
    <t>0022-1686</t>
  </si>
  <si>
    <t>1814-2079</t>
  </si>
  <si>
    <t>J HYDRAUL RES</t>
  </si>
  <si>
    <t>J. Hydraul. Res.</t>
  </si>
  <si>
    <t>10.1080/00221686.2017.1397780</t>
  </si>
  <si>
    <t>Engineering, Civil; Water Resources</t>
  </si>
  <si>
    <t>Engineering; Water Resources</t>
  </si>
  <si>
    <t>HB8JD</t>
  </si>
  <si>
    <t>WOS:000451333700011</t>
  </si>
  <si>
    <t>Li, XY; Yang, SH; Du, FJ; Li, ZY; Yuan, XY; Gu, BZ</t>
  </si>
  <si>
    <t>Marshall, HK; Spyromilio, J</t>
  </si>
  <si>
    <t>Li, X. Y.; Yang, S. H.; Du, F. J.; Li, Z. Y.; Yuan, X. Y.; Gu, B. Z.</t>
  </si>
  <si>
    <t>Performance of the second Antarctic Survey Telescope at Dome A</t>
  </si>
  <si>
    <t>GROUND-BASED AND AIRBORNE TELESCOPES VII</t>
  </si>
  <si>
    <t>Conference on Ground-based and Airborne Telescopes VII</t>
  </si>
  <si>
    <t>JUN 10-15, 2018</t>
  </si>
  <si>
    <t>Antarctic Telescope; Dome A; AST3; performance; remote operation</t>
  </si>
  <si>
    <t>Due to its extremely cold, dry, tenuous, and stable atmosphere, the Antarctica plateau is widely considered to be an excellent astronomical site. The long periods of uninterrupted darkness at polar sites such as Dome A provide a possibility of continuous observation for more than 3 months, which is quite suitable for time-domain astronomy. The second Antarctic Survey Telescope (AST3-2), the largest optical telescope in Antarctica so far, is a 0.5m entrance diameter large field of view optical imaging telescope which was deployed to Dome A, Antarctic in January 2015. It was used to study variable objects, such as supernova explosions and the afterglow of gamma-ray bursts, and to search for extrasolar planets. For the remoteness of the Antarctic plateau, it is designed to observe autonomously and operate remotely via satellite communication. With only 20 days attending maintenance annually, it has experienced 3 winters. It has observed for 3 months in 2015 and 4 months in 2016. In the third year of 2017, the observing time of AST3-2 has covered all the polar night from March to September, the data reached to nearly 30TB with more than 200,000 exposures for searching supernovas and exoplanets. AST3-2 was also the only one telescope in the Antarctic plate that joined the optical observations of LIGO GW170817.</t>
  </si>
  <si>
    <t>[Li, X. Y.; Yang, S. H.; Du, F. J.; Li, Z. Y.; Yuan, X. Y.; Gu, B. Z.] Chinese Acad Sci, Natl Astron Observ, Nanjing Inst Astron Opt &amp; Technol, 188 Bancang St, Nanjing 210042, Jiangsu, Peoples R China; [Li, X. Y.; Yang, S. H.; Du, F. J.; Li, Z. Y.; Yuan, X. Y.; Gu, B. Z.] Chinese Acad Sci, Nanjing Inst Astron Opt &amp; Technol, Key Lab Astron Opt &amp; Technol, Nanjing 210042, Jiangsu, Peoples R China; [Yuan, X. Y.] Chinese Ctr Antarctic Astron, Nanjing, Jiangsu, Peoples R China</t>
  </si>
  <si>
    <t>Chinese Academy of Sciences; National Astronomical Observatory, CAS; Nanjing Institute of Astronomical Optics &amp; Technology, NAOC, CAS; Chinese Academy of Sciences; Nanjing Institute of Astronomical Optics &amp; Technology, NAOC, CAS</t>
  </si>
  <si>
    <t>Li, XY (corresponding author), Chinese Acad Sci, Natl Astron Observ, Nanjing Inst Astron Opt &amp; Technol, 188 Bancang St, Nanjing 210042, Jiangsu, Peoples R China.;Li, XY (corresponding author), Chinese Acad Sci, Nanjing Inst Astron Opt &amp; Technol, Key Lab Astron Opt &amp; Technol, Nanjing 210042, Jiangsu, Peoples R China.</t>
  </si>
  <si>
    <t>xyli@niaot.ac.cn</t>
  </si>
  <si>
    <t>Yang, Shihai/J-1593-2012</t>
  </si>
  <si>
    <t>National Basic Research Program of China; Important Direction Project of Chinese Academy of Sciences (CAS) Knowledge Innovation Project, Tsinghua University; Nanjing University</t>
  </si>
  <si>
    <t>National Basic Research Program of China(National Basic Research Program of China); Important Direction Project of Chinese Academy of Sciences (CAS) Knowledge Innovation Project, Tsinghua University; Nanjing University(Nanjing University)</t>
  </si>
  <si>
    <t>We would like to thank the Chinese Arctic and Antarctic Administration and the Polar Research Institute of China (PRIC) for organizing the Antarctic Research Expeditions. We express our thanks to all the expedition members for providing invaluable assistance for us to install and maintain the telescopes. Also we would like to give our thanks to Australia cooperators for their great works on PLATO and helpful discussions on telescope development. The authors are also grateful for the support by the National Basic Research Program of China, the Important Direction Project of Chinese Academy of Sciences (CAS) Knowledge Innovation Project, Tsinghua University and Nanjing University for their financial support.</t>
  </si>
  <si>
    <t>978-1-5106-1954-8</t>
  </si>
  <si>
    <t>107005P</t>
  </si>
  <si>
    <t>10.1117/12.2311291</t>
  </si>
  <si>
    <t>BL4UM</t>
  </si>
  <si>
    <t>WOS:000450858000149</t>
  </si>
  <si>
    <t>Li, Y; Yang, SH</t>
  </si>
  <si>
    <t>Li, Yun; Yang, Shihai</t>
  </si>
  <si>
    <t>Research on the fault diagnosis and self-healing technology of unattended Antarctic telescope</t>
  </si>
  <si>
    <t>Astronomical telescope; Fault diagnosis; Self-healing; Intelligent; Expert system</t>
  </si>
  <si>
    <t>This paper presents an expert system fault diagnosis and seamless self-healing scheme based on artificial intelligence, which is used for the astronomical telescope drive system. For the faults that have already occurred, the expert system inference mechanism can be used to realize quick localization of failure, and we can use the expert solution in the knowledge base to run the self-healing decision until the failure is resolved. For the failure the knowledge base doesn't have, we can use human-machine interface to achieve real-time update of the knowledge base. For the faults that didn't occurred, the trained adaptive BP neural network is used to fit the parameters of the telescope running status, to monitor the running status of the telescope in real time and to realize the fault warning of the telescope operation. Fault diagnosis and seamless self-healing technology is one of the key technologies to realize intelligent, its research is of great significance.</t>
  </si>
  <si>
    <t>[Li, Yun; Yang, Shihai] Chinese Acad Sci, Nanjing Inst Astron Opt &amp; Technol, Natl Astron Observ, 188Bangcang St, Nanjing 210042, Jiangsu, Peoples R China; [Li, Yun; Yang, Shihai] Chinese Acad Sci, Nanjing Inst Astron Opt &amp; Technol, Key Lab Astron Opt &amp; Technol, Nanjing 210042, Jiangsu, Peoples R China; [Li, Yun] Univ Chinese Acad Sci, Beijing 100049, Peoples R China</t>
  </si>
  <si>
    <t>Chinese Academy of Sciences; National Astronomical Observatory, CAS; Nanjing Institute of Astronomical Optics &amp; Technology, NAOC, CAS; Chinese Academy of Sciences; Nanjing Institute of Astronomical Optics &amp; Technology, NAOC, CAS; Chinese Academy of Sciences; University of Chinese Academy of Sciences, CAS</t>
  </si>
  <si>
    <t>Yang, SH (corresponding author), Chinese Acad Sci, Nanjing Inst Astron Opt &amp; Technol, Natl Astron Observ, 188Bangcang St, Nanjing 210042, Jiangsu, Peoples R China.;Yang, SH (corresponding author), Chinese Acad Sci, Nanjing Inst Astron Opt &amp; Technol, Key Lab Astron Opt &amp; Technol, Nanjing 210042, Jiangsu, Peoples R China.</t>
  </si>
  <si>
    <t>shyang@niaot.ac.cn</t>
  </si>
  <si>
    <t>Li, Yun/0000-0003-4631-5553</t>
  </si>
  <si>
    <t>National Natural Science Foundation of China [11373052, 11403065, 11190013]; National Basic Research Program of China (973 Program) [2013CB834901]</t>
  </si>
  <si>
    <t>National Natural Science Foundation of China(National Natural Science Foundation of China (NSFC)); National Basic Research Program of China (973 Program)(National Basic Research Program of China)</t>
  </si>
  <si>
    <t>The authors are grateful for the support by the National Natural Science Foundation of China (Grant No. 11373052, Grant No. 11403065 and Grant No. 11190013) for their financial support. The authors are also grateful for the support by the National Basic Research Program of China (973 Program) (No. 2013CB834901).</t>
  </si>
  <si>
    <t>107004W</t>
  </si>
  <si>
    <t>10.1117/12.2311946</t>
  </si>
  <si>
    <t>WOS:000450858000131</t>
  </si>
  <si>
    <t>Li, ZY; Yuan, XY; Cui, XQ; Wang, LF; Shang, ZH; Du, FJ; Gong, XF; Gu, BZ; Hu, Y; Jiang, P; Li, XY; Lu, HP; Ma, B; Wei, FH; Wen, HK; Xu, J; Yang, SH; Zhou, HY</t>
  </si>
  <si>
    <t>Li, Zhengyang; Yuan, Xiangyan; Cui, Xiangqun; Wang, Lifan; Shang, Zhaohui; Du, Fujia; Gong, Xuefei; Gu, Bozhong; Hu, Yi; Jiang, Peng; Li, Xiaoyan; Lu, Haiping; Ma, Bin; Wei, Fuhai; Wen, Haikun; Xu, Jin; Yang, Shihai; Zhou, Honyan</t>
  </si>
  <si>
    <t>Introduction of Chinese Antarctic Optical Telescopes</t>
  </si>
  <si>
    <t>Optical telescopes; Antarctic astronomy; optical design</t>
  </si>
  <si>
    <t>DOME-C</t>
  </si>
  <si>
    <t>The site testing shows that Antarctic Dome A is one of the best site on earth for astronomical observations, for wavelength ranging from visible to infrared and sub-millimeter. Continuous observation for nearly four months in polar nights makes Dome A quite suitable for time domain astronomy. In the past decade CCAA already led a series of Antarctic astronomy activities and telescope projects which will be introduced in this paper. The first generation telescope is Chinese Small Telescope Array known as CSTAR, which was composed of four identical telescopes with 145mm entrance pupil, 20 square degrees FOV and different filters, all pointing to the celestial South Point, mainly used for variable stars detection and site testing. The telescope was deployed in Dome A in Jan. 2008, and followed by automatic observations for four consecutive winters. Three Antarctic Survey Telescopes (AST3) is the second generation telescope capable of pointing and tracking in very low temperature, with 500mm entrance pupil, 8.5 square degree FOV. AST3-1 and AST3-2 were respectively mounted on Dome A in Jan. 2012 and 2015, fully remotely controlled for supernovae survey and exoplanets searching. In Aug. 2017, AST3-2 successfully detected the optical counterpart of LIGO Source GW 170817. Now AST3-3 is under development for both optical and near infrared sky survey by matching different cameras. Based on the experience of the above smaller sized optical telescopes, the 2.5m Kunlun Dark Universe Survey Telescope (KDUST) was proposed for high resolution imaging over wide field of view. Currently the KDUST proposal was submitted to the government and waiting for project review.</t>
  </si>
  <si>
    <t>[Li, Zhengyang; Yuan, Xiangyan; Cui, Xiangqun; Du, Fujia; Gong, Xuefei; Gu, Bozhong; Li, Xiaoyan; Lu, Haiping; Wen, Haikun; Xu, Jin; Yang, Shihai] Chinese Acad Sci, Nanjing Inst Astron Opt &amp; Technol, Natl Astron Observ, Nanjing 210042, Jiangsu, Peoples R China; [Li, Zhengyang; Yuan, Xiangyan; Cui, Xiangqun; Du, Fujia; Gong, Xuefei; Gu, Bozhong; Li, Xiaoyan; Lu, Haiping; Wen, Haikun; Xu, Jin; Yang, Shihai] Chinese Acad Sci, Nanjing Inst Astron Opt &amp; Technol, Key Lab Astron Opt &amp; Technol, Nanjing 210042, Jiangsu, Peoples R China; [Li, Zhengyang; Yuan, Xiangyan; Cui, Xiangqun; Wang, Lifan; Shang, Zhaohui; Du, Fujia; Gong, Xuefei; Gu, Bozhong; Hu, Yi; Jiang, Peng; Li, Xiaoyan; Lu, Haiping; Ma, Bin; Wen, Haikun; Xu, Jin; Yang, Shihai; Zhou, Honyan] Chinese Ctr Antarctic Astron, Nanjing 210042, Jiangsu, Peoples R China; [Wang, Lifan] Chinese Acad Sci Nanjing, Purple Mt Observ, Nanjing 210042, Jiangsu, Peoples R China; [Shang, Zhaohui; Hu, Yi; Ma, Bin] Chinese Acad Sci, Natl Astron Observ, Beijing 100012, Peoples R China; [Jiang, Peng; Wei, Fuhai; Zhou, Honyan] Polar Res Inst China, Shanghai 200136, Peoples R China</t>
  </si>
  <si>
    <t>Chinese Academy of Sciences; National Astronomical Observatory, CAS; Nanjing Institute of Astronomical Optics &amp; Technology, NAOC, CAS; Chinese Academy of Sciences; Nanjing Institute of Astronomical Optics &amp; Technology, NAOC, CAS; Purple Mountain Observatory, CAS; Chinese Academy of Sciences; Nanjing Institute of Astronomical Optics &amp; Technology, NAOC, CAS; Chinese Academy of Sciences; National Astronomical Observatory, CAS; Polar Research Institute of China</t>
  </si>
  <si>
    <t>Li, ZY (corresponding author), Chinese Acad Sci, Nanjing Inst Astron Opt &amp; Technol, Natl Astron Observ, Nanjing 210042, Jiangsu, Peoples R China.;Li, ZY (corresponding author), Chinese Acad Sci, Nanjing Inst Astron Opt &amp; Technol, Key Lab Astron Opt &amp; Technol, Nanjing 210042, Jiangsu, Peoples R China.;Li, ZY (corresponding author), Chinese Ctr Antarctic Astron, Nanjing 210042, Jiangsu, Peoples R China.</t>
  </si>
  <si>
    <t>zyli@niaot.ac.cn</t>
  </si>
  <si>
    <t>hu, yi/0000-0003-3317-4771</t>
  </si>
  <si>
    <t>Polar Research Institute of China; National Natural Science Foundation of China [11503062, 11190011]; National Key Basic Research Program of China (973) [2013CB834901]; Tsinghua University; Chinese Arctic and Antarctic Administration; Nanjing University</t>
  </si>
  <si>
    <t>Polar Research Institute of China; National Natural Science Foundation of China(National Natural Science Foundation of China (NSFC)); National Key Basic Research Program of China (973)(National Basic Research Program of China); Tsinghua University; Chinese Arctic and Antarctic Administration; Nanjing University(Nanjing University)</t>
  </si>
  <si>
    <t>The authors would like to thank the Chinese Arctic and Antarctic Administration and Polar Research Institute of China for supporting the Antarctic Astronomical Research Expedition. And the authors are grateful for the support of the National Natural Science Foundation of China (11503062, 11190011), and the National Key Basic Research Program of China (973 2013CB834901). The authors appreciate Tsinghua University and Nanjing University for their financial support, and appreciate Prof. Michael Ashley for his great work of developing the PLATO and PLATO-A.</t>
  </si>
  <si>
    <t>107001L</t>
  </si>
  <si>
    <t>10.1117/12.2309618</t>
  </si>
  <si>
    <t>WOS:000450858000042</t>
  </si>
  <si>
    <t>Shang, ZH; Hu, KL; Yang, X; Hu, Y; Ma, B; Wang, W</t>
  </si>
  <si>
    <t>Shang, Zhaohui; Hu, Keliang; Yang, Xu; Hu, Yi; Ma, Bin; Wang, Wei</t>
  </si>
  <si>
    <t>Kunlun cloud and aurora monitor</t>
  </si>
  <si>
    <t>All-sky camera; thermal control; Antarctica; site testing; low temperature</t>
  </si>
  <si>
    <t>DOME; ANTARCTICA</t>
  </si>
  <si>
    <t>Kunlun Cloud and Aurora Monitor (KLCAM) is an all-sky camera with intensive thermal control designs specifically for the harsh environment at Dome A, Antarctica. The prototype of KLCAM was installed at Kunlun Station, Dome A in early 2017 and has worked under unattended condition non-stop through the polar nights successfully. KLCAM collects data for site testing as well as providing real-time observing conditions for the operation of the Antarctic Survey Telescope (AST3).</t>
  </si>
  <si>
    <t>[Shang, Zhaohui; Hu, Keliang; Yang, Xu; Hu, Yi; Ma, Bin; Wang, Wei] Chinese Acad Sci, Natl Astron Observ, Beijing, Peoples R China; [Shang, Zhaohui] Tianjin Normal Univ, Tianjin, Peoples R China; [Yang, Xu; Ma, Bin] Univ Chinese Acad Sci, Sch Astron &amp; Space Sci, Beijing, Peoples R China</t>
  </si>
  <si>
    <t>Chinese Academy of Sciences; National Astronomical Observatory, CAS; Tianjin Normal University; Chinese Academy of Sciences; University of Chinese Academy of Sciences, CAS</t>
  </si>
  <si>
    <t>Shang, ZH (corresponding author), Chinese Acad Sci, Natl Astron Observ, Beijing, Peoples R China.;Shang, ZH (corresponding author), Tianjin Normal Univ, Tianjin, Peoples R China.</t>
  </si>
  <si>
    <t>zshang@gmail.com</t>
  </si>
  <si>
    <t>National Natural Science Foundation of China [11733007, 11673037, 11403057, 11403048]; Chinese Polar Environment Comprehensive Investigation &amp; Assessment Programmes [CHINARE2016-02-03]; National Basic Research Program of China (973 Program) [2013CB834900]</t>
  </si>
  <si>
    <t>National Natural Science Foundation of China(National Natural Science Foundation of China (NSFC)); Chinese Polar Environment Comprehensive Investigation &amp; Assessment Programmes; National Basic Research Program of China (973 Program)(National Basic Research Program of China)</t>
  </si>
  <si>
    <t>This work has been supported by the National Natural Science Foundation of China under grant Nos. 11733007, 11673037, 11403057, and 11403048, the Chinese Polar Environment Comprehensive Investigation &amp; Assessment Programmes under grant No. CHINARE2016-02-03, and the National Basic Research Program of China (973 Program) under grant No. 2013CB834900. The authors deeply appreciate the 33th CHINARE for their great effort in installing/maintaining KLCAM and PLATO-A.</t>
  </si>
  <si>
    <t>10.1117/12.2312439</t>
  </si>
  <si>
    <t>WOS:000450858000137</t>
  </si>
  <si>
    <t>Yang, SH; Li, Y; Xu, DD; Wu, JJ</t>
  </si>
  <si>
    <t>Yang, Shihai; Li, Yun; Xu, Dandan; Wu, Jiajia</t>
  </si>
  <si>
    <t>Design of Semi-Physical Fault Simulation Platform for Antarctic Telescopes</t>
  </si>
  <si>
    <t>Antarctic; Telescope; Experimental Platform; Simulation</t>
  </si>
  <si>
    <t>More and more astronomical instruments have been installed in Antarctica because of good seeing. Due to adverse circumstances, remote location and unattended, a high fault rate was found in these astronomical instruments in Antarctica. To ensure the reliable operation of these instruments is one of critical technology problems. This paper presents an experimental platform with semi-physical simulation technique for Antarctic Telescopes. The platform helps the research for fault detection, fault diagnosis method, fault handling and so on. It consists of fault simulation system and fault diagnosis and self-recovery system. Furthermore, the platform can be used as fault diagnosis unit for Antarctic telescope directly.</t>
  </si>
  <si>
    <t>[Yang, Shihai; Li, Yun; Xu, Dandan; Wu, Jiajia] Chinese Acad Sci, Nanjing Inst Astron Opt &amp; Technol, Natl Astron Observ, 188 Bancang St, Nanjing 210042, Jiangsu, Peoples R China; [Yang, Shihai; Li, Yun; Xu, Dandan; Wu, Jiajia] Nanjing Inst Astron Opt &amp; Technol, Key Lab Astron Opt &amp; Technol, Nanjing, Jiangsu, Peoples R China; [Yang, Shihai; Li, Yun; Xu, Dandan; Wu, Jiajia] Univ Chinese Acad Sci, Beijing 100049,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</si>
  <si>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t>
  </si>
  <si>
    <t>Yang, SH (corresponding author), Chinese Acad Sci, Nanjing Inst Astron Opt &amp; Technol, Natl Astron Observ, 188 Bancang St, Nanjing 210042, Jiangsu, Peoples R China.;Yang, SH (corresponding author), Nanjing Inst Astron Opt &amp; Technol, Key Lab Astron Opt &amp; Technol, Nanjing, Jiangsu, Peoples R China.;Yang, SH (corresponding author), Univ Chinese Acad Sci, Beijing 100049, Peoples R China.</t>
  </si>
  <si>
    <t>Yang, Shihai/J-1593-2012; Xu, Dandan/H-7261-2019</t>
  </si>
  <si>
    <t>Xu, Dandan/0000-0002-0033-2262; Li, Yun/0000-0003-4631-5553</t>
  </si>
  <si>
    <t>10.1117/12.2309644</t>
  </si>
  <si>
    <t>WOS:000450858000059</t>
  </si>
  <si>
    <t>Miller, AD; Scowen, PA; Holton, RK; Prathipati, R; Veach, TJ; Ramirez, R; Challa, P; Camarena, R</t>
  </si>
  <si>
    <t>Lystrup, M; MacEwen, HA; Fazio, GG</t>
  </si>
  <si>
    <t>Miller, Alexander D.; Scowen, Paul A.; Holton, Rhonda K.; Prathipati, Ravi; Veach, Todd J.; Ramirez, Ronnie; Challa, Priya; Camarena, Raquel</t>
  </si>
  <si>
    <t>Hexapod Actuated Focal Plane for High-Resolution Suborbital and Ground-Based Exploration</t>
  </si>
  <si>
    <t>SPACE TELESCOPES AND INSTRUMENTATION 2018: OPTICAL, INFRARED, AND MILLIMETER WAVE</t>
  </si>
  <si>
    <t>Conference on Space Telescopes and Instrumentation - Optical, Infrared, and Millimeter Wave</t>
  </si>
  <si>
    <t>Hexapod; image stabilization; balloon-based imaging; ground-based imaging; focal plane</t>
  </si>
  <si>
    <t>This paper outlines development efforts to produce an imaging system, known as the HExapod Resolution Enhancement SYstem (HERESY), that can be interchangeably used aboard balloon-based and ground-based observing platforms. The instrument is a cryogenic hexapod system that accomplishes image stabilization similar to a tip-tilt mirror but by actuating the focal plane rather than the incoming optical beam. In its balloon configuration, HERESY is not a full-gimbaled pointing instrument but is rather a high-precision, high-frequency image stabilization instrument that removes image blurring caused by jitter. The pointing error signal (collected by star tracker) is fed to the hexapod at a high frequency to drive positional corrections in close to real-time. 1 arcsecond sustained pointing has already been demonstrated by missions such as NASA's STO-2 Antarctic balloon mission, and HERESY would improve STO-like gondola's pointing by an order of magnitude (0.1 '') bringing the imaging capability of the platform down to the 300nm diffraction limit. These balloon imaging capabilities have caught the interest of the planetary community since a long-duration mission would enable persistent diffraction-limited imaging for applications such as Gas Giant storm tracking, small body remote sensing, and exoplanet detections. The HERESY instrument is transportable and interchangeable since different detector configurations can be readily interchanged on the hexapod's mounting surface. HERESY can also be plugged into the focal point of any telescope system without introducing the need for any additional optics of its own. Therefore, it is straight-forward to reconfigure HERESY from a balloon-based instrument to a ground-based instrument. In the ground-based configuration an additional fast-read CMOS detector is co-mounted next to the primary science detector and acts as a star tracker. Once the imaging targets are lined up properly, the CMOS tracks the center-point of the guide-star at a rate of 100-200fps and feeds the positional corrections to the hexapod while the primary detector can take a long exposure simultaneously. Using this technique, the hexapod can remove X-Y blurring error in an image caused by atmospheric turbulence. In this configuration, HERESY can be installed at the focal plane of any optical telescope and immediately provide a working image stabilization system. Engineering testing of this prototype instrument have been completed at the 61 '' Kuiper observatory in Tucson, AZ, but more refinement of the pointing algorithm is needed before this instrument can collect publishable science data. A known limitation of the instrument is that a bright star must be in the FOV of the CMOS while the science target is in the FOV of the primary detector, so future modifications of the ground-based version of HERESY will likely include the addition of several more fast-read CMOS star trackers to broaden the star tracker field of view.</t>
  </si>
  <si>
    <t>[Miller, Alexander D.; Scowen, Paul A.; Holton, Rhonda K.; Prathipati, Ravi; Ramirez, Ronnie; Camarena, Raquel] ASU Sch Earth &amp; Space Explorat, 781 South Terrace Rd, Tempe, AZ 85281 USA; [Veach, Todd J.] Southwest Res Inst, PO Srawer 28510, San Antonio, TX 78228 USA; [Challa, Priya] Blue Origin LLC, 21218 76th Ave South, Kent, WA 98032 USA</t>
  </si>
  <si>
    <t>Arizona State University; Arizona State University-Tempe; Southwest Research Institute</t>
  </si>
  <si>
    <t>Miller, AD (corresponding author), ASU Sch Earth &amp; Space Explorat, 781 South Terrace Rd, Tempe, AZ 85281 USA.</t>
  </si>
  <si>
    <t>alexdukemiller@gmail.com</t>
  </si>
  <si>
    <t>Holton, Rhonda/JQV-5709-2023</t>
  </si>
  <si>
    <t>978-1-5106-1950-0</t>
  </si>
  <si>
    <t>106985Z</t>
  </si>
  <si>
    <t>10.1117/12.2312289</t>
  </si>
  <si>
    <t>BL4UZ</t>
  </si>
  <si>
    <t>WOS:000450864600151</t>
  </si>
  <si>
    <t>Teufel, AG; Morgan-Kiss, RM</t>
  </si>
  <si>
    <t>Durvasula, R; Rao, DVS</t>
  </si>
  <si>
    <t>Teufel, Amber Grace; Morgan-Kiss, Rachael Marie</t>
  </si>
  <si>
    <t>Physiological and Biochemical Adaptations of Psychrophiles</t>
  </si>
  <si>
    <t>EXTREMOPHILES: FROM BIOLOGY TO BIOTECHNOLOGY</t>
  </si>
  <si>
    <t>MCMURDO DRY VALLEYS; COLD ADAPTATION; SEA-ICE; LOW-TEMPERATURE; METHANOCOCCOIDES-BURTONII; LAKE FRYXELL; ANTARCTIC PSYCHROPHILE; MICROBIAL COMMUNITIES; THYLAKOID MEMBRANES; OXIDIZING BACTERIA</t>
  </si>
  <si>
    <t>[Teufel, Amber Grace] Brookhaven Natl Lab, Dept Biol, Upton, NY 11973 USA; [Morgan-Kiss, Rachael Marie] Miami Univ, Dept Microbiol, Microbial Ecophysiol, Oxford, OH 45056 USA</t>
  </si>
  <si>
    <t>United States Department of Energy (DOE); Brookhaven National Laboratory; University System of Ohio; Miami University</t>
  </si>
  <si>
    <t>Teufel, AG (corresponding author), Brookhaven Natl Lab, Dept Biol, Upton, NY 11973 USA.</t>
  </si>
  <si>
    <t>CRC PRESS-TAYLOR &amp; FRANCIS GROUP</t>
  </si>
  <si>
    <t>BOCA RATON</t>
  </si>
  <si>
    <t>6000 BROKEN SOUND PARKWAY NW, STE 300, BOCA RATON, FL 33487-2742 USA</t>
  </si>
  <si>
    <t>978-1-4987-7493-2; 978-1-4987-7492-5</t>
  </si>
  <si>
    <t>10.1201/9781315154695</t>
  </si>
  <si>
    <t>Biotechnology &amp; Applied Microbiology; Ecology; Microbiology</t>
  </si>
  <si>
    <t>Biotechnology &amp; Applied Microbiology; Environmental Sciences &amp; Ecology; Microbiology</t>
  </si>
  <si>
    <t>BL3TQ</t>
  </si>
  <si>
    <t>WOS:000450028700010</t>
  </si>
  <si>
    <t>Ahn, SJ; An, WS; Lee, TK; Choi, K</t>
  </si>
  <si>
    <t>ASME</t>
  </si>
  <si>
    <t>Ahn, Se-Jin; An, Woo-Seong; Lee, Tak-Kee; Choi, Kyungsik</t>
  </si>
  <si>
    <t>AN ANALYSIS ON THE CHANGE OF SHIP SPEED ACCORDING TO ICE LOAD SIGNAL IN CONTINUOUS ICEBREAKING AND RAMMING</t>
  </si>
  <si>
    <t>PROCEEDINGS OF THE ASME 37TH INTERNATIONAL CONFERENCE ON OCEAN, OFFSHORE AND ARCTIC ENGINEERING, 2018, VOL 8</t>
  </si>
  <si>
    <t>Proceedings of the ASME International Conference on Ocean Offshore and Arctic Engineering</t>
  </si>
  <si>
    <t>37th ASME International Conference on Ocean, Offshore and Arctic Engineering</t>
  </si>
  <si>
    <t>JUN 17-22, 2018</t>
  </si>
  <si>
    <t>Madrid, SPAIN</t>
  </si>
  <si>
    <t>Recently, the research activities by domestic and overseas researchers using the Korean ice-breaking research vessel, ARAON have been actively conducted. The ARAON regularly operates for research activities in the Antarctic and the Arctic Ocean every year. She conducts many scientific and engineering tasks including ice load measurement, investigation of the properties of material strength for sea ice, and icebreaking performance test during her voyages. Such tests provide important data for studying icebreaker. Ice-breaking mode is determined by conditions of sea ice and ice field, and it is divided into ramming and continuous icebreaking. When the icebreaker meets thick ice or icebergs, the ramming is conducted. At that time, the ship speed is generally slower than that of the continuous icebreaking. The ARAON conducted icebreaking performance tests at the Amundsen Sea in Antarctica in 2012. Many strain data were measured in the ramming and the continuous icebreaking. This study was based on the strain gauge signals measured by the ARAON during the research voyage in 2012 in the Antarctic and 2010 in the Arctic. The signals measured from repetitive ramming under the heavy ice condition in 2012 in the Antarctic Ocean were classified into the five profiles. And the classified ice load signals were analyzed with a focus on raising time, half-decaying time and total time duration. Also, the signals measured from continuous icebreaking in 2010 in the Arctic Ocean were analyzed in the same way as the ramming data. Finally, the time histories of ice load signals were summarized from the viewpoint of speed change at the time of ice load, and two data sets were compared.</t>
  </si>
  <si>
    <t>[Ahn, Se-Jin; An, Woo-Seong] Gyeongsang Natl Univ, Grad Sch, Dept Ocean Syst Engn, Tongyoung, South Korea; [Lee, Tak-Kee] Gyeongsang Natl Univ, Inst Marine Ind, Dept Naval Archi &amp; Ocean Engn, Tongyoung, South Korea; [Choi, Kyungsik] Korea Maritime &amp; Ocean Univ, Dept Ocean Engn, Busan, South Korea</t>
  </si>
  <si>
    <t>Gyeongsang National University; Gyeongsang National University; Korea Maritime &amp; Ocean University</t>
  </si>
  <si>
    <t>Ahn, SJ (corresponding author), Gyeongsang Natl Univ, Grad Sch, Dept Ocean Syst Engn, Tongyoung, South Korea.</t>
  </si>
  <si>
    <t>Lee, Tak-Kee/AGZ-4799-2022</t>
  </si>
  <si>
    <t>Lee, Tak-Kee/0000-0002-5944-156X</t>
  </si>
  <si>
    <t>BK21 Plus project</t>
  </si>
  <si>
    <t>This study was supported by the BK21 Plus project. The authors gratefully acknowledge this support. Also, thanks to Tae-Hoon Bae and Ju-Young Lee for helping we organize our research data.</t>
  </si>
  <si>
    <t>AMER SOC MECHANICAL ENGINEERS</t>
  </si>
  <si>
    <t>THREE PARK AVENUE, NEW YORK, NY 10016-5990 USA</t>
  </si>
  <si>
    <t>2153-4772</t>
  </si>
  <si>
    <t>978-0-7918-5129-6</t>
  </si>
  <si>
    <t>P ASME INT C OCEAN</t>
  </si>
  <si>
    <t>V008T07A005</t>
  </si>
  <si>
    <t>Engineering, Marine; Engineering, Ocean; Engineering, Mechanical</t>
  </si>
  <si>
    <t>BL3II</t>
  </si>
  <si>
    <t>WOS:000449724500005</t>
  </si>
  <si>
    <t>Schleussner, CF; Deryng, D; D'haen, S; Hare, W; Lissner, T; Ly, M; Nauels, A; Noblet, M; Pfleiderer, P; Pringle, P; Rokitzki, M; Saeed, F; Schaeffer, M; Serdeczny, O; Thomas, A</t>
  </si>
  <si>
    <t>Gadgil, A; Tomich, TP</t>
  </si>
  <si>
    <t>Schleussner, Carl-Friedrich; Deryng, Delphine; D'haen, Sarah; Hare, William; Lissner, Tabea; Ly, Mouhamed; Nauels, Alexander; Noblet, Melinda; Pfleiderer, Peter; Pringle, Patrick; Rokitzki, Martin; Saeed, Fahad; Schaeffer, Michiel; Serdeczny, Olivia; Thomas, Adelle</t>
  </si>
  <si>
    <t>1.5°C Hotspots: Climate Hazards, Vulnerabilities, and Impacts</t>
  </si>
  <si>
    <t>ANNUAL REVIEW OF ENVIRONMENT AND RESOURCES, VOL 43</t>
  </si>
  <si>
    <t>Annual Review of Environment and Resources</t>
  </si>
  <si>
    <t>1.5 degrees C; vulnerability; sea level rise; extreme weather events; small islands; hotspots</t>
  </si>
  <si>
    <t>SEA-LEVEL RISE; 1.5 DEGREES-C; ANTARCTIC ICE-SHEET; PROJECTED CHANGES; CORAL-REEFS; RISING TIDE; TEMPERATURE; PRECIPITATION; EXTREMES; POLICY</t>
  </si>
  <si>
    <t>Differentiating the impacts of climate change between 1.5 degrees C and 2 degrees C requires a regional and sector-specific perspective. Whereas for some regions and sectors the difference in climate variables might be indistinguishable from natural variability, other areas especially in the tropics and subtropics will experience significant shifts. In addition to region-specific changes in climatic conditions, vulnerability and exposure also differ substantially across the world. Even small differences in climate hazards can translate into sizeable impact differences for particularly vulnerable regions or sectors. Here, we review scientific evidence of regional differences in climate hazards at 1.5 degrees C and 2 degrees C and provide an assessment of selected hotspots of climate change, including small islands as well as rural, urban, and coastal areas in sub-Saharan Africa and South Asia, that are particularly affected by the additional 0.5 degrees C global mean temperature increase. We interlink these with a review of the vulnerability and exposure literature related to these hotspots to provide an integrated perspective on the differences in climate impacts between 1.5 degrees C and 2 degrees C.</t>
  </si>
  <si>
    <t>[Schleussner, Carl-Friedrich; Deryng, Delphine; D'haen, Sarah; Hare, William; Lissner, Tabea; Ly, Mouhamed; Nauels, Alexander; Noblet, Melinda; Pfleiderer, Peter; Pringle, Patrick; Rokitzki, Martin; Saeed, Fahad; Schaeffer, Michiel; Serdeczny, Olivia; Thomas, Adelle] Climate Analyt, D-10961 Berlin, Germany; [Schleussner, Carl-Friedrich; Saeed, Fahad] Potsdam Inst Climate Impact Res, D-14473 Potsdam, Germany; [Schleussner, Carl-Friedrich; Pfleiderer, Peter; Serdeczny, Olivia] Humboldt Univ, IRITHESys, D-10117 Berlin, Germany; [Ly, Mouhamed] Cheikh Anta Diop Univ, LPAOSF ESP, Dakar 5085, Senegal; [Nauels, Alexander] Univ Melbourne, Australian German Climate &amp; Energy Coll, Parkville, Vic 3010, Australia; [Saeed, Fahad] King Abdulaziz Univ, Ctr Excellence Climate Change Res, Jeddah 21589, Saudi Arabia; [Schaeffer, Michiel] Wageningen Univ &amp; Res Ctr, Dept Environm Sci, NL-6700 AA Wageningen, Netherlands; [Thomas, Adelle] Univ Bahamas, Environm &amp; Life Sci, Nassau 76905, Bahamas</t>
  </si>
  <si>
    <t>Potsdam Institut fur Klimafolgenforschung; Humboldt University of Berlin; University Cheikh Anta Diop Dakar; University of Melbourne; King Abdulaziz University; Wageningen University &amp; Research</t>
  </si>
  <si>
    <t>Schleussner, CF (corresponding author), Climate Analyt, D-10961 Berlin, Germany.;Schleussner, CF (corresponding author), Potsdam Inst Climate Impact Res, D-14473 Potsdam, Germany.;Schleussner, CF (corresponding author), Humboldt Univ, IRITHESys, D-10117 Berlin, Germany.</t>
  </si>
  <si>
    <t>carl.schleussner@climateanalytics.org</t>
  </si>
  <si>
    <t>Deryng, Delphine/AAN-6255-2020; Pfleiderer, Peter/HIK-1161-2022; Deryng, Delphine/AAN-8899-2021; D'haen, Sarah A.L./E-6698-2015</t>
  </si>
  <si>
    <t>Deryng, Delphine/0000-0001-6214-7241; Schaeffer, Michiel/0000-0003-0052-5088; Lissner, Tabea/0000-0001-6637-6084; Thomas, Adelle/0000-0002-0407-2891; Schleussner, Carl-Friedrich/0000-0001-8471-848X; Nauels, Alexander/0000-0003-1378-3377; PRINGLE, PATRICK/0000-0003-0090-044X</t>
  </si>
  <si>
    <t>1543-5938</t>
  </si>
  <si>
    <t>978-0-8243-2343-1</t>
  </si>
  <si>
    <t>ANNU REV ENV RESOUR</t>
  </si>
  <si>
    <t>Annu. Rev. Environ. Resour</t>
  </si>
  <si>
    <t>10.1146/annurev-environ-102017-025835</t>
  </si>
  <si>
    <t>Environmental Sciences; Environmental Studies</t>
  </si>
  <si>
    <t>Book Citation Index – Social Sciences &amp; Humanities (BKCI-SSH); Book Citation Index – Science (BKCI-S); Science Citation Index Expanded (SCI-EXPANDED); Social Science Citation Index (SSCI)</t>
  </si>
  <si>
    <t>BL1WZ</t>
  </si>
  <si>
    <t>WOS:000448517600006</t>
  </si>
  <si>
    <t>Supono; Bolch, C; Knowles, G</t>
  </si>
  <si>
    <t>Arisuryanti, T; Maryani; Rohmah, Z; Hidayati, L; Aristya, GR</t>
  </si>
  <si>
    <t>Supono; Bolch, Christopher; Knowles, Graeme</t>
  </si>
  <si>
    <t>Pathological Alteration of Digestive Tissues in Blue Mussel (Mytillus galloprovincialis) Larvae Induced by Alexandrium fundyense Lysates</t>
  </si>
  <si>
    <t>INVENTING PROSPEROUS FUTURE THROUGH BIOLOGICAL RESEARCH AND TROPICAL BIODIVERSITY MANAGEMENT</t>
  </si>
  <si>
    <t>5th International Conference on Biological Science (ICBS)</t>
  </si>
  <si>
    <t>SEP 15-16, 2017</t>
  </si>
  <si>
    <t>Univ Gadjah Mada, Fac Biol, Yogyakarta, INDONESIA</t>
  </si>
  <si>
    <t>Univ Gadjah Mada, Fac Biol</t>
  </si>
  <si>
    <t>Alexandrium fundyense; blue mussel larvae; HAB; lysate; pathology</t>
  </si>
  <si>
    <t>TOXIC DINOFLAGELLATE; HETEROCAPSA-CIRCULARISQUAMA; TAMARENSE; SCALLOP; CATENELLA; CULTURES; GROWTH; CYSTS</t>
  </si>
  <si>
    <t>Bloom of toxic dinoflagellate, Alexandrium fundyense has inflicted significant economic loss of both wild fisheries and aquaculture farming. This toxic dinoflagellate is capable of producing extracellular (exudates) and intracellular toxic compound (lysates), causing mass mortality of shellfish in hatchery operation. Despite its significant impacts, there is lack of study to understand the toxicity mechanism and cellular effect of A. fundyense lysates on shellfish larvae. This study aimed to investigate pathological changes of digestive tissues in blue mussel (Mytilus galloprovincialis) larvae exposed to A. fundyense lysates. Blue mussel larvae were exposed to A. fundyense lysates at a bloom concentration of 1 500 cells ml(-1) and sampled for histological assessment at every 0 h, 3 h, 15 h, 24 h, and 48 h after exposure. This study found that pathological changes in digestive tissues occurred as early as 3 h after exposure. Pathological changes included cell vacuolation, necrosis, and cilial exfoliation of style sac. Of these changes, only the prevalence and intensity of cell necrosis increases with increasing exposure duration (from low at 3 h to 15 h to intermediate at 24 h to 48 h). The finding of this study suggests that early detection and appropriate mitigation of A. fundyense bloom is needed to minimize its impact on shellfish hatchery.</t>
  </si>
  <si>
    <t>[Supono] Indonesian Inst Sci, Res Ctr Oceanog, LKBL Bitung LIPI, Sulawesi Utara, Indonesia; [Bolch, Christopher] Univ Tasmania, Inst Marine &amp; Antarctic Studies, Launceston, Tas, Australia; [Knowles, Graeme] Dept Primary Ind Pk Waters &amp; Environm, Anim Hlth Lab, Launceston, Tas, Australia</t>
  </si>
  <si>
    <t>National Research &amp; Innovation Agency of Indonesia (BRIN); Indonesian Institute of Sciences (LIPI); University of Tasmania</t>
  </si>
  <si>
    <t>Supono (corresponding author), Indonesian Inst Sci, Res Ctr Oceanog, LKBL Bitung LIPI, Sulawesi Utara, Indonesia.</t>
  </si>
  <si>
    <t>supono@lipi.go.id</t>
  </si>
  <si>
    <t>Bolch, Christopher J/J-7619-2014</t>
  </si>
  <si>
    <t>Supono, Supono/0000-0002-2747-3049</t>
  </si>
  <si>
    <t>Australia Awards Scholarship; LKBL Bitung-LIPI</t>
  </si>
  <si>
    <t>We would like to thank Australia Awards Scholarship for research funding support, LKBL Bitung-LIPI for travel fund support for the conference, spring bay seafood for providing larvae, and Institute for Marine and Antarctic Studies (IMAS) for providing space and equipment set up during the experiment.</t>
  </si>
  <si>
    <t>978-0-7354-1718-2</t>
  </si>
  <si>
    <t>10.1063/1.5050157</t>
  </si>
  <si>
    <t>Biology; Physics, Applied</t>
  </si>
  <si>
    <t>Life Sciences &amp; Biomedicine - Other Topics; Physics</t>
  </si>
  <si>
    <t>BL1LT</t>
  </si>
  <si>
    <t>WOS:000447843600061</t>
  </si>
  <si>
    <t>Li, JC</t>
  </si>
  <si>
    <t>Xiao, X; Hauer, T; Khan, SAR</t>
  </si>
  <si>
    <t>Li Jingchang</t>
  </si>
  <si>
    <t>New Relationship of the Antarctic Treaty System and the UNCLOS System: Coordination and Cooperation</t>
  </si>
  <si>
    <t>PROCEEDINGS OF THE 2018 4TH INTERNATIONAL CONFERENCE ON SOCIAL SCIENCE AND HIGHER EDUCATION (ICSSHE 2018)</t>
  </si>
  <si>
    <t>Advances in Social Science Education and Humanities Research</t>
  </si>
  <si>
    <t>4th International Conference on Social Science and Higher Education (ICSSHE)</t>
  </si>
  <si>
    <t>SEP 28-30, 2018</t>
  </si>
  <si>
    <t>Sanya, PEOPLES R CHINA</t>
  </si>
  <si>
    <t>UNCLOS System; Antarctic Treaty System; coordination and cooperation</t>
  </si>
  <si>
    <t>United Nations Convention on the Law of the Sea (UNCLOS) system applies to all the ocean of the world, while Antarctic Treaty System (ATS) applies to the land and ocean of south of 60 degrees S. Therefore, the ocean of south of 60 degrees S will be regulated by the UNCLOS system and ATS simultaneously. Conservation and sustainable use of marine biological diversity of areas beyond national jurisdiction (BBNJ) agreement is in accordance with UNCLOS, so it will also apply to the ocean of south of 60 degrees S. But within the framework of ATS, the BBNJ issues were already regulated or noted, such as: MPAs, Utilization of Genetic Resources and IUU Fishing. Coordination and cooperation are urgently needed. Through the review of legislation history of Convention on the Regulation of Antarctic Mineral Resources (CRAMRA), we could get some experience of this coordination and cooperation. And through theory and practice analysis, we could conclude that the coordination and cooperation is feasible. Hence, the delegates who participated legislation work of BBNJ agreement should pay attention to this phenomenon and discuss the coordination and cooperation with ATS to lay foundation for the application in the ocean of south of 60 degrees S.</t>
  </si>
  <si>
    <t>[Li Jingchang] Xiamen Univ XMU, SCSI, Xiamen, Peoples R China</t>
  </si>
  <si>
    <t>Li, JC (corresponding author), Xiamen Univ XMU, SCSI, Xiamen, Peoples R China.</t>
  </si>
  <si>
    <t>L201009270311@163.com</t>
  </si>
  <si>
    <t>ATLANTIS PRESS</t>
  </si>
  <si>
    <t>29 AVENUE LAVMIERE, PARIS, 75019, FRANCE</t>
  </si>
  <si>
    <t>2352-5398</t>
  </si>
  <si>
    <t>978-94-6252-588-7</t>
  </si>
  <si>
    <t>ADV SOC SCI EDUC HUM</t>
  </si>
  <si>
    <t>Social Sciences, Interdisciplinary</t>
  </si>
  <si>
    <t>Conference Proceedings Citation Index - Social Science &amp; Humanities (CPCI-SSH)</t>
  </si>
  <si>
    <t>Social Sciences - Other Topics</t>
  </si>
  <si>
    <t>BL1TC</t>
  </si>
  <si>
    <t>WOS:000448308500092</t>
  </si>
  <si>
    <t>O'Driscoll, C</t>
  </si>
  <si>
    <t>O'Driscoll, Cath</t>
  </si>
  <si>
    <t>Antarctic greenhouse</t>
  </si>
  <si>
    <t>CHEMISTRY &amp; INDUSTRY</t>
  </si>
  <si>
    <t>News Item</t>
  </si>
  <si>
    <t>cath.odriscoll@soci.org</t>
  </si>
  <si>
    <t>WILEY PERIODICALS, INC</t>
  </si>
  <si>
    <t>ONE MONTGOMERY ST, SUITE 1200, SAN FRANCISCO, CA 94104 USA</t>
  </si>
  <si>
    <t>0009-3068</t>
  </si>
  <si>
    <t>2047-6329</t>
  </si>
  <si>
    <t>CHEM IND-LONDON</t>
  </si>
  <si>
    <t>Chem. Ind.</t>
  </si>
  <si>
    <t>Chemistry, Applied</t>
  </si>
  <si>
    <t>GX5BG</t>
  </si>
  <si>
    <t>WOS:000447754200024</t>
  </si>
  <si>
    <t>Linares, MPP; Guidarelli, M; Russi, M; Panza, GF</t>
  </si>
  <si>
    <t>DAmico, S</t>
  </si>
  <si>
    <t>Linares, M. P. Plasencia; Guidarelli, M.; Russi, M.; Panza, G. F.</t>
  </si>
  <si>
    <t>Investigating the Focal Mechanisms of the August 4th, 2003, Mw 7.6, South Orkney Islands Earthquake and its Aftershocks Sequence</t>
  </si>
  <si>
    <t>MOMENT TENSOR SOLUTIONS: A USEFUL TOOL FOR SEISMOTECTONICS</t>
  </si>
  <si>
    <t>Springer Natural Hazards</t>
  </si>
  <si>
    <t>SEISMIC MOMENT TENSOR; WAVE-FORM INVERSION; SCOTIA SEA REGION; TECTONICS; ANTARCTICA; CALIFORNIA</t>
  </si>
  <si>
    <t>The M-w = 7.6 earthquake, known as Centenary Earthquake, occurred in the Scotia Sea region near the South Orkney Islands, Laurie Island, where is located the permanent Argentinean Antarctic Base Orcadas, here from 1997 operates a seismographic station ORCD, which has recorded several thousands of aftershocks, the most energetic ones recorded by all the instruments of the Antarctic Seismographic Argentinean-Italian Network (ASAIN). The aftershocks data available at ORCD station, till 60 days following the main shock were compiled. The plot of aftershocks rate with time was found to be oscillatory decay. Then, we inverted regional waveforms from ASAIN and International Federation of Digital Seismograph Networks (FSDN) stations to determine source parameters and source time functions for a set of aftershocks with magnitudes in the range 4.3-5.6 m(b). For the regional inversion we applied a methodology for the determination of the seismic moment tensor by means of full waveform inversion. The results obtained reflect the normal character of the main system fault, characterizing the study area.</t>
  </si>
  <si>
    <t>[Linares, M. P. Plasencia; Guidarelli, M.; Russi, M.] Ist Nazl Oceanog &amp; Geofis Sperimentale OGS, Borgo Grotta Gigante 42-C, I-34010 Trieste, Italy; [Panza, G. F.] Univ Trieste, Dept Earth Sci, Via E Weiss 4, I-34127 Trieste, Italy</t>
  </si>
  <si>
    <t>Istituto Nazionale di Oceanografia e di Geofisica Sperimentale; University of Trieste</t>
  </si>
  <si>
    <t>Linares, MPP (corresponding author), Ist Nazl Oceanog &amp; Geofis Sperimentale OGS, Borgo Grotta Gigante 42-C, I-34010 Trieste, Italy.</t>
  </si>
  <si>
    <t>mplasencia@inogs.it</t>
  </si>
  <si>
    <t>2365-0656</t>
  </si>
  <si>
    <t>2365-0664</t>
  </si>
  <si>
    <t>978-3-319-77359-9; 978-3-319-77358-2</t>
  </si>
  <si>
    <t>SPRINGER NAT HAZARDS</t>
  </si>
  <si>
    <t>10.1007/978-3-319-77359-9_17</t>
  </si>
  <si>
    <t>10.1007/978-3-319-77359-9</t>
  </si>
  <si>
    <t>BK7YT</t>
  </si>
  <si>
    <t>WOS:000442399200018</t>
  </si>
  <si>
    <t>Mohammed, A; Abdul-Wahab, MF; Hashim, M; Omar, AH; Reba, MNM; Said, MFM; Soeed, K; AliaS', SA; Smykla, J; Abba, M; Ibrahim, Z</t>
  </si>
  <si>
    <t>Mohammed, Abdullahi; Abdul-Wahab, Mohd Firdaus; Hashim, Mazlan; Omar, Abdul Hafidz; Reba, Mohd Nadzri Md; Said, Mohd Farid Muhamad; Soeed, Kamaruzaman; AliaS', Siti Aisyah; Smykla, Jerzy; Abba, Mustapha; Ibrahim, Zaharah</t>
  </si>
  <si>
    <t>Biohydrogen Production by Antarctic Psychrotolerant Klebsiella sp ABZ11</t>
  </si>
  <si>
    <t>POLISH JOURNAL OF MICROBIOLOGY</t>
  </si>
  <si>
    <t>Klebsiella sp; biohydrogen; facultative psychrotolerant; oxygen uptake; carbohydrate consumption</t>
  </si>
  <si>
    <t>HYDROGEN-PRODUCTION; SP NOV.; FERMENTATION; BACTERIA; OXYGEN</t>
  </si>
  <si>
    <t>Lower temperature biohydrogen production has always been attractive, due to the lower energy requirements. However, the slow metabolic rate of psychrotolerant biohydrogen-producing bacteria is a common problem that affects their biohydrogen yield. This study reports on the improved substrate synthesis and biohydrogen productivity by the psychrotolerant Klebsiella sp. strain ABZ11, isolated from Antarctic seawater sample. The isolate was screened for biohydrogen production at 30 degrees C, under facultative anaerobic condition. The isolate is able to ferment glucose, fructose and sucrose with biohydrogen production rate and yield of 0.8 mol/l/h and 3.8 mol/g, respectively at 10 g/l glucose concentration. It also showed 74% carbohydrate uptake and 95% oxygen uptake ability, and a wide growth temperature range with optimum at 37 degrees C. Klebsiella sp. ABZ11 has a short biohydrogen production lag phase, fast substrate uptake and is able to tolerate the presence of oxygen in the culture medium. Thus, the isolate has a potential to be used for lower temperature biohydrogen production process.</t>
  </si>
  <si>
    <t>[Mohammed, Abdullahi] Ibrahim Badamasi Babangida Univ, Lapai, Niger State, Niger; [Mohammed, Abdullahi; Abdul-Wahab, Mohd Firdaus; Ibrahim, Zaharah] Univ Teknol Malaysia, Fac Biosci &amp; Med Engn, Johor Baharu, Malaysia; [Hashim, Mazlan; Reba, Mohd Nadzri Md] Univ Teknol Malaysia, Geosci &amp; Digital Earth Ctr INSTeG, Johor Baharu, Malaysia; [Omar, Abdul Hafidz; Soeed, Kamaruzaman] Univ Teknol Malaysia, SITC, Johor Baharu, Malaysia; [Said, Mohd Farid Muhamad] Univ Teknol Malaysia, ADC, Johor Baharu, Malaysia; [AliaS', Siti Aisyah] Univ Malaya, Inst Ocean &amp; Earth Sci, Kuala Lumpur, Malaysia; [AliaS', Siti Aisyah] Univ Malaya, Inst Grad Studies, Natl Antarctic Res Ctr, Kuala Lumpur, Malaysia; [Smykla, Jerzy] Univ North Carolina Wilmington, Dept Biol &amp; Marine Biol, Wilmington, NC USA; [Smykla, Jerzy] Polish Acad Sci, Inst Nat Conservat, Dept Biodivers, Krakow, Poland; [Abba, Mustapha] Bauchi State Univ Gadau, Dept Microbiol, Bauchi, Nigeria</t>
  </si>
  <si>
    <t>Universiti Teknologi Malaysia; Universiti Teknologi Malaysia; Universiti Teknologi Malaysia; Universiti Teknologi Malaysia; Universiti Malaya; Universiti Malaya; University of North Carolina; University of North Carolina Wilmington; Polish Academy of Sciences</t>
  </si>
  <si>
    <t>Ibrahim, Z (corresponding author), Univ Teknol Malaysia, Fac Biosci &amp; Med Engn, Johor Baharu, Malaysia.</t>
  </si>
  <si>
    <t>zaharah@utm.my</t>
  </si>
  <si>
    <t>Abdul-Wahab, Mohd Firdaus/P-3934-2019; Abdul-Wahab, Mohd Firdaus/J-8345-2012; FASc, SITI AISYAH A. HJ ALIAS/B-9785-2010; Hashim, Mazlan/J-7291-2012; Smykla, Jerzy/N-3288-2014; Md Reba, Mohd Nadzri/J-9687-2013</t>
  </si>
  <si>
    <t>Abdul-Wahab, Mohd Firdaus/0000-0002-4023-0762; FASc, SITI AISYAH A. HJ ALIAS/0000-0002-6759-5745; Hashim, Mazlan/0000-0001-8284-3332; Smykla, Jerzy/0000-0001-8228-6695; Md Reba, Mohd Nadzri/0000-0002-3896-6797</t>
  </si>
  <si>
    <t>UTM Flagship Research Grant [01G27, 00G98, 02E13]; UTM Tier 1 Research University Grant [07H31]; Tertiary Education Trust Fund (Tetfund) Nigeria; IBB University, Lapai, Niger State, Nigeria</t>
  </si>
  <si>
    <t>UTM Flagship Research Grant; UTM Tier 1 Research University Grant; Tertiary Education Trust Fund (Tetfund) Nigeria; IBB University, Lapai, Niger State, Nigeria</t>
  </si>
  <si>
    <t>This work was supported by UTM Flagship Research Grant (grant numbers 01G27, 00G98, 02E13) and UTM Tier 1 Research University Grant (grant number 07H31). A.M. would like to acknowledge the Tertiary Education Trust Fund (Tetfund) Nigeria and IBB University, Lapai, Niger State, Nigeria for PhD scholarship provided.</t>
  </si>
  <si>
    <t>POLSKIE TOWARZYSTWO MIKROBIOLOGOW-POLISH SOCIETY OF MICROBIOLOGISTS</t>
  </si>
  <si>
    <t>CHELMSKA STR 30-34, WARSAW, 00-725, POLAND</t>
  </si>
  <si>
    <t>1733-1331</t>
  </si>
  <si>
    <t>POL J MICROBIOL</t>
  </si>
  <si>
    <t>Pol. J. Microbiol.</t>
  </si>
  <si>
    <t>10.21307/pjm-2018-033</t>
  </si>
  <si>
    <t>GW3LZ</t>
  </si>
  <si>
    <t>WOS:000446808100004</t>
  </si>
  <si>
    <t>Krzeminska, M; Sicinski, J; Kuklinski, P</t>
  </si>
  <si>
    <t>Krzeminska, Malgorzata; Sicinski, Jacek; Kuklinski, Piotr</t>
  </si>
  <si>
    <t>Biodiversity and biogeographic affiliation of Bryozoa from King George Island (Antarctica)</t>
  </si>
  <si>
    <t>SYSTEMATICS AND BIODIVERSITY</t>
  </si>
  <si>
    <t>Antarctica; biodiversity; biogeography; Bryozoa; King George Island</t>
  </si>
  <si>
    <t>SOUTH SHETLAND ISLANDS; POLAR BRYOZOANS; ADMIRALTY BAY; WEDDELL SEA; MARINE LIFE; SCOTIA ARC; OCEAN; DIVERSITY; FAUNA; COMMUNITIES</t>
  </si>
  <si>
    <t>King George Island (KGI), which is located between the Antarctic and South American continents, may play a crucial role in the exchange of Bryozoa amongst the various Antarctic sectors and across the Polar Front. Knowledge regarding the biological diversity of this area could help us understand the evolution of the Antarctic ecosystem and its connectivity to the South American continent as well as the colonization ability of particular species. Here, we investigate the patterns of diversity and biogeographic affiliation of the cheilostome Bryozoa from KGI and the surrounding areas. Of 114 identified taxa from a depth range of 6-492m, 26 species were reported for the first time in KGI. The most speciose genera were Camptoplites, Osthimosia, Smittina, and Cellarinella. Species richness at KGI consisted of 70% of the total bryozoans at the South Shetland Islands (SSI). Fifty-nine per cent of the bryozoans from KGI are endemic to Antarctica, which closely reflects the previously estimated endemism rate for bryozoans and other Antarctic taxa. Cluster analysis indicated that the strongest faunal links of SSI bryozoans were with Antarctic Peninsula assemblages, corresponding to the physical distance between both locations. The biogeographic similarities between SSI and South America confirm the broad trend of existing Antarctic-South American faunal links previously observed in bryozoans and many other taxa and indicate that SSI might be an important transitional zone between Antarctica and South America.</t>
  </si>
  <si>
    <t>[Krzeminska, Malgorzata; Kuklinski, Piotr] Polish Acad Sci, Inst Oceanol, Powstancow Warszawy 55, PL-81712 Sopot, Poland; [Sicinski, Jacek] Univ Lodz, Lab Polar Biol &amp; Oceanobiol, 12-16 Banacha St, PL-90237 Lodz, Poland; [Kuklinski, Piotr] Nat Hist Museum, Cromwell Rd, London SW7 5BD, England</t>
  </si>
  <si>
    <t>Polish Academy of Sciences; Institute of Oceanology of the Polish Academy of Sciences; University of Lodz; Natural History Museum London</t>
  </si>
  <si>
    <t>Krzeminska, M (corresponding author), Polish Acad Sci, Inst Oceanol, Powstancow Warszawy 55, PL-81712 Sopot, Poland.</t>
  </si>
  <si>
    <t>mkrzeminska@iopan.gda.pl</t>
  </si>
  <si>
    <t>Sicinski, Jacek/P-2033-2017</t>
  </si>
  <si>
    <t>Kuklinski, Piotr/0000-0002-1507-215X; Sicinski, Jacek/0000-0002-5235-3188; Krzeminska, Malgorzata/0000-0001-7823-1253</t>
  </si>
  <si>
    <t>National Science Centre [2012/07/N/NZ8/01281]; Polish-Norwegian Research Programme [Pol-Nor/196260/81/2013]</t>
  </si>
  <si>
    <t>National Science Centre(National Science Centre, Poland); Polish-Norwegian Research Programme</t>
  </si>
  <si>
    <t>This work was supported by the National Science Centre [grant number 2012/07/N/NZ8/01281]; Polish-Norwegian Research Programme operated by the National Centre for Research and Development under the Norwegian Financial Mechanism 2009-2014 [grant number Pol-Nor/196260/81/2013].</t>
  </si>
  <si>
    <t>1477-2000</t>
  </si>
  <si>
    <t>1478-0933</t>
  </si>
  <si>
    <t>SYST BIODIVERS</t>
  </si>
  <si>
    <t>Syst. Biodivers.</t>
  </si>
  <si>
    <t>10.1080/14772000.2018.1457099</t>
  </si>
  <si>
    <t>Biodiversity Conservation; Biology</t>
  </si>
  <si>
    <t>Biodiversity &amp; Conservation; Life Sciences &amp; Biomedicine - Other Topics</t>
  </si>
  <si>
    <t>GX0JD</t>
  </si>
  <si>
    <t>WOS:000447395300006</t>
  </si>
  <si>
    <t>van Putten, IE; Cvitanovic, C; Fulton, E; Lacey, J; Kelly, R</t>
  </si>
  <si>
    <t>van Putten, Ingrid E.; Cvitanovic, Christopher; Fulton, Elizabeth; Lacey, Justine; Kelly, Rachel</t>
  </si>
  <si>
    <t>The emergence of social licence necessitates reforms in environmental regulation</t>
  </si>
  <si>
    <t>environmental management; governance; legitimacy; resource conflict; trust</t>
  </si>
  <si>
    <t>COMMUNITY ENGAGEMENT; TASMANIA; OPERATE; MANAGEMENT; SUSTAINABILITY; ACCEPTANCE; OBJECTIVES; FISHERIES; RESOURCE; INDUSTRY</t>
  </si>
  <si>
    <t>The term social licence to operate (SLO), popularized in corporate usage over the last 20 years, is frequently used to refer to the level of social approval that exists in relation to the development of natural resources for private or public purposes. However, the theoretical and practical utility of the concept remains contested and it is often used opportunistically to advance individual agendas. Moreover, it remains difficult to assess how an adequate level of SLO can be transparently assessed, or how dialogue can be appropriately achieved. In this paper we argue that the increasing use of the SLO concept is an indication that trust in, and the legitimacy of, formal regulatory processes for natural resource management has eroded and needs to be reimagined. In response, we outline five principles that provide pathways to increase the legitimacy of, and trust in, regulatory approval processes: (i) clear regulatory objectives; (ii) transparent regulatory approval processes; (iii) clear pathways for appeals and reviews of regulatory decisions (iv) early and inclusive collaborative consultation process; and (v) independence of decision-making authorities. By rethinking the basic principles of regulatory and licencing processes in natural resource management, our five principles aim to reduce the need for SLO. This could minimize erratic decision making and inequitable approval processes that are driven by a perceived need for SLO, often only for the corporate sector, which risks the voices of other stakeholders being unevenly represented. We draw upon natural resource management experiences from Tasmania, Australia as illustrative examples to stimulate a discussion on the usefulness of SLO and the need for improved approaches to natural resource management.</t>
  </si>
  <si>
    <t>[van Putten, Ingrid E.; Cvitanovic, Christopher; Fulton, Elizabeth] CSIRO, Oceans &amp; Atmosphere, Hobart, Tas, Australia; [van Putten, Ingrid E.; Cvitanovic, Christopher; Fulton, Elizabeth; Kelly, Rachel] Univ Tasmania, Ctr Marine Socioecol, Hobart, Tas, Australia; [Lacey, Justine] CSIRO, Land &amp; Water, Brisbane, Qld, Australia; [Kelly, Rachel] Inst Marine &amp; Antarctic Studies, Hobart, Tas, Australia</t>
  </si>
  <si>
    <t>Commonwealth Scientific &amp; Industrial Research Organisation (CSIRO); University of Tasmania; Commonwealth Scientific &amp; Industrial Research Organisation (CSIRO); University of Tasmania</t>
  </si>
  <si>
    <t>van Putten, IE (corresponding author), CSIRO, Oceans &amp; Atmosphere, Hobart, Tas, Australia.;van Putten, IE (corresponding author), Univ Tasmania, Ctr Marine Socioecol, Hobart, Tas, Australia.</t>
  </si>
  <si>
    <t>van putten, ingrid/AAV-1301-2021; Fulton, Beth/A-2871-2008; Lacey, Justine/P-6956-2014; Kelly, Rachel/U-8836-2019; Fulton, Beth/AAJ-1398-2021</t>
  </si>
  <si>
    <t>van putten, ingrid/0000-0001-8397-9768; Lacey, Justine/0000-0002-7559-0143; Kelly, Rachel/0000-0002-8364-1836; Fulton, Beth/0000-0002-5904-7917; Cvitanovic, Christopher/0000-0002-2565-3396</t>
  </si>
  <si>
    <t>10.5751/ES-10397-230324</t>
  </si>
  <si>
    <t>GV7PN</t>
  </si>
  <si>
    <t>WOS:000446321000042</t>
  </si>
  <si>
    <t>Green, ME; D'Anastasi, BR; Hobbs, JPA; Feldheim, K; McAuley, R; Peverell, S; Stapley, J; Johnson, G; Appleyard, SA; White, WT; Simpfendorfer, CA; van Herwerden, L</t>
  </si>
  <si>
    <t>Green, Madeline E.; D'Anastasi, Blanche R.; Hobbs, Jean-Paul A.; Feldheim, Kevin; McAuley, Rory; Peverell, Stirling; Stapley, Jason; Johnson, Grant; Appleyard, Sharon A.; White, William T.; Simpfendorfer, Colin A.; van Herwerden, Lynne</t>
  </si>
  <si>
    <t>Mixed-marker approach suggests maternal philopatry and sex-biased behaviours of narrow sawfish Anoxypristis cuspidata</t>
  </si>
  <si>
    <t>Pristidae; Genetics; Indo-Pacific; Mitochondrial DNA; Microsatellites</t>
  </si>
  <si>
    <t>POPULATION-STRUCTURE; REEF FISH; GENE FLOW; DISPERSAL; SHARK; AUSTRALIA; MAMMALS; MICROSATELLITE; DIFFERENTIATION; PHYLOGEOGRAPHY</t>
  </si>
  <si>
    <t>The narrow sawfish Anoxypristis cuspidata belongs to the most endangered family of chondrichthyan fishes, the sawfishes (Pristidae). This species has undergone significant de-clines in geographic range and abundance due to anthropogenic activities including fishing and habitat destruction. Very little is known of adult movements within its distribution. In order to better manage and protect this endangered species, understanding patterns of habitat use, connectivity and behaviour is important. Using a combination of partial mitochondrial sequences (control region [CR] and NADH dehydrogenase 4 [ND4]) and nuclear markers (microsatellites), this study assessed the genetic population structure of A. cuspidata in Australia and Papua New Guinea. Significant population structuring using mitochondrial DNA was found between the east Australian coast, Gulf of Papua and Gulf of Carpentaria (using concatenated CR and ND4 markers) (analysis of molecular variance [AMOVA], Phi(ST) = 0.082, p = &lt; 0.001). In contrast, no population structure was evident across northern Australia using nuclear microsatellite loci (F-ST = 0.012, p = 1.000). Our results suggest that a combination of historic genetic drift, maternal natal philopatry and possible male-biased dispersal likely drive the genetic patterns observed. Given the endangered status and lack of knowledge for A. cuspidata, this study presents important insights that may be used to inform management efforts.</t>
  </si>
  <si>
    <t>[Green, Madeline E.; Simpfendorfer, Colin A.; van Herwerden, Lynne] James Cook Univ, Ctr Sustainable Trop Fisheries &amp; Aquaculture, Townsville, Qld 4814, Australia; [Green, Madeline E.; D'Anastasi, Blanche R.; Simpfendorfer, Colin A.; van Herwerden, Lynne] James Cook Univ, Coll Sci &amp; Engn, Townsville, Qld 4814, Australia; [Green, Madeline E.] Univ Tasmania, Inst Marine &amp; Antarctic Studies, Hobart, Tas 7001, Australia; [D'Anastasi, Blanche R.] James Cook Univ, AIMS JCU, Townsville, Qld 4811, Australia; [Hobbs, Jean-Paul A.] Curtin Univ, Dept Environm &amp; Agr, Bentley, WA 6102, Australia; [Feldheim, Kevin] Field Museum, Pritzker Lab Mol Systemat &amp; Evolut, Chicago, IL 60605 USA; [McAuley, Rory] Western Australian Govt, Dept Fisheries, Canberra, WA 6850, Australia; [Peverell, Stirling; Stapley, Jason] Northern Fisheries Ctr, Queensland Dept Primary Ind &amp; Fisheries, Brisbane, Qld 4000, Australia; [Johnson, Grant] Northern Terr Govt, Dept Primary Ind &amp; Fisheries, Darwin, NT 0828, Australia; [Appleyard, Sharon A.; White, William T.] CSIRO Natl Res Collect Australia, Hobart, Tas 7001, Australia; [Appleyard, Sharon A.; White, William T.] CSIRO Oceans &amp; Atmosphere, Hobart, Tas 7001, Australia</t>
  </si>
  <si>
    <t>James Cook University; James Cook University; University of Tasmania; James Cook University; Curtin University; Field Museum of Natural History (Chicago); Queensland Department of Agriculture &amp; Fisheries; Northern Territory Government; Commonwealth Scientific &amp; Industrial Research Organisation (CSIRO); Commonwealth Scientific &amp; Industrial Research Organisation (CSIRO)</t>
  </si>
  <si>
    <t>Green, ME (corresponding author), James Cook Univ, Ctr Sustainable Trop Fisheries &amp; Aquaculture, Townsville, Qld 4814, Australia.;Green, ME (corresponding author), James Cook Univ, Coll Sci &amp; Engn, Townsville, Qld 4814, Australia.;Green, ME (corresponding author), Univ Tasmania, Inst Marine &amp; Antarctic Studies, Hobart, Tas 7001, Australia.</t>
  </si>
  <si>
    <t>madeline.green@utas.edu.au</t>
  </si>
  <si>
    <t>Appleyard, Sharon/AAJ-9942-2020; Hobbs, Jean-Paul A/I-8743-2012; appleyard, sharon/D-6076-2012; Simpfendorfer, Colin/G-9681-2011; White, William/B-9748-2009</t>
  </si>
  <si>
    <t>Appleyard, Sharon/0000-0002-3105-1690; appleyard, sharon/0000-0002-3105-1690; Green, Madeline Elizabeth/0000-0002-5037-2043; Simpfendorfer, Colin/0000-0002-0295-2238; White, William/0000-0001-9705-2453</t>
  </si>
  <si>
    <t>James Cook University; Australian Geographic Bayer Boost Society; Australian Centre for International Agricultural Re search (ACIAR) [FIS/2012/102]; PNG National Fisheries Authority (PNG-NFA); Commonwealth Scientific and Industrial Research Organisation (CSIRO); Seaworld Research and Rescue Foundation; Holsworth Wildlife Research Endowment; ACIAR</t>
  </si>
  <si>
    <t>James Cook University; Australian Geographic Bayer Boost Society; Australian Centre for International Agricultural Re search (ACIAR)(Australian Ctr Intl Agr Res); PNG National Fisheries Authority (PNG-NFA); Commonwealth Scientific and Industrial Research Organisation (CSIRO)(Commonwealth Scientific &amp; Industrial Research Organisation (CSIRO)); Seaworld Research and Rescue Foundation; Holsworth Wildlife Research Endowment; ACIAR</t>
  </si>
  <si>
    <t>This project was funded by James Cook University, the Australian Geographic Bayer Boost Society, the Australian Centre for International Agricultural Re search (ACIAR; project FIS/2012/102), PNG National Fisheries Authority (PNG-NFA), the Commonwealth Scientific and Industrial Research Organisation (CSIRO), the Seaworld Research and Rescue Foundation and the Holsworth Wildlife Research Endowment. Special thanks to Darbi Jones, Elien Boogaerts, Julie Traweek and Joern Villwock for undertaking many DNA extractions. We thank David Morgan, Nicole Phillips and Jimmy White for Australian samples. The PNG samples were obtained as part of a project funded by the ACIAR, with thanks to Drs. Chris Barlow and Jes Sammut for their support; Brian Kumasi, Luanah Yaman, Leban Gisawa, Leontine Baje, Benthly Sabub, Rickson Lis, Thomas Usu and Ludwig Kumoru from PNG-NFA for their support and collaboration on this project; the fishers of the longline vessels and a special thanks to the PNG-NFA on-board fisheries observers who collected the data and tissue samples during prawn trawl surveys: Baera Nawia, Ian Tony, Ronald Wala and Siwen Ohuesaho; Jonathan Smart (JCU) for assistance in the field; and the villagers and fish buyers (Philamarine) in the Daru and Katatai region of the Western Province who allowed us to take samples from dried specimens.</t>
  </si>
  <si>
    <t>10.3354/esr00912</t>
  </si>
  <si>
    <t>GV9NM</t>
  </si>
  <si>
    <t>WOS:000446485400005</t>
  </si>
  <si>
    <t>Gastaldi, M; De Paula, TS; Narvarte, MA; Lôbo-Hajdu, G; Hajdu, E</t>
  </si>
  <si>
    <t>Gastaldi, Marianela; De Paula, Thiago S.; Narvarte, Maite A.; Lobo-Hajdu, Gisele; Hajdu, Eduardo</t>
  </si>
  <si>
    <t>Marine sponges (Porifera) from the Bahia San Antonio (North Patagonian Gulfs, Argentina), with additions to the phylogeography of the widely distributed Cliona aff. celata and Hymeniacidon perlevis, and the description of two new species</t>
  </si>
  <si>
    <t>Paco Cardenas; Amphi-atlantic; Clathria; cosmopolitism; Halichondria; integrative taxonomy; intertidal and shallow subtidal; Pachychalina</t>
  </si>
  <si>
    <t>DEMOSPONGIAE PORIFERA; NORTHEASTERN BRAZIL; PHYLUM PORIFERA; HAPLOSCLERIDA; MITOCHONDRIAL; BIODIVERSITY; PACIFIC; IDENTIFICATION; SYSTEMATICS; PHYLOGENY</t>
  </si>
  <si>
    <t>Six sponge species from Bahia San Antonio (north Argentinean Patagonia) are (re)described, including two new species, namely Halichondria (Halichondria) elenae sp. nov. and Clathria (Microciona) saoensis sp. nov., and three new records for the Argentinean coast. Halichondria (H.) elenae sp. nov. is the only yellowish-greenish SW Atlantic Halichondria with oxeas up to 450 mu m. The new species' 18S rRNA blasted with Halichondria bowerbanki from Ireland, but it is argued that co-specificity is unlikely, in view of their rather distinct morphologies. Clathria (M.) saoensis sp. nov. is the only C. (Microciona) in the SW Atlantic, SE Pacific, and (sub)Antarctic regions with smooth (or nearly so) principal megascleres, mostly below 500 mu m long, as well as moderately curved toxas, and isochelae of regular non-cleistochelate shape. Cliona aff. celata and Hymeniacidon perlevis had their identifications confirmed by the sequencing of their 28S and 18S rRNA genes, respectively, and mitochondrial CO1. Both of them clustered with previously sequenced specimens from the Temperate North Atlantic, apart from additional samples from SE Brazil, in the case of C. aff. celata, and China and South Korea, in the case of H. perlevis.</t>
  </si>
  <si>
    <t>[Gastaldi, Marianela; Narvarte, Maite A.] Consejo Nacl Invest Cient &amp; Tecn, Buenos Aires, DF, Argentina; [Gastaldi, Marianela; Narvarte, Maite A.] Univ Nacl Comahue ESCiMar UNCo, Escuela Super Ciencias Marinas, San Antonio Oeste, Argentina; [De Paula, Thiago S.; Lobo-Hajdu, Gisele] Univ Estado Rio de Janeiro, Dept Genet, Rio De Janeiro, Brazil; [Hajdu, Eduardo] Univ Fed Rio de Janeiro, Dept Invertebrados, Museu Nacl, Rio De Janeiro, Brazil</t>
  </si>
  <si>
    <t>Consejo Nacional de Investigaciones Cientificas y Tecnicas (CONICET); Universidade do Estado do Rio de Janeiro; Universidade Federal do Rio de Janeiro</t>
  </si>
  <si>
    <t>Gastaldi, M (corresponding author), Univ Nacl Comahue, Escuela Super Ciencias Marinas, CONICET, San Martin 247, RA-8520 Buenos Aires, DF, Argentina.</t>
  </si>
  <si>
    <t>marianelagastaldi@gmail.com</t>
  </si>
  <si>
    <t>Lobo-Hajdu, Gisele/A-6709-2008; de Paula, Thiago S/B-4301-2014</t>
  </si>
  <si>
    <t>Lobo-Hajdu, Gisele/0000-0001-7792-9609;</t>
  </si>
  <si>
    <t>CONICET; Agencia Nacional de Promocion Cientifica y Tecnologica (ANPCyT, Grant PICT CONAE-CONICET) [04/2010]; Brazil's National Counsel of Technological and Scientific Development (CNPq); Carlos Chagas Filho Research Support Foundation of Rio de Janeiro State (FAPERJ)</t>
  </si>
  <si>
    <t>CONICET(Consejo Nacional de Investigaciones Cientificas y Tecnicas (CONICET)); Agencia Nacional de Promocion Cientifica y Tecnologica (ANPCyT, Grant PICT CONAE-CONICET); Brazil's National Counsel of Technological and Scientific Development (CNPq)(Conselho Nacional de Desenvolvimento Cientifico e Tecnologico (CNPQ)); Carlos Chagas Filho Research Support Foundation of Rio de Janeiro State (FAPERJ)(Fundacao Carlos Chagas Filho de Amparo a Pesquisa do Estado do Rio De Janeiro (FAPERJ))</t>
  </si>
  <si>
    <t>MG was funded by a CONICET doctoral scholarship. This study was supported by the Agencia Nacional de Promocion Cientifica y Tecnologica (ANPCyT, Grant PICT CONAE-CONICET No 04/2010 to MN). EH, GLH and TP were funded by Brazil's National Counsel of Technological and Scientific Development (CNPq) and Carlos Chagas Filho Research Support Foundation of Rio de Janeiro State (FAPERJ).</t>
  </si>
  <si>
    <t>10.1080/17451000.2018.1506136</t>
  </si>
  <si>
    <t>GV1XJ</t>
  </si>
  <si>
    <t>WOS:000445875600003</t>
  </si>
  <si>
    <t>O'Higgins, E</t>
  </si>
  <si>
    <t>Bouckaert, L; Ims, KJ; Rona, P</t>
  </si>
  <si>
    <t>O'Higgins, Eleanor</t>
  </si>
  <si>
    <t>Antarctica - Nature's Awesome Artwork</t>
  </si>
  <si>
    <t>ART, SPIRITUALITY AND ECONOMICS: LIBER AMICORUM FOR LASZLO ZSOLNAI</t>
  </si>
  <si>
    <t>Virtues and Economics</t>
  </si>
  <si>
    <t>My chosen inspiring work of art is an especially amazing iceberg I saw on an expedition in the Antarctic. The artist is Nature itself, and although I will submit a photograph of one iceberg, there were countless others I could submit. The Antarctic is a unique continent, in the sense of minimum interference from the Anthropocene. So, it is the closest we come to the creation of the natural world, and thereby, a sense of spirituality. This essay will explore this last frontier, as a 'no-man's land that belongs to everyone', through its history, geography, and ecology, as a protected territory, a natural reserve, devoted to peace and science as an aspiration.</t>
  </si>
  <si>
    <t>[O'Higgins, Eleanor] Univ Coll Dublin UCD, Coll Business, Dublin, Ireland; [O'Higgins, Eleanor] London Sch Econ, London, England</t>
  </si>
  <si>
    <t>University College Dublin; University of London; London School Economics &amp; Political Science</t>
  </si>
  <si>
    <t>O'Higgins, E (corresponding author), Univ Coll Dublin UCD, Coll Business, Dublin, Ireland.;O'Higgins, E (corresponding author), London Sch Econ, London, England.</t>
  </si>
  <si>
    <t>eleanor.ohiggins@ucd.ie</t>
  </si>
  <si>
    <t>2520-1794</t>
  </si>
  <si>
    <t>2520-1808</t>
  </si>
  <si>
    <t>978-3-319-75064-4; 978-3-319-75063-7</t>
  </si>
  <si>
    <t>VIRTUES ECON</t>
  </si>
  <si>
    <t>Virtues Econ.</t>
  </si>
  <si>
    <t>10.1007/978-3-319-75064-4_7</t>
  </si>
  <si>
    <t>10.1007/978-3-319-75064-4</t>
  </si>
  <si>
    <t>Economics; Ethics; Philosophy</t>
  </si>
  <si>
    <t>Business &amp; Economics; Social Sciences - Other Topics; Philosophy</t>
  </si>
  <si>
    <t>BK6ZP</t>
  </si>
  <si>
    <t>WOS:000441055500007</t>
  </si>
  <si>
    <t>Press, AJ</t>
  </si>
  <si>
    <t>Pearson, S; Holloway, JL; Thackway, R</t>
  </si>
  <si>
    <t>Press, A. J.</t>
  </si>
  <si>
    <t>Australia's Most Southern Shores: The Strategic Geography of Antarctica and the Southern Ocean</t>
  </si>
  <si>
    <t>AUSTRALIAN CONTRIBUTIONS TO STRATEGIC AND MILITARY GEOGRAPHY</t>
  </si>
  <si>
    <t>Advances in Military Geosciences</t>
  </si>
  <si>
    <t>[Press, A. J.] Univ Tasmania, Antarctic Climate &amp; Ecosyst Cooperat Res Ctr, Hobart, Tas, Australia; [Press, A. J.] Univ Tasmania, Inst Marine &amp; Antarctic Studies, Hobart, Tas, Australia</t>
  </si>
  <si>
    <t>University of Tasmania; Antarctic Climate &amp; Ecosystems Cooperative Research Centre (ACE CRC); University of Tasmania</t>
  </si>
  <si>
    <t>Press, AJ (corresponding author), Univ Tasmania, Antarctic Climate &amp; Ecosyst Cooperat Res Ctr, Hobart, Tas, Australia.;Press, AJ (corresponding author), Univ Tasmania, Inst Marine &amp; Antarctic Studies, Hobart, Tas, Australia.</t>
  </si>
  <si>
    <t>tony.press@acecrc.org.au</t>
  </si>
  <si>
    <t>Press, Anthony/0000-0002-3233-8933</t>
  </si>
  <si>
    <t>978-3-319-73408-8; 978-3-319-73407-1</t>
  </si>
  <si>
    <t>ADV MIL GEOSCI</t>
  </si>
  <si>
    <t>10.1007/978-3-319-73408-8_9</t>
  </si>
  <si>
    <t>10.1007/978-3-319-73408-8</t>
  </si>
  <si>
    <t>BK6XG</t>
  </si>
  <si>
    <t>WOS:000441005000009</t>
  </si>
  <si>
    <t>Köpke, L</t>
  </si>
  <si>
    <t>Koepke, Lutz</t>
  </si>
  <si>
    <t>IceCube Collaboration</t>
  </si>
  <si>
    <t>Improved Detection of Supernovae with the IceCube Observatory</t>
  </si>
  <si>
    <t>EIGHTH SYMPOSIUM ON LARGE TPCS FOR LOW ENERGY RARE EVENT DETECTION</t>
  </si>
  <si>
    <t>Journal of Physics Conference Series</t>
  </si>
  <si>
    <t>8th International Symposium on Large TPCs for Low Energy Rare Event Detection</t>
  </si>
  <si>
    <t>DEC 01-07, 2016</t>
  </si>
  <si>
    <t>Paris Diderot Univ, Inst Astroparticle Phys, Paris, FRANCE</t>
  </si>
  <si>
    <t>Paris Diderot Univ, Inst Astroparticle Phys</t>
  </si>
  <si>
    <t>SIGNAL</t>
  </si>
  <si>
    <t>The IceCube neutrino telescope monitors one cubic kilometer of deep Antarctic ice by detecting Cherenkov photons emitted from charged secondaries produced when neutrinos interact in the ice. The geometry of the detector, which comprises a lattice of 5160 photomultipliers, is optimized for the detection of neutrinos above 100 GeV. However, at subfreezing ice temperatures, dark noise rates are low enough that a high flux of MeV neutrinos streaming through the detector may be recognized by a collective rate enhancement in all photomultipliers. This method can be used to search for the signal of core collapse supernovae, providing sensitivity competitive to Mton neutrino detectors to a supernova in our Galaxy. An online data acquisition system dedicated to supernova detection has been running for several years, but its shortcomings include limited sampling frequency and the fact that the burst energy and direction cannot be reconstructed. A recently developed offline data acquisition system allows IceCube to buffer all registered photons in the detector in case of an alert with low probability to be erroneous. By analyzing such data offline, a precision determination of the burst onset time and the characteristics of rapidly varying fluxes, as well as estimates of the average neutrino energies may be obtained. For supernovae ending in a black hole, the IceCube data can also be used to determine the direction of the burst.</t>
  </si>
  <si>
    <t>Sánchez, Juan Antonio Aguilar/H-4467-2015; Sarkar, Subir/G-5978-2011</t>
  </si>
  <si>
    <t>Sarkar, Subir/0000-0002-3542-858X</t>
  </si>
  <si>
    <t>1742-6588</t>
  </si>
  <si>
    <t>1742-6596</t>
  </si>
  <si>
    <t>J PHYS CONF SER</t>
  </si>
  <si>
    <t>10.1088/1742-6596/1029/1/012001</t>
  </si>
  <si>
    <t>Astronomy &amp; Astrophysics; Physics, Particles &amp; Fields</t>
  </si>
  <si>
    <t>BL0LZ</t>
  </si>
  <si>
    <t>WOS:000446091500001</t>
  </si>
  <si>
    <t>Sirakov, I; Stoyanova, S</t>
  </si>
  <si>
    <t>Sirakov, Ivaylo; Stoyanova, Stefka</t>
  </si>
  <si>
    <t>Influence of extracts of krill and chironomus larvae as feed attractants on growth, survival and feed utilisation in fry of European perch Perca fluviatilis Linnaeus, 1758</t>
  </si>
  <si>
    <t>INDIAN JOURNAL OF FISHERIES</t>
  </si>
  <si>
    <t>Attractant; Chironomus; European perch; Feed utilisation; Growth; Krill</t>
  </si>
  <si>
    <t>TILAPIA OREOCHROMIS-NILOTICUS; FISH LARVAE; INTENSIVE CONDITIONS; JUVENILE PIKEPERCH; SANDER-LUCIOPERCA; STOCKING DENSITY; ANTARCTIC KRILL; DIETS; TRANSITION; FOOD</t>
  </si>
  <si>
    <t>Technological stages of European perch (Perca fluviatilis Linnaeus, 1758) farming and feeding norms satisfying its nutritional requirements are not well studied. A critical moment in farming of this species in recirculation systems is the transition from live feed to commercial pelleted feed. The aim of current research was to evaluate the influence of two attractants viz., extracts from krill and chironomus larvae as feed supplements for European perch (P. fluviatilis) fry on their survival, growth and feed utilisation. European perch fry were distributed in three experimental groups, viz., F 0 : fed non- supplemented control feed; Fk: fed krill extract supplemented feed and Fch: fed feed supplemented with chironomus extract. Survival of European perch supplemented with krill extract was 46% as compared to 26% in control group and 30% in fish supplemented with chironomus extract (p&lt; 0.05). The highest final weight and specific growth rate were observed in perch fed feed supplemented with chironomus extract but the differences between the krill- supplemented and control groups were not significant (p&gt; 0.05). Feed conversion ratio (FCR) in fish supplemented with chironomus extract was 1.91 which was significantly lower by 32.7% than control fishes and by 29.5% lower than fish fed with krill extract supplemented feed (p&lt; 0.01). The addition of krill extract to the feed of European perch fry improved survival rate of fry, while higher growth performance was demonstrated in fish fed with chironomus extract supplemented feed.</t>
  </si>
  <si>
    <t>[Sirakov, Ivaylo; Stoyanova, Stefka] Trakia Univ, Fac Agr, Studentski Grad, Stara Zagora 6000, Bulgaria</t>
  </si>
  <si>
    <t>Trakia University</t>
  </si>
  <si>
    <t>Sirakov, I (corresponding author), Trakia Univ, Fac Agr, Studentski Grad, Stara Zagora 6000, Bulgaria.</t>
  </si>
  <si>
    <t>ivailo_sir@abv.bg</t>
  </si>
  <si>
    <t>Sirakov, Ivaylo/K-3142-2018</t>
  </si>
  <si>
    <t>Sirakov, Ivaylo/0000-0003-0330-5670</t>
  </si>
  <si>
    <t>Faculty of Agriculture; [5AF/16]</t>
  </si>
  <si>
    <t>Faculty of Agriculture;</t>
  </si>
  <si>
    <t>This research work was carried out with the support of Faculty of Agriculture and financed from projects 5AF/16.</t>
  </si>
  <si>
    <t>CENTRAL MARINE FISHERIES RESEARCH INST</t>
  </si>
  <si>
    <t>ERNAKULAM</t>
  </si>
  <si>
    <t>INDIAN COUNCIL AGRICULTURAL RES, DR. SALIM ALI RD, P B NO 1603, TATAPURAM P O, ERNAKULAM, COCHIN 682 014, INDIA</t>
  </si>
  <si>
    <t>0970-6011</t>
  </si>
  <si>
    <t>INDIAN J FISH</t>
  </si>
  <si>
    <t>Indian J. Fish.</t>
  </si>
  <si>
    <t>10.21077/ijf.2018.65.3.74214-05</t>
  </si>
  <si>
    <t>Fisheries</t>
  </si>
  <si>
    <t>GV1ZR</t>
  </si>
  <si>
    <t>WOS:000445882700005</t>
  </si>
  <si>
    <t>Kornishin, KA; Tarasov, PA; Yefimov, YO; Gudoshnikov, YP; Kovalev, SM; Mironov, YU; Makarov, YI; Nesterov, AV</t>
  </si>
  <si>
    <t>Kornishin, K. A.; Tarasov, P. A.; Yefimov, Ya O.; Gudoshnikov, Yu P.; Kovalev, S. M.; Mironov, Ye U.; Makarov, Ye, I; Nesterov, A., V</t>
  </si>
  <si>
    <t>Studies of the ice regime in the waters of the Gulf of Khatanga in the Laptev Sea</t>
  </si>
  <si>
    <t>ice cover; ice regime; ice ridges; Gulf of Khatanga; Laptev Sea; stamukha</t>
  </si>
  <si>
    <t>The study was carried out to reveal characteristics of the ice regime of poorly explored water area of the Khatanga Bay in the South-Western part of the Laptev Sea. Actuality of the research is due to the high potential of hydrocarbon reserves in the license area Khatangsky of the PAO NK Rosneft. Currently available methods of monitoring ice cover and hydrometeorological conditions throughout the year were used. The main features of the hydrological regime of the region in the ice-free period, reflected in the spatial distribution of thermohaline characteristics and sea level fluctuations, are shown. The area under investigation has specific features of the conditions for the formation of ice cover: the entire area is covered with the fast ice; the winter fresh water inflow from Khatanga and Anabar rivers results in the desalination of sea water, and this promotes formation of ice cover, which differs in crystal structure and texture from both fresh and sea ices. These factors do influence on the mechanical properties of ice, including its strength. It was found that the average and maximum values of strength of the smooth and deformed ice of the Khatanga Gulf are approximately twice as high as the similar values of the sea ice strength in the southern part of the Laptev Sea. The basic features of the spatial distribution of different types of deformations of the ice cover such as lines of ice hummocks, zones of homogeneous ice hummocking, and stamukhas had been determined.</t>
  </si>
  <si>
    <t>[Kornishin, K. A.; Tarasov, P. A.] PAO NK Rosneft, Moscow, Russia; [Yefimov, Ya O.] Arctic Res Ctr Continental Shelf Dev, Moscow, Russia; [Gudoshnikov, Yu P.; Kovalev, S. M.; Mironov, Ye U.; Makarov, Ye, I; Nesterov, A., V] Arctic &amp; Antarctic Res Inst, St Petersburg, Russia</t>
  </si>
  <si>
    <t>Mironov, YU (corresponding author), Arctic &amp; Antarctic Res Inst, St Petersburg, Russia.</t>
  </si>
  <si>
    <t>mir@aari.ru</t>
  </si>
  <si>
    <t>Mironov, Yevgeny Uarovich/ADV-4713-2022</t>
  </si>
  <si>
    <t>Mironov, Yevgeny Uarovich/0000-0001-8390-8011; Kovalev, Sergey/0000-0002-2908-2674</t>
  </si>
  <si>
    <t>10.15356/2076-6734-2018-3-396-404</t>
  </si>
  <si>
    <t>WOS:000445738100010</t>
  </si>
  <si>
    <t>Adair, BJ; Purser, GJ; Patil, JG</t>
  </si>
  <si>
    <t>Adair, B. J.; Purser, G. J.; Patil, J. G.</t>
  </si>
  <si>
    <t>Peripheral olfactory structures and maturity-related crypt receptor neuron kinetics in the olfactory epithelium of carp Cyprinus carpio (L): implications for carnal vulnerability and pest management</t>
  </si>
  <si>
    <t>chemical communication; chemoattraction; mate selection; olfaction; pheromones; sensory acuity</t>
  </si>
  <si>
    <t>COMMON CARP; QUANTITATIVE-ANALYSIS; CARASSIUS-CARASSIUS; SEX-PHEROMONES; CRUCIAN CARP; SYSTEM; GOLDFISH; CELLS; AUSTRALIA; ELASMOBRANCHS</t>
  </si>
  <si>
    <t>Carnal vulnerability is a powerful yet underutilised tool in integrated pest management. The lack of speciesspecific knowledge of underpinning sexual drivers and mechanisms for their detection has precluded efficient exploitation of the vulnerability. As a step in understanding how mature common carp Cvprinus carpio communicate and attract conspecifics, the present study undertook anatomical and histological examinations of the olfactory system, tracing changes in crypt receptor neurons (CRNs) within the olfactory rosette in relation to gonadal development, as proxy. Quantification of the density and relative position of CRNs in the lamellae revealed that their density increases significantly with sexual maturity in both males and females (P &lt; 0.001). In contrast, the CRNs were concentrated in the basal and surface layers of the epithelium (P &lt; 0.001) in females and males respectively, suggesting a sex-specific deployment and mobilisation of CRNs with the onset of maturity. This suggests that the mature males are likely equipped to detect and respond to pheromones more rapidly than females, triggering courtship behaviours such as mate pursuit that are generally associated with mature males. This maturity-driven CRN proliferation and mobilisation reveals a susceptibility, particularly of male C. carpio, to carnal lure and capture that could be exploited in pest management programs.</t>
  </si>
  <si>
    <t>[Adair, B. J.; Purser, G. J.] Univ Tasmania, Inst Marine &amp; Antarctic Studies, Locked Bag 1370, Launceston, Tas 7250, Australia; [Patil, J. G.] Univ Tasmania, Inst Marine &amp; Antarctic Studies, Private Bag 49, Hobart, Tas 7001, Australia; [Patil, J. G.] Inland Fisheries Serv Tasmania, 17 Back River Rd, New Norfolk, Tas 7140, Australia</t>
  </si>
  <si>
    <t>Patil, JG (corresponding author), Univ Tasmania, Inst Marine &amp; Antarctic Studies, Private Bag 49, Hobart, Tas 7001, Australia.;Patil, JG (corresponding author), Inland Fisheries Serv Tasmania, 17 Back River Rd, New Norfolk, Tas 7140, Australia.</t>
  </si>
  <si>
    <t>jawahar.patil@utas.edu.au</t>
  </si>
  <si>
    <t>Patil, Jawahar G/B-9527-2012</t>
  </si>
  <si>
    <t>Patil, Jawahar G/0000-0002-2154-4627</t>
  </si>
  <si>
    <t>Tasmanian Governors Environment Scholarship; University of Tasmania; Inland Fisheries Service of Tasmania</t>
  </si>
  <si>
    <t>The authors thank the members of the Inland Fisheries Service carp management team for their input and support, particularly for assistance in capturing wild carp and field data collection. B. Adair received a Tasmanian Governors Environment Scholarship for the study. The authors thank R. Mahmud for capturing the fish shown in Fig. 1. The authors also thank the University of Tasmania and Inland Fisheries Service of Tasmania for funding this project.</t>
  </si>
  <si>
    <t>10.1071/MF17386</t>
  </si>
  <si>
    <t>GU4FY</t>
  </si>
  <si>
    <t>WOS:000445239400011</t>
  </si>
  <si>
    <t>Wilson, KJ; Barthel, A; Lipson, M; Fogwill, C; Turney, C</t>
  </si>
  <si>
    <t>Wilson, Kerry-Jayne; Barthel, Alice; Lipson, Mathew; Fogwill, Christopher; Turney, Chris</t>
  </si>
  <si>
    <t>New breeding records of seabirds at Carnley Harbour (Auckland Islands), Cossack Rock (Campbell Island) and south coast of The Snares</t>
  </si>
  <si>
    <t>NOTORNIS</t>
  </si>
  <si>
    <t>sub-Antarctic Islands; seabirds; breed locations; climate change</t>
  </si>
  <si>
    <t>NEW-ZEALAND; OCEAN; ERADICATION; VARIABILITY; POPULATIONS; COLONIES</t>
  </si>
  <si>
    <t>[Wilson, Kerry-Jayne] West Coast Penguin Trust, POB 70, Charleston 7865, New Zealand; [Barthel, Alice; Lipson, Mathew; Turney, Chris] Univ New South Wales, Sch Biol Earth &amp; Environm Sci, Climate Change Res Ctr, Sydney, NSW 2052, Australia; [Fogwill, Christopher; Turney, Chris] Univ New South Wales, Sch Biol Earth &amp; Environm Sci, Palaeontol Geobiol &amp; Earth Arch Res Ctr, Sydney, NSW 2052, Australia; [Fogwill, Christopher] Univ Keele, Sch Geog Geol &amp; Environm, Keele, Newcastle Under, England</t>
  </si>
  <si>
    <t>University of New South Wales Sydney; University of New South Wales Sydney; Keele University</t>
  </si>
  <si>
    <t>Wilson, KJ (corresponding author), West Coast Penguin Trust, POB 70, Charleston 7865, New Zealand.</t>
  </si>
  <si>
    <t>Fogwill, Christopher/HPF-1150-2023; Barthel, Alice/AHE-2973-2022; Lipson, Mathew/AAP-6977-2021</t>
  </si>
  <si>
    <t>Barthel, Alice/0000-0002-2481-8646;</t>
  </si>
  <si>
    <t>Australian Research Council [FL100100195, FT120100004, DE130101336, DP130104156]; University of New South Wales</t>
  </si>
  <si>
    <t>Australian Research Council(Australian Research Council); University of New South Wales</t>
  </si>
  <si>
    <t>This work was undertaken during the Australasian Antarctic Expedition 2013-2014. Thanks to AAE 2013-2014 members in particular Greg Mortimer and Department of Conservation representative Brent Beven, and the captain and crew of the MV Akademik Shokalskiy. These observations could not have been made without the enthusiastic support of the ship's crew and our fellow expedition members. The AAE 2013-2014 was supported by the Australian Research Council (FL100100195, FT120100004, DE130101336 and DP130104156) and the University of New South Wales. Research on Auckland and Campbell Islands and The Snares was undertaken under Department of Conservation National Authorisation Number 37687-FAU. Graeme Taylor kindly provided scans of his 1988 unpublished report and commented on an early draft of this paper. Thanks to Graeme Clark for drawing the Figures. K-JW thanks Dr Jonathan Palmer for suggesting that she be appointed the ornithologist on this expedition.</t>
  </si>
  <si>
    <t>ORNITHOLOGICAL SOC NEW ZEALAND</t>
  </si>
  <si>
    <t>NELSON</t>
  </si>
  <si>
    <t>PO BOX 834, NELSON, 7040, NEW ZEALAND</t>
  </si>
  <si>
    <t>0029-4470</t>
  </si>
  <si>
    <t>1177-7680</t>
  </si>
  <si>
    <t>GU3UT</t>
  </si>
  <si>
    <t>WOS:000445206000005</t>
  </si>
  <si>
    <t>Meek, L</t>
  </si>
  <si>
    <t>Meek, Lizzie</t>
  </si>
  <si>
    <t>Antarctic Food Can Conservation: Maintaining 'Spirit of Place' in the Expedition Bases of the Ross Sea Region</t>
  </si>
  <si>
    <t>STUDIES IN CONSERVATION</t>
  </si>
  <si>
    <t>Cans; Antarctica; heritage; trust; conservation; food; tins; huts</t>
  </si>
  <si>
    <t>[Meek, Lizzie] Antarctic Heritage Trust, Private Bag 4745, Christchurch 8140, New Zealand</t>
  </si>
  <si>
    <t>Meek, L (corresponding author), Antarctic Heritage Trust, Private Bag 4745, Christchurch 8140, New Zealand.</t>
  </si>
  <si>
    <t>l.meek@nzaht.org</t>
  </si>
  <si>
    <t>Meek, Lizzie/0000-0002-5831-1536</t>
  </si>
  <si>
    <t>New Zealand Antarctic Programme for Antarctic logistics; Ross Sea Heritage Restoration Project</t>
  </si>
  <si>
    <t>Support from the New Zealand Antarctic Programme for Antarctic logistics is gratefully acknowledged. The Ross Sea Heritage Restoration Project has had numerous major and minor funding grants across a period of 10 years. Full details of these are referenced in the Antarctic Heritage Trust annual reports.</t>
  </si>
  <si>
    <t>0039-3630</t>
  </si>
  <si>
    <t>2047-0584</t>
  </si>
  <si>
    <t>STUD CONSERV</t>
  </si>
  <si>
    <t>Stud. Conserv.</t>
  </si>
  <si>
    <t>10.1080/00393630.2018.1504512</t>
  </si>
  <si>
    <t>Archaeology; Art; Chemistry, Applied; Chemistry, Analytical; Spectroscopy</t>
  </si>
  <si>
    <t>Science Citation Index Expanded (SCI-EXPANDED); Arts &amp; Humanities Citation Index (A&amp;HCI)</t>
  </si>
  <si>
    <t>Archaeology; Art; Chemistry; Spectroscopy</t>
  </si>
  <si>
    <t>GT3ZX</t>
  </si>
  <si>
    <t>WOS:000444444400075</t>
  </si>
  <si>
    <t>Peacock, KA</t>
  </si>
  <si>
    <t>Peacock, Kent A.</t>
  </si>
  <si>
    <t>A Different Kind of Rigor: What Climate Scientists Can Learn from Emergency Room Doctors</t>
  </si>
  <si>
    <t>ETHICS POLICY &amp; ENVIRONMENT</t>
  </si>
  <si>
    <t>ANTARCTIC ICE-SHEET; PINE ISLAND; RETREAT; UNCERTAINTY; SKEPTICISM; THWAITES; SCIENCE; FUTURE</t>
  </si>
  <si>
    <t>James Hansen and others have argued that climate scientists are often reluctant to speak out about extreme outcomes of anthropogenic carbonization. According to Hansen, such reticence lessens the chance of effective responses to these threats. With the collapse of the West Antarctic Ice Sheet (WAIS) as a case study, reasons for scientific reticence are reviewed. The challenges faced by scientists in finding the right balance between reticence and speaking out are both ethical and methodological. Scientists need a framework within which to find this balance. Such a framework can be found in the long-established practices of professional ethics.</t>
  </si>
  <si>
    <t>[Peacock, Kent A.] Univ Lethbridge, Dept Philosophy, Lethbridge, AB, Canada</t>
  </si>
  <si>
    <t>University of Lethbridge</t>
  </si>
  <si>
    <t>Peacock, KA (corresponding author), Univ Lethbridge, Dept Philosophy, Lethbridge, AB, Canada.</t>
  </si>
  <si>
    <t>kent.peacock@uleth.ca</t>
  </si>
  <si>
    <t>University of Lethbridge, under its CREDO (Community of Research Excellence Development Opportunities) [13355]</t>
  </si>
  <si>
    <t>University of Lethbridge, under its CREDO (Community of Research Excellence Development Opportunities)</t>
  </si>
  <si>
    <t>This article has benefitted from commentary by or discussions with Richard Alley, Bryson Brown, William Buschert, James Byrne, Maxim Chambers- Dumont, Frank Jankunis, Hester Jiskoot, Stephen Latta, Stephan Lewandowsky, Pamela Lindsay, Stefan Linquist, Michael E. Mann, David McDonald, John D. Milton, Dillon St. Jean, Lawrence Torcello, Grant A. Whatmough and anonymous referees. Financial support was provided by the University of Lethbridge, under its CREDO (Community of Research Excellence Development Opportunities), Fund 13355. It should not be presumed that any of the individuals or organizations mentioned here necessarily agrees with the views expressed in this article, and any errors or omissions are entirely the responsibility of the author.</t>
  </si>
  <si>
    <t>2155-0085</t>
  </si>
  <si>
    <t>2155-0093</t>
  </si>
  <si>
    <t>ETHICS POLICY ENV</t>
  </si>
  <si>
    <t>Ethics Policy Env.</t>
  </si>
  <si>
    <t>10.1080/21550085.2018.1509483</t>
  </si>
  <si>
    <t>Environmental Studies</t>
  </si>
  <si>
    <t>GT4OC</t>
  </si>
  <si>
    <t>WOS:000444483100008</t>
  </si>
  <si>
    <t>Lei, JT; Li, F; Zhang, SK; Xiao, C; Xie, SR; Ke, H; Zhang, QC; Li, WH</t>
  </si>
  <si>
    <t>Lei, Jintao; Li, Fei; Zhang, Shengkai; Xiao, Chi; Xie, Surui; Ke, Hao; Zhang, Qingchuan; Li, Wenhao</t>
  </si>
  <si>
    <t>Ocean Tides Observed from A GPS Receiver on Floating Sea Ice Near Chinese Zhongshan Station, Antarctica</t>
  </si>
  <si>
    <t>MARINE GEODESY</t>
  </si>
  <si>
    <t>GPS; harmonic analysis; kinematic PPP; ocean tides</t>
  </si>
  <si>
    <t>SHELF; ACCURACY; SERVICES; EFFICIENT</t>
  </si>
  <si>
    <t>Due to limit of coverage in TOPEX/Poseidon (T/P) satellite and sparseness of in-situ tide gauges around Antarctica, the accuracy of global ocean tide models in Antarctic seas is relatively poorer than in low- and mid-latitude regions. To better understand ocean tides in Prydz Bay, east Antarctica, a GPS receiver was deployed on floating sea ice to measure tide-induced ice motion in multiple campaigns. Four online Precise Point Positioning (PPP) services are used to process the GPS data in the kinematic PPP mode, and UTide software is used to separate the major tidal constituents. Comparison between results from different processing methods (relative processing solutions from Track, kinematic PPP solutions from online services) and with bottom pressure gauge (BPG) shows that, high-accuracy tidal information can be obtained from GPS observations on floating sea ice, the root-sum-square (RSS) for the eight major constituents (O1, K1, P1, Q1, M2, S2, N2, K2) is below 4cm. We have also studied the impacts of data span and filter edge effects at daily boundaries on the accuracy of tide estimates, and found that to obtain reliable tide estimates and neglect the filter edge effects, continuous observation longer than 30days is necessary. Our study suggests that GPS provides an independent method to estimate tides in Prydz Bay, and can be an alternative to tidal gauges, which are costly and hard to maintain in Antarctica.</t>
  </si>
  <si>
    <t>[Lei, Jintao; Li, Fei; Zhang, Shengkai; Xiao, Chi; Xie, Surui; Ke, Hao; Zhang, Qingchuan; Li, Wenhao] Wuhan Univ, Chinese Antarctic Ctr Surveying &amp; Mapping, Wuhan 430079, Hubei, Peoples R China</t>
  </si>
  <si>
    <t>Li, F (corresponding author), Wuhan Univ, Chinese Antarctic Ctr Surveying &amp; Mapping, Wuhan 430079, Hubei, Peoples R China.</t>
  </si>
  <si>
    <t>fli@whu.edu.cn</t>
  </si>
  <si>
    <t>LEI, Jintao/HHZ-6471-2022; Xiao, Chi/AFD-1063-2022</t>
  </si>
  <si>
    <t>Lei, Jintao/0000-0002-4497-5868; Xie, Surui/0000-0002-1484-0671</t>
  </si>
  <si>
    <t>National Key Research and Development Program of China [2017YFA0603104]; National Natural Science of China [41531069]; Wuhan University [2042017kf0209]</t>
  </si>
  <si>
    <t>National Key Research and Development Program of China; National Natural Science of China(National Natural Science Foundation of China (NSFC)); Wuhan University</t>
  </si>
  <si>
    <t>This research is partly supported by grants from National Key Research and Development Program of China (Grant No. 2017YFA0603104), from the Key Program of National Natural Science of China (Grant No. 41531069), and from the Independent research project of Wuhan University (Grant No. 2042017kf0209).</t>
  </si>
  <si>
    <t>0149-0419</t>
  </si>
  <si>
    <t>1521-060X</t>
  </si>
  <si>
    <t>MAR GEOD</t>
  </si>
  <si>
    <t>Mar. Geod.</t>
  </si>
  <si>
    <t>10.1080/01490419.2018.1454370</t>
  </si>
  <si>
    <t>Geochemistry &amp; Geophysics; Oceanography; Remote Sensing</t>
  </si>
  <si>
    <t>GT3YM</t>
  </si>
  <si>
    <t>WOS:000444440400003</t>
  </si>
  <si>
    <t>von Schuckmann, K; Le Traon, PY; Smith, N; Pascual, A; Brasseur, P; Fennel, K; Djavidnia, S; Aaboe, S; Fanjul, EA; Autret, E; Axell, L; Aznar, R; Benincasa, M; Bentamy, A; Boberg, F; Bourdallé-Badie, R; Nardelli, BB; Brando, VE; Bricaud, C; Breivik, LA; Brewin, RJW; Capet, A; Ceschin, A; Ciliberti, S; Cossarini, G; de Alfonso, M; Collar, AD; de Kloe, J; Deshayes, J; Desportes, C; Drévillon, M; Drillet, Y; Droghei, R; Dubois, C; Embury, O; Etienne, H; Fratianni, C; Lafuente, JG; Sotillo, MG; Garric, G; Gasparin, F; Gerin, R; Good, S; Gourrion, J; Grégoire, M; Greiner, E; Guinehut, S; Gutknecht, E; Hernandez, F; Hernandez, O; Hoyer, J; Jackson, L; Jandt, S; Josey, S; Juza, M; Kennedy, J; Kokkini, Z; Korres, G; Kouts, M; Lagemaa, P; Lavergne, T; le Cann, B; Legeais, JF; Lemieux-Dudon, B; Levier, B; Lien, V; Maljutenko, I; Manzano, F; Marcos, M; Marinova, V; Masina, S; Mauri, E; Mayer, M; Melet, A; Mélin, F; Meyssignac, B; Monier, M; Müller, M; Mulet, S; Naranjo, C; Notarstefano, G; Paulmier, A; Gomez, BP; Gonzalez, IP; Peneva, E; Perruche, C; Peterson, KA; Pinardi, N; Pisano, A; Pardo, S; Poulain, PM; Raj, RP; Raudsepp, U; Ravdas, M; Reid, R; Rio, MH; Salon, S; Samuelsen, A; Sammartino, M; Sammartino, S; Sando, AB; Santoleri, R; Sathyendranath, S; She, J; Simoncelli, S; Solidoro, C; Stoffelen, A; Storto, A; Szerkely, T; Tamm, S; Tietsche, S; Tinker, J; Tintore, J; Trindade, A; van Zanten, D; Vandenbulcke, L; Verhoef, A; Verbrugge, N; Viktorsson, L; Wakelin, SL; Zacharioudaki, A; Zuo, H</t>
  </si>
  <si>
    <t>von Schuckmann, Karina; Le Traon, Pierre-Yves; Smith, Neville; Pascual, Ananda; Brasseur, Pierre; Fennel, Katja; Djavidnia, Samy; Aaboe, Signe; Alvarez Fanjul, Enrique; Autret, Emmanuelle; Axell, Lars; Aznar, Roland; Benincasa, Mario; Bentamy, Abderahim; Boberg, Fredrik; Bourdalle-Badie, Romain; Nardelli, Bruno Buongiorno; Brando, Vittorio E.; Bricaud, Clement; Breivik, Lars-Anders; Brewin, Robert J. W.; Capet, Arthur; Ceschin, Adrien; Ciliberti, Stefania; Cossarini, Gianpiero; de Alfonso, Marta; de Pascual Collar, Alvaro; de Kloe, Jos; Deshayes, Julie; Desportes, Charles; Drevillon, Marie; Drillet, Yann; Droghei, Riccardo; Dubois, Clotilde; Embury, Owen; Etienne, Helene; Fratianni, Claudia; Garcia Lafuente, Jesus; Garcia Sotillo, Marcos; Garric, Gilles; Gasparin, Florent; Gerin, Riccardo; Good, Simon; Gourrion, Jerome; Gregoire, Marilaure; Greiner, Eric; Guinehut, Stephanie; Gutknecht, Elodie; Hernandez, Fabrice; Hernandez, Olga; Hoyer, Jacob; Jackson, Laura; Jandt, Simon; Josey, Simon; Juza, Melanie; Kennedy, John; Kokkini, Zoi; Korres, Gerasimos; Kouts, Mariliis; Lagemaa, Priidik; Lavergne, Thomas; le Cann, Bernard; Legeais, Jean-Francois; Lemieux-Dudon, Benedicte; Levier, Bruno; Lien, Vidar; Maljutenko, Ilja; Manzano, Fernando; Marcos, Marta; Marinova, Veselka; Masina, Simona; Mauri, Elena; Mayer, Michael; Melet, Angelique; Melin, Frederic; Meyssignac, Benoit; Monier, Maeva; Muller, Malte; Mulet, Sandrine; Naranjo, Cristina; Notarstefano, Giulio; Paulmier, Aurelien; Perez Gomez, Begona; Perez Gonzalez, Irene; Peneva, Elisaveta; Perruche, Coralie; Peterson, K. Andrew; Pinardi, Nadia; Pisano, Andrea; Pardo, Silvia; Poulain, Pierre-Marie; Raj, Roshin P.; Raudsepp, Urmas; Ravdas, Michaelis; Reid, Rebecca; Rio, Marie-Helene; Salon, Stefano; Samuelsen, Annette; Sammartino, Michela; Sammartino, Simone; Sando, Anne Britt; Santoleri, Rosalia; Sathyendranath, Shubha; She, Jun; Simoncelli, Simona; Solidoro, Cosimo; Stoffelen, Ad; Storto, Andrea; Szerkely, Tanguy; Tamm, Susanne; Tietsche, Steffen; Tinker, Jonathan; Tintore, Joaquin; Trindade, Ana; van Zanten, Daphne; Vandenbulcke, Luc; Verhoef, Anton; Verbrugge, Nathalie; Viktorsson, Lena; Wakelin, Sarah L.; Zacharioudaki, Anna; Zuo, Hao</t>
  </si>
  <si>
    <t>Copernicus Marine Service Ocean State Report</t>
  </si>
  <si>
    <t>JOURNAL OF OPERATIONAL OCEANOGRAPHY</t>
  </si>
  <si>
    <t>MERIDIONAL OVERTURNING CIRCULATION; MAJOR BALTIC INFLOWS; SEA-LEVEL RISE; ANTARCTIC CIRCUMPOLAR CURRENT; NORTH-ATLANTIC OCEAN; OXYGEN MINIMUM ZONE; SCALE ATMOSPHERIC CIRCULATION; WESTERN BOUNDARY CURRENTS; NINO-SOUTHERN-OSCILLATION; GREAT SALINITY ANOMALIES</t>
  </si>
  <si>
    <t>[von Schuckmann, Karina; Le Traon, Pierre-Yves; Bourdalle-Badie, Romain; Bricaud, Clement; Ceschin, Adrien; Desportes, Charles; Drevillon, Marie; Drillet, Yann; Garric, Gilles; Gasparin, Florent; Gutknecht, Elodie; Hernandez, Olga; Levier, Bruno; Melet, Angelique; Perruche, Coralie] Mercator Ocean Int, Ramonville St Agne, France; [Pascual, Ananda] CSIC UIB, Mediterranean Inst Adv Studies IMDEA, Mallorca, Spain; [Brasseur, Pierre] CNRS, Inst Geosci &amp; Environm Res, Grenoble, France; [Fennel, Katja] Dalhousie Univ, Halifax, NS B3H 3J5, Canada; [Djavidnia, Samy] EMSA, Lisbon, Portugal; [Aaboe, Signe; Muller, Malte] Norwegian Meteorol Inst, Tromso, Norway; [Alvarez Fanjul, Enrique; Aznar, Roland; de Alfonso, Marta; de Pascual Collar, Alvaro; Garcia Sotillo, Marcos; Manzano, Fernando; Perez Gomez, Begona; Perez Gonzalez, Irene] Puertos Estado, Madrid, Spain; [Autret, Emmanuelle; Bentamy, Abderahim] IFREMER, Plouzane, France; [Axell, Lars] Swedish Meteorol &amp; Hydrol Inst, Norrkoping, Sweden; [Benincasa, Mario; Nardelli, Bruno Buongiorno; Brando, Vittorio E.; Pisano, Andrea; Sammartino, Michela; Santoleri, Rosalia] Italian Natl Res Council, Inst Atmospher Sci &amp; Climate, Rome, Italy; [Boberg, Fredrik; Hoyer, Jacob; She, Jun] Danish Meteorol Inst, Copenhagen, Denmark; [Breivik, Lars-Anders; Lavergne, Thomas] Norwegian Meteorol Inst, Oslo, Norway; [Brewin, Robert J. W.; Pardo, Silvia; Sathyendranath, Shubha] Plymouth Marine Lab, Plymouth, Devon, England; [Capet, Arthur; Gregoire, Marilaure; Vandenbulcke, Luc] Univ Liege, Liege, Belgium; [Ciliberti, Stefania; Storto, Andrea] Euro Mediterranean Ctr Climate Change, Lecce, Italy; [Cossarini, Gianpiero; Gerin, Riccardo; Kokkini, Zoi; Mauri, Elena; Notarstefano, Giulio; Poulain, Pierre-Marie; Salon, Stefano; Solidoro, Cosimo] Natl Inst Oceanog &amp; Appl Geophys, Trieste, Italy; [de Kloe, Jos; Stoffelen, Ad; Verhoef, Anton] Royal Netherlands Meteorol Inst, De Bilt, Netherlands; [Deshayes, Julie] Sorbonne Univ, UPMC, CNRS, IRD,MNHN, Paris, France; [Droghei, Riccardo] Italian Natl Res Council, Rome, Italy; [Dubois, Clotilde] Mercator Ocean Int, Meteo France, Ramonville St Agne, France; [Embury, Owen] Univ Reading, Reading, Berks, England; [Etienne, Helene; Greiner, Eric; Guinehut, Stephanie; Legeais, Jean-Francois; Mulet, Sandrine; Rio, Marie-Helene; Verbrugge, Nathalie] Collecte Localisat Satellites, Ramonville St Agne, France; [Fratianni, Claudia; Simoncelli, Simona] Natl Inst Geophys &amp; Volcanol, Bologna, Italy; [Garcia Lafuente, Jesus; Naranjo, Cristina; Sammartino, Simone] Univ Malaga, Malaga, Spain; [Good, Simon; Jackson, Laura; Kennedy, John; Peterson, K. Andrew; Reid, Rebecca; Tinker, Jonathan] Met Off, Exeter, Devon, England; [Gourrion, Jerome; Szerkely, Tanguy] Ocean Scope, Plouzane, France; [Hernandez, Fabrice] IRD LEGOS Mercator Ocean Int, Ramonville St Agne, France; [Jandt, Simon; Tamm, Susanne] Fed Maritime &amp; Hydrog Agcy, Hamburg, Germany; [Josey, Simon] Natl Oceanog Ctr, Southampton, Hants, England; [Juza, Melanie; Tintore, Joaquin] Coastal Ocean Observing &amp; Forecasting Syst SOCIB, Palma de Mallorca, Spain; [Korres, Gerasimos; Ravdas, Michaelis] Hellen Ctr Marine Res, Athens, Greece; [Kouts, Mariliis; Lagemaa, Priidik; Maljutenko, Ilja; Raudsepp, Urmas] Tallinn Univ Technol, Tallinn, Estonia; [le Cann, Bernard] Univ Brest, CNRS, Brest, France; [Lemieux-Dudon, Benedicte] Euro Mediterranean Ctr Climate Change, Bologna, Italy; [Lien, Vidar; Sando, Anne Britt] Inst Marine Res, Bergen, Norway; [Marcos, Marta] Univ Balear Islands, Mediterranean Inst Adv Studies, Palma de Mallorca, Spain; [Marinova, Veselka] Bulgarian Acad Sci, Nstitute Oceanol, Varna, Bulgaria; [Masina, Simona] Natl Inst Geophys &amp; Volcanol, Euro Mediterranean Ctr Climate Change, Bologna, Italy; [Mayer, Michael; Tietsche, Steffen; Zuo, Hao] European Ctr Medium Range Weather Forecasts, Reading, Berks, England; [Melin, Frederic] European Commiss, Joint Res Ctr, Ispra, Italy; [Meyssignac, Benoit; Paulmier, Aurelien] LEGOS, Toulouse, France; [Monier, Maeva] Mercator Ocean Int, CELAD, Ramonville St Agne, France; [Peneva, Elisaveta] Univ Sofia, Sofia, Bulgaria; [Pinardi, Nadia] Univ Bologna, Bologna, Italy; [Raj, Roshin P.; Samuelsen, Annette] Natl Energy Res Sci Comp Ctr, Bergen, Norway; [Trindade, Ana] Mediterranean Ctr Marine &amp; Environm Res, Barcelona, Spain; [van Zanten, Daphne] Fontys Univ Appl Sci, Eindhoven, Netherlands; [Viktorsson, Lena] Swedish Meteorol &amp; Hydrol Inst, Vastra Frolunda, Sweden; [Wakelin, Sarah L.] Natl Oceanog Ctr, Liverpool, Merseyside, England; [Zacharioudaki, Anna] Hellen Ctr Marine Res, Iraklion, Greece</t>
  </si>
  <si>
    <t>University of Barcelona; Universitat de les Illes Balears; Centre National de la Recherche Scientifique (CNRS); Dalhousie University; Norwegian Meteorological Institute; Puertos del Estado; Ifremer; Swedish Meteorological &amp; Hydrological Institute; Consiglio Nazionale delle Ricerche (CNR); Istituto di Scienze dell'Atmosfera e del Clima (ISAC-CNR); Danish Meteorological Institute DMI; Norwegian Meteorological Institute; Plymouth Marine Laboratory; University of Liege; Centro Euro-Mediterraneo sui Cambiamenti Climatici (CMCC); Istituto Nazionale di Oceanografia e di Geofisica Sperimentale; Royal Netherlands Meteorological Institute; Institut de Recherche pour le Developpement (IRD); Centre National de la Recherche Scientifique (CNRS); Sorbonne Universite; Museum National d'Histoire Naturelle (MNHN); Consiglio Nazionale delle Ricerche (CNR); University of Reading; Istituto Nazionale Geofisica e Vulcanologia (INGV); Universidad de Malaga; Met Office - UK; NERC National Oceanography Centre; Hellenic Centre for Marine Research; Tallinn University of Technology; Universite de Bretagne Occidentale; Centre National de la Recherche Scientifique (CNRS); Centro Euro-Mediterraneo sui Cambiamenti Climatici (CMCC); Institute of Marine Research - Norway; Consejo Superior de Investigaciones Cientificas (CSIC); ATTITUS Educacao; Bulgarian Academy of Sciences; Centro Euro-Mediterraneo sui Cambiamenti Climatici (CMCC); Istituto Nazionale Geofisica e Vulcanologia (INGV); European Centre for Medium-Range Weather Forecasts (ECMWF); European Commission Joint Research Centre; EC JRC ISPRA Site; Universite de Toulouse; Universite Toulouse III - Paul Sabatier; Centre National de la Recherche Scientifique (CNRS); Institut de Recherche pour le Developpement (IRD); Laboratoire d'Etudes en Geophysique et oceanographie spatiales; University of Sofia; University of Bologna; Consejo Superior de Investigaciones Cientificas (CSIC); CSIC - Centro Mediterraneo de Investigaciones Marinas y Ambientales (CMIMA); Swedish Meteorological &amp; Hydrological Institute; NERC National Oceanography Centre; Hellenic Centre for Marine Research</t>
  </si>
  <si>
    <t>von Schuckmann, K (corresponding author), Mercator Ocean Int, Ramonville St Agne, France.</t>
  </si>
  <si>
    <t>karina.von.schuckmann@mercator-ocean.fr</t>
  </si>
  <si>
    <t>Embury, Owen/HQZ-4575-2023; von Schuckmann, Karina/AAZ-8897-2021; SIMONCELLI, Simona/AAC-5256-2021; Storto, Andrea/AAH-3823-2019; Nardelli, Bruno Buongiorno/AAY-4289-2020; Pisano, Andrea/AAY-3314-2020; Maljutenko, Ilja/AAG-7459-2020; Salon, Stefano/AAV-5682-2020; Buongiorno Nardelli, Bruno/I-4810-2012; Bourdallé-Badie, Romain/HSH-9424-2023; Sammartino, Simone/T-5530-2017; Sammartino, Michela/HRB-8907-2023; Peterson, K Andrew/HSE-9661-2023; Samuelsen, Annette/HGB-2277-2022; Cossarini, Gianpiero/AAV-5489-2020; Deshayes, Julie/A-7643-2011; Fratianni, Claudia/HKV-6073-2023; Capet, Arthur/AAE-8469-2019; Droghei, Riccardo/AAE-5712-2019; Lien, Vidar/ABC-8580-2020; Brando, Vittorio/A-1321-2008; Wakelin, Sarah/AAG-9040-2020; Pascual, Ananda/H-8214-2013; Muller, Malte/AAD-7692-2022; Mauri, Elena/AAL-7962-2020; Melet, Angelique/ABE-5148-2020; Le Traon, Pierre Yves/G-9342-2016; Salon, Stefano/AGI-3626-2022; Hernandez, Fabrice/F-6642-2013; Lien, Vidar S/G-6368-2010; Marcos, Marta/C-7053-2012; Santoleri, Rosalia/JNT-1470-2023; Stoffelen, Ad/AAF-3524-2020; Gasparin, Florent/AAH-2130-2020; pinardi, nadia/M-2364-2015; Droghei, Riccardo/AFV-5802-2022; FRATIANNI, Claudia/AAC-5465-2021; Fennel, Katja/A-7470-2009; Korres, Gerasimos/H-4133-2011; Ciliberti, Stefania A./ABE-4421-2020; LE CANN, Bernard/L-2630-2015; Naranjo, Cristina/X-7802-2018; Garric, Gilles/O-9065-2016; Peneva, Elisaveta/R-5975-2016; PAULMIER, Aurelien/U-7521-2017; Tietsche, Steffen/F-7633-2015</t>
  </si>
  <si>
    <t>Embury, Owen/0000-0002-1661-7828; von Schuckmann, Karina/0000-0002-9922-8528; SIMONCELLI, Simona/0000-0003-1283-2798; Storto, Andrea/0000-0003-3856-8905; Pisano, Andrea/0000-0002-9465-8457; Maljutenko, Ilja/0000-0001-7655-3363; Salon, Stefano/0000-0003-1233-8271; Buongiorno Nardelli, Bruno/0000-0002-3416-7189; Bourdallé-Badie, Romain/0000-0002-8742-3289; Sammartino, Michela/0000-0001-8237-6391; Peterson, K Andrew/0000-0002-9968-3539; Cossarini, Gianpiero/0000-0001-7803-8568; Capet, Arthur/0000-0002-5939-3836; Brando, Vittorio/0000-0002-2193-5695; Wakelin, Sarah/0000-0002-2081-2693; Muller, Malte/0000-0003-2871-8359; Mauri, Elena/0000-0001-9602-0628; Melet, Angelique/0000-0003-3888-8159; Le Traon, Pierre Yves/0000-0002-5484-3439; Salon, Stefano/0000-0003-1233-8271; Hernandez, Fabrice/0000-0003-2152-0657; Stoffelen, Ad/0000-0002-4018-4073; Gasparin, Florent/0000-0002-1364-1507; FRATIANNI, Claudia/0000-0002-4983-4255; Marinova, Veselka/0000-0002-3817-1660; Sathyendranath, Shubha/0000-0003-3586-192X; Kouts, Mariliis/0000-0003-1201-3565; She, Jun/0000-0003-1089-547X; solidoro, cosimo/0000-0003-2354-4302; LE CANN, Bernard/0000-0002-4353-2803; Naranjo, Cristina/0000-0001-6412-2443; Garric, Gilles/0000-0002-5385-710X; Pascual, Ananda/0000-0001-9476-9272; Aznar, Roland/0000-0002-9793-1834; Peneva, Elisaveta/0000-0003-1325-685X; Hoyer, Jacob Lorentsen/0000-0002-4141-0490; Deshayes, Julie/0000-0002-1462-686X; Gerin, Riccardo/0000-0002-9788-0803; Zuo, Hao/0000-0003-0860-5832; PAULMIER, Aurelien/0000-0002-4128-7824; , Roshin/0000-0001-5863-5269; Korres, Gerasimos/0000-0001-7036-4123; Lemieux-Dudon, Benedicte/0000-0002-0718-2420; Samuelsen, Annette/0000-0002-9736-6484; AUTRET, Emmanuelle/0000-0002-0979-9192; Aaboe, Signe/0000-0002-5618-4537; Boberg, Fredrik/0000-0002-2589-8422; Tietsche, Steffen/0000-0002-2961-0289; MELIN, FREDERIC/0000-0003-4381-682X; Trindade, Ana/0000-0001-5042-8396; Marcos G, Sotillo/0009-0006-1244-7848; BRASSEUR, Pierre/0000-0002-6665-503X; Brewin, Robert/0000-0001-5134-8291; Notarstefano, Giulio/0000-0002-8532-2097; Raudsepp, Urmas/0000-0002-1037-5311; Lien, Vidar S./0000-0002-5737-8878; Tintore, Joaquin/0000-0002-6311-0093; Ciliberti, Stefania Angela/0000-0002-8561-7805; Garcia Lafuente, Jesus/0000-0001-7816-576X</t>
  </si>
  <si>
    <t>NERC [NE/N018044/1, nceo020006] Funding Source: UKRI; Natural Environment Research Council [NE/N018044/1] Funding Source: researchfish</t>
  </si>
  <si>
    <t>NERC(UK Research &amp; Innovation (UKRI)Natural Environment Research Council (NERC)); Natural Environment Research Council(UK Research &amp; Innovation (UKRI)Natural Environment Research Council (NERC))</t>
  </si>
  <si>
    <t>1755-876X</t>
  </si>
  <si>
    <t>1755-8778</t>
  </si>
  <si>
    <t>J OPER OCEANOGR</t>
  </si>
  <si>
    <t>J. Oper. Oceanogr.</t>
  </si>
  <si>
    <t>S1</t>
  </si>
  <si>
    <t>S142</t>
  </si>
  <si>
    <t>10.1080/1755876X.2018.1489208</t>
  </si>
  <si>
    <t>GS8XU</t>
  </si>
  <si>
    <t>Green Published, Green Submitted, Bronze</t>
  </si>
  <si>
    <t>WOS:000443999300001</t>
  </si>
  <si>
    <t>Morales, FR; Leuschen, C; Carabajal, C; Wolf, A; Garrison, S</t>
  </si>
  <si>
    <t>Morales, F. R.; Leuschen, C.; Carabajal, C.; Wolf, A.; Garrison, S.</t>
  </si>
  <si>
    <t>Measurements of Snow Cover Using An Improved UWB 2-18 GHz Airborne Radar Testbed</t>
  </si>
  <si>
    <t>2018 IEEE RADAR CONFERENCE (RADARCONF18)</t>
  </si>
  <si>
    <t>IEEE Radar Conference</t>
  </si>
  <si>
    <t>APR 23-27, 2018</t>
  </si>
  <si>
    <t>Oklahoma City, OK</t>
  </si>
  <si>
    <t>ultra-wideband radar; remote sensing; airborne radar</t>
  </si>
  <si>
    <t>FMCW RADARS; ACCUMULATION</t>
  </si>
  <si>
    <t>An improved UWB airborne radar testbed was developed and implemented to map the air-snow and snow-ice interfaces on marine ice as well as near-surface internal layers on land ice sheets. The system operates in the 2-18 GHz frequency range and was tested onboard the NASA P-3 airborne science laboratory. The radar testbed expands the capabilities of the 2-8 GHz and 12-18 GHz systems previously deployed on NASA Operation IceBridge (OIB) and serves as performance baseline to guide future efforts for the miniaturization and integration of the radar electronics. We collected radar data with the system over various targets in the Arctic and Antarctic. We demonstrate the system's capability to measure snow cover thickness on sea ice at cm-scale with very low range sidelobes and present sample radar images showing the system's ability to map internal snow accumulation layers to depths exceeding 30 m.</t>
  </si>
  <si>
    <t>[Morales, F. R.; Leuschen, C.; Carabajal, C.] Univ Kansas, Ctr Remote Sensing Ice Sheets, 2335 Irving Hill Rd, Lawrence, KS 66045 USA; [Wolf, A.; Garrison, S.] Nalt Nucl Secur Adm Kansas City NSC, 14520 Botts Rd, Kansas City, MO 64147 USA</t>
  </si>
  <si>
    <t>University of Kansas</t>
  </si>
  <si>
    <t>Morales, FR (corresponding author), Univ Kansas, Ctr Remote Sensing Ice Sheets, 2335 Irving Hill Rd, Lawrence, KS 66045 USA.</t>
  </si>
  <si>
    <t>Honeywell Federal Manufacturing &amp; Technologies, LLC; National Aeronautics and Space Administration, NASA [NNX10AT68G]; National Science Foundation, NSF [ANT-0424589]</t>
  </si>
  <si>
    <t>Honeywell Federal Manufacturing &amp; Technologies, LLC; National Aeronautics and Space Administration, NASA(National Aeronautics &amp; Space Administration (NASA)); National Science Foundation, NSF(National Science Foundation (NSF))</t>
  </si>
  <si>
    <t>This work was supported by Honeywell Federal Manufacturing &amp; Technologies, LLC, the National Aeronautics and Space Administration, NASA (grant NNX10AT68G), and the National Science Foundation, NSF (grant ANT-0424589). We gratefully acknowledge Drs. J. Paden and J. Li for producing the radar images; A. Paden and P. Place for their assistance with the fabrication and assembly of parts of the system; J. Davisson, D. Kruse, and A. Feathers for laboratory support; and H. Talasila and R. Thomas for support during the field experiments. The authors would like to thank former faculty and staff at the University of Kansas, especially Profs. S. Gogineni and S. Yan (now at the University of Alabama), for the numerous technical contributions and discussions which led to this work.</t>
  </si>
  <si>
    <t>1097-5764</t>
  </si>
  <si>
    <t>978-1-5386-4167-5</t>
  </si>
  <si>
    <t>IEEE RAD CONF</t>
  </si>
  <si>
    <t>BK7WB</t>
  </si>
  <si>
    <t>WOS:000442172700183</t>
  </si>
  <si>
    <t>Law, CS; Rickard, GJ; Mikaloff-Fletcher, SE; Pinkerton, MH; Behrens, E; Chiswell, SM; Currie, K</t>
  </si>
  <si>
    <t>Law, Cliff S.; Rickard, Graham J.; Mikaloff-Fletcher, Sara E.; Pinkerton, Matt H.; Behrens, Erik; Chiswell, Steve M.; Currie, Kim</t>
  </si>
  <si>
    <t>Climate change projections for the surface ocean around New Zealand</t>
  </si>
  <si>
    <t>NEW ZEALAND JOURNAL OF MARINE AND FRESHWATER RESEARCH</t>
  </si>
  <si>
    <t>Climate change; surface ocean; New Zealand; Earth System Model; warming; ocean acidification; nutrients; primary production; particle flux</t>
  </si>
  <si>
    <t>SUB-ANTARCTIC WATERS; SOUTHWEST PACIFIC; BOUNDARY CURRENTS; SOUTHERN-OCEAN; MARINE; EAST; ACIDIFICATION; SENSITIVITIES; FLUXES; CMIP5</t>
  </si>
  <si>
    <t>The future status of the surface ocean around New Zealand was projected using two Earth System Models and four emission scenarios. By 2100 mean changes are largest under Representative Concentration Pathway 8.5 (RCP8.5), with a +2.5 degrees C increase in sea surface temperature, and decreases in surface mixed layer depth (15%), macronutrients (7.5-20%), primary production (4.5%) and particle flux (12%). Largest macronutrient declines occur in the eastern Chatham Rise and subantarctic waters to the south, whereas dissolved iron increases in subtropical waters. Surface pH projections, validated against subantarctic time-series data, indicate a 0.335 decline to similar to 7.77 by 2100. However, projected pH is sensitive to future CO2 emissions, remaining within the current range under RCP2.6, but decreasing below it by 2040 with all other scenarios. Sub-regions vulnerable to climate change include the Chatham Rise, polar waters south of 50 degrees S, and subtropical waters north of New Zealand, whereas the central Tasman Sea is least affected.</t>
  </si>
  <si>
    <t>[Law, Cliff S.; Rickard, Graham J.; Mikaloff-Fletcher, Sara E.; Pinkerton, Matt H.; Behrens, Erik; Chiswell, Steve M.] Natl Inst Water &amp; Atmospher Res, Wellington, New Zealand; [Law, Cliff S.] Univ Otago, Dept Chem, Dunedin, New Zealand; [Currie, Kim] Univ Otago, Ctr Oceanog, Natl Inst Water &amp; Atmospher Res, NIWA, Dunedin, New Zealand</t>
  </si>
  <si>
    <t>National Institute of Water &amp; Atmospheric Research (NIWA) - New Zealand; University of Otago; National Institute of Water &amp; Atmospheric Research (NIWA) - New Zealand; University of Otago</t>
  </si>
  <si>
    <t>Law, CS (corresponding author), Natl Inst Water &amp; Atmospher Res, Wellington, New Zealand.;Law, CS (corresponding author), Univ Otago, Dept Chem, Dunedin, New Zealand.</t>
  </si>
  <si>
    <t>cliff.law@niwa.co.nz</t>
  </si>
  <si>
    <t>Behrens, Erik/B-9631-2013</t>
  </si>
  <si>
    <t>rickard, graham/0000-0002-0169-4361; Pinkerton, Matt/0000-0001-7948-720X; Chiswell, Stephen/0000-0002-5957-3706; Law, Cliff/0000-0002-7669-2475; Mikaloff Fletcher, Sara/0000-0003-0741-0320</t>
  </si>
  <si>
    <t>NZ Ministry of Business, Innovation and Employment (MBIE) [C01X1225]; NIWA Strategic Investment Funding [CAOA1504, COOF1502]; New Zealand Ministry of Business, Innovation &amp; Employment (MBIE) [C01X1225] Funding Source: New Zealand Ministry of Business, Innovation &amp; Employment (MBIE)</t>
  </si>
  <si>
    <t>NZ Ministry of Business, Innovation and Employment (MBIE)(New Zealand Ministry of Business, Innovation and Employment (MBIE)); NIWA Strategic Investment Funding; New Zealand Ministry of Business, Innovation &amp; Employment (MBIE)(New Zealand Ministry of Business, Innovation and Employment (MBIE))</t>
  </si>
  <si>
    <t>This work was funded by NZ Ministry of Business, Innovation and Employment (MBIE) Contract C01X1225 (CCII), and NIWA Strategic Investment Funding to CAOA1504 (Ocean Climates), and COOF1502 (Oceans: Primary Production).</t>
  </si>
  <si>
    <t>0028-8330</t>
  </si>
  <si>
    <t>1175-8805</t>
  </si>
  <si>
    <t>NEW ZEAL J MAR FRESH</t>
  </si>
  <si>
    <t>N. Z. J. Mar. Freshw. Res.</t>
  </si>
  <si>
    <t>10.1080/00288330.2017.1390772</t>
  </si>
  <si>
    <t>GR6KB</t>
  </si>
  <si>
    <t>WOS:000442757700001</t>
  </si>
  <si>
    <t>Marinescu, A</t>
  </si>
  <si>
    <t>Finkl, CW; Makowski, C</t>
  </si>
  <si>
    <t>Marinescu, Alexandru</t>
  </si>
  <si>
    <t xml:space="preserve">An Original Document About the History of the Antarctic Expedition  Belgica </t>
  </si>
  <si>
    <t>DIVERSITY IN COASTAL MARINE SCIENCES: HISTORICAL PERSPECTIVES AND CONTEMPORARY RESEARCH OF GEOLOGY, PHYSICS, CHEMISTRY, BIOLOGY, AND REMOTE SENSING</t>
  </si>
  <si>
    <t>Coastal Research Library</t>
  </si>
  <si>
    <t>The author presents original documents useful to understand the connections between the members of the staff and the projects of the Belgica Expedition in the Antarctic Region (1897-1899).</t>
  </si>
  <si>
    <t>[Marinescu, Alexandru] Romanian Comm Hist Sci &amp; Technol, Bucharest, Romania</t>
  </si>
  <si>
    <t>Marinescu, A (corresponding author), Romanian Comm Hist Sci &amp; Technol, Bucharest, Romania.</t>
  </si>
  <si>
    <t>juandi@yahoo.fr</t>
  </si>
  <si>
    <t>2211-0577</t>
  </si>
  <si>
    <t>2211-0585</t>
  </si>
  <si>
    <t>978-3-319-57577-3; 978-3-319-57576-6</t>
  </si>
  <si>
    <t>COAST RES LIBR</t>
  </si>
  <si>
    <t>10.1007/978-3-319-57577-3_35</t>
  </si>
  <si>
    <t>10.1007/978-3-319-57577-3</t>
  </si>
  <si>
    <t>BK4QE</t>
  </si>
  <si>
    <t>WOS:000437098200036</t>
  </si>
  <si>
    <t>Riesgo, A; Cavalcanti, FF; Kenny, NJ; Ríos, P; Cristobo, J; Lanna, E</t>
  </si>
  <si>
    <t>Riesgo, Ana; Cavalcanti, Fernanda F.; Kenny, Nathan J.; Rios, Pilar; Cristobo, Javier; Lanna, Emilio</t>
  </si>
  <si>
    <t>Integrative systematics of clathrinid sponges: morphological, reproductive and phylogenetic characterisation of a new species of Leucetta from Antarctica (Porifera, Calcarea, Calcinea) with notes on the occurrence of flagellated sperm</t>
  </si>
  <si>
    <t>INVERTEBRATE SYSTEMATICS</t>
  </si>
  <si>
    <t>phylogeny; reproductive biology; sperm morphology</t>
  </si>
  <si>
    <t>PERFORMANCE; GENERATION; SELECTION; CELLS</t>
  </si>
  <si>
    <t>Our study reports on the occurrence of a new species of Leucetta (Calcinea, Calcarea) from the Southern Ocean, Leucetta giribeti, sp. nov., collected in the shallow waters (15 m depth) of Deception Island, South Shetland Islands. This new taxon is described based on a combination of morphological and molecular data, including the description of oocytes, embryos, larvae and sperm found in the choanosome. While female reproductive elements showed great similarities with those of other calcineans, sperm is reported here for the first time in the whole Calcinea subclass. Sperm cells are flagellated and possess a typical spermatic mid-piece, which is usually observed in cnidarians. In our phylogenetic analyses, we recovered Leucetta giribeti, sp. nov. as sister species of a clade formed by species of the genera Leucetta, Pericharax and Leucettusa. Although the clade in which Leucetta giribeti, sp. nov. is placed is supported by molecular and morphological features, we cannot propose a new genus due to uncertainties regarding the type species of the genus, Leucetta primigenia Haeckel, 1872. Our study reinforces the relevance of integrative approaches in the description of new taxa and contributes to resolving the poorly known reproductive patterns of Antarctic sponge species.</t>
  </si>
  <si>
    <t>[Riesgo, Ana; Kenny, Nathan J.] Nat Hist Museum London, Dept Life Sci, Cromwell Rd, London SW7 5BD, England; [Cavalcanti, Fernanda F.; Lanna, Emilio] Univ Fed Bahia, Inst Biol, Rua Barao de Jeremoabo S-N, BR-40170115 Salvador, BA, Brazil; [Rios, Pilar; Cristobo, Javier] Inst Espanol Oceanog, Ave Principe Asturias,70 Bis, Gijon 33212, Asturias, Spain</t>
  </si>
  <si>
    <t>Natural History Museum London; Universidade Federal da Bahia; Spanish Institute of Oceanography</t>
  </si>
  <si>
    <t>Riesgo, A (corresponding author), Nat Hist Museum London, Dept Life Sci, Cromwell Rd, London SW7 5BD, England.</t>
  </si>
  <si>
    <t>A.Riesgo@nhm.ac.uk</t>
  </si>
  <si>
    <t>Riesgo, Ana/E-3341-2014; Rios, Pilar/L-1293-2014; Lanna, Emilio/K-3323-2012; Cristobo, Javier/M-1949-2014; Kenny, Nathan/AAD-2391-2020</t>
  </si>
  <si>
    <t>Riesgo, Ana/0000-0002-7993-1523; Rios, Pilar/0000-0001-9710-9114; Kenny, Nathan/0000-0003-4816-4103</t>
  </si>
  <si>
    <t>Spanish Ministry of Economy and Competitivity [DISTANTCOM CTM2013-42667]; DIF grant [SDF14032]; Brazilian National Research Council [CNPq 477227/2013-9, 449070/2014-0]; FAPESB</t>
  </si>
  <si>
    <t>Spanish Ministry of Economy and Competitivity(Spanish Government); DIF grant; Brazilian National Research Council(Conselho Nacional de Desenvolvimento Cientifico e Tecnologico (CNPQ)); FAPESB(Fundacao de Amparo a Pesquisa do Estado da Bahia (FAPESB))</t>
  </si>
  <si>
    <t>We are indebted to Juan Moles, Carlos Angulo, Conxita Avila, Maria Bas, Laura Nunez-Pons, Patricia Alvarez-Campos, Gonzalo Giribet and Oriol Sacristan for help during field sampling. The authors would also like to thank the crew of the R/V Hesperides and the staff of the Spanish Antarctic Base Gabriel de Castilla for extraordinary logistic support during the sampling collection. All material has been collected under appropriate collection permits (CPE-EIA-2011-7 and CPE-EIA-2015-7 from the Spanish Ministry of Economy and Competitivity) and within approved ethics guidelines. We also thank Sergio Taboada for his invaluable help during sample processing for SEM and TEM. This work was supported by a grant of the Spanish Ministry of Economy and Competitivity (DISTANTCOM CTM2013-42667) and a DIF grant (SDF14032) to AR. EL and FFC are funded by grants from the Brazilian National Research Council (CNPq 477227/2013-9; 449070/2014-0) and FAPESB.</t>
  </si>
  <si>
    <t>1445-5226</t>
  </si>
  <si>
    <t>1447-2600</t>
  </si>
  <si>
    <t>INVERTEBR SYST</t>
  </si>
  <si>
    <t>Invertebr. Syst.</t>
  </si>
  <si>
    <t>10.1071/IS17033</t>
  </si>
  <si>
    <t>Evolutionary Biology; Zoology</t>
  </si>
  <si>
    <t>GQ8JE</t>
  </si>
  <si>
    <t>WOS:000441998900005</t>
  </si>
  <si>
    <t>Câmara, PEAS; Carvalho-Silva, M; Henriques, DK; Guerra, J; Gallego, MT; Poveda, DR; Stech, M</t>
  </si>
  <si>
    <t>Camara, Paulo E. A. S.; Carvalho-Silva, Micheline; Henriques, Diego Knop; Guerra, Juan; Teresa Gallego, Maria; Rios Poveda, Diana; Stech, Michael</t>
  </si>
  <si>
    <t>Pylaisiaceae Schimp. (Bryophyta) revisited</t>
  </si>
  <si>
    <t>JOURNAL OF BRYOLOGY</t>
  </si>
  <si>
    <t>Buckia gen. nov; Hypnum; Nomenclature; Phylogeny; Pseudostereodon; Pylaisia; Roaldia gen. nov; Stereodon</t>
  </si>
  <si>
    <t>REVOLUTUM MITT LINDB; MOSSES; PHYLOGENY; EVOLUTION; HYPNALES; NUCLEAR; EUROPE</t>
  </si>
  <si>
    <t>Molecular phylogenetic reconstructions support the monophyly of Pylaisiaceae. The family includes Calliergonella Loeske, Homomallium (Schimp.) Loeske, Pseudohygrohypnum Kanda, Pylaisia Schimp., 2 further genera formerly placed in Hypnaceae, Ectropothecium Mitt. and Vesicularia (Mull.Hal.) Mull.Hal., as well as several species of Hypnum Hedw. recently considered to belong to Stereodon (Brid.) Rchb. Calliergonella, Ectropothecium, Pylaisia, Pseudohygrohypnum and Vesicularia, are monophyletic based on the present data, whereas Homomallium is resolved as a paraphyletic sister group to Pylaisia. Stereodon is excluded from Pylaisiaceae since its type species, S. callichrous (Brid.) Lindb., is resolved outside the Pylaisiaceae Glade. Based on morphological and molecular evidence 2 new genera, Roaldia and Buckia, are described to accommodate the former Hypnum (Stereodon) species H. revolutum (Mitt.) Lindb. and H. vaucheri Lesq. respectively. The genus Pseudostereodon (Broth.) M.Fleisch. is re-established to accommodate Hypnum procerrimum Molendo. Morphological descriptions and illustrations of distinctive characters in these 3 taxa are provided and lectotypes for 2 names are designated. New distributional data is also provided for Roaldia new to Guatemala. A key to the genera of Pylaisiaceae is presented.</t>
  </si>
  <si>
    <t>[Camara, Paulo E. A. S.; Carvalho-Silva, Micheline; Henriques, Diego Knop] Univ Brasilia UnB, Dept Bot, Programa Antartico Brasileiro PROANTAR, Brasilia, DF, Brazil; [Carvalho-Silva, Micheline] Univ Fed Vales Jequitinhonha &amp; Mucuri, Inst Ciencias Agr, Campus Unai, Unai, MG, Brazil; [Guerra, Juan; Teresa Gallego, Maria; Rios Poveda, Diana] Univ Murcia, Fac Biol, Dept Biol Vegetal, Murcia, Spain; [Stech, Michael] Nat Biodivers Ctr, Leiden, Netherlands; [Stech, Michael] Leiden Univ, Fac Sci, Leiden, Netherlands</t>
  </si>
  <si>
    <t>Universidade de Brasilia; Universidade Federal dos Vales do Jequitinhonha e Mucuri (UFVJM); University of Murcia; Naturalis Biodiversity Center; Leiden University - Excl LUMC; Leiden University</t>
  </si>
  <si>
    <t>Câmara, PEAS (corresponding author), Univ Brasilia UnB, Dept Bot, Programa Antartico Brasileiro PROANTAR, Brasilia, DF, Brazil.</t>
  </si>
  <si>
    <t>pcamara@unb.br</t>
  </si>
  <si>
    <t>Camara, Paulo/GPP-2054-2022; Gallego, María Teresa/G-9704-2015</t>
  </si>
  <si>
    <t>Camara, Paulo/0000-0002-3944-996X; Gallego, María Teresa/0000-0002-6180-1624; Guerra Montes, Juan/0000-0001-5747-9823; Stech, Michael/0000-0001-9804-0120; Silva, Micheline/0000-0002-2389-3804; Henriques, Diego Knop/0000-0003-2839-8877</t>
  </si>
  <si>
    <t>CNPq; MCTI; Spanish 'Ministerio de Ciencia e Innovacion'; 'Ministerio de Economia y Competitividad' [CGL2015-64068P]; Conselho Nacional de Desenvolvimento Cientifico e Tecnologico (Brazil); Ministerio de Economia y Competitividad (Spain)</t>
  </si>
  <si>
    <t>CNPq(Conselho Nacional de Desenvolvimento Cientifico e Tecnologico (CNPQ)); MCTI; Spanish 'Ministerio de Ciencia e Innovacion'(Instituto de Salud Carlos IIISpanish Government); 'Ministerio de Economia y Competitividad'(Spanish Government); Conselho Nacional de Desenvolvimento Cientifico e Tecnologico (Brazil)(Conselho Nacional de Desenvolvimento Cientifico e Tecnologico (CNPQ)); Ministerio de Economia y Competitividad (Spain)(Spanish Government)</t>
  </si>
  <si>
    <t>The curators of the herbaria mentioned in the text are thanked for their valuable help with the location and loan of the type material. We thank CNPq, MCTI and the Spanish 'Ministerio de Ciencia e Innovacion' and 'Ministerio de Economia y Competitividad' (Project CGL2015-64068P) for providing funds and scholarships. The Brazilian Antarctic Program (PROANTAR), Brazilian Navy and Brazilian Air Force for logistic support and the Secretaria Interministerial para Recursos do Mar- SECIRM.; Taxonomic Additions and Changes: Roaldia P.E.A.S. Camara &amp; M.Carvalho-Silva, gen. nov.; Roaldia revoluta (Mitt.) P.E.A.S. Camara &amp; M.Carvalho-Silva, comb. nov; Buckia D.Rios, M.T.Gallego &amp; J.Guerra gen. nov.; Buckia vaucheri (Lesq.) D.Rios, M.T.Gallego &amp; J.Guerra, comb. nov. This work was supported by Conselho Nacional de Desenvolvimento Cientifico e Tecnologico (Brazil) and Ministerio de Economia y Competitividad (Spain).</t>
  </si>
  <si>
    <t>0373-6687</t>
  </si>
  <si>
    <t>1743-2820</t>
  </si>
  <si>
    <t>J BRYOL</t>
  </si>
  <si>
    <t>J. Bryol.</t>
  </si>
  <si>
    <t>10.1080/03736687.2018.1472850</t>
  </si>
  <si>
    <t>GQ4OJ</t>
  </si>
  <si>
    <t>WOS:000441652000004</t>
  </si>
  <si>
    <t>Zalizovski, AV; Kashcheyev, AS; Kashcheyev, SB; Koloskov, AV; Lisachenko, VN; Paznukhov, VV; Pikulik, II; Sopin, AA; Yampolski, YM</t>
  </si>
  <si>
    <t>Zalizovski, A. V.; Kashcheyev, A. S.; Kashcheyev, S. B.; Koloskov, A. V.; Lisachenko, V. N.; Paznukhov, V. V.; Pikulik, I. I.; Sopin, A. A.; Yampolski, Yu. M.</t>
  </si>
  <si>
    <t>A PROTOTYPE OF A PORTABLE COHERENT IONOSONDE MODEL</t>
  </si>
  <si>
    <t>SPACE SCIENCE AND TECHNOLOGY-KOSMICNA NAUKA I TEHNOLOGIA</t>
  </si>
  <si>
    <t>Ukrainian</t>
  </si>
  <si>
    <t>ionosphere; ionosonde; coherent HF sounding</t>
  </si>
  <si>
    <t>HF; DIAGNOSTICS; PATHS</t>
  </si>
  <si>
    <t>Vertical sounding of the ionosphere (VSI) is the oldest and still one of the most widely used methods of diagnostics of the Earth atmosphere's plasma. Today there exists a worldwide network of the VSI sounders developed by different research groups; however, the existing coverage is still not sufficient for modern scientific and operational purposes. Primarily this is because of the limited temporal and spatial resolution provided by the available VSI systems. Thus, establishing a denser global network of the VSI stations with better operational characteristics is an important topic in the ionospheric community. Being a country with an active space research program, Ukraine will benefit from having near real-time specification of the state of the ionosphere, through which the communication with satellite systems is performed and which can be affected by the presence of the ionospheric disturbances. As of today, there is not a single routinely operating VSI system in Ukraine. Establishing a system of ionospheric monitoring will be an important step in advancing national space research. This paper deals with developing and prototyping of a portable digital ionosonde that allows carrying out continuous ionospheric diagnostics without significant financial expenditures. The designed system is based on the software-defined radio (SDR) technology which offers benefits of flexibility, small form factor, low power, and low cost. The system consumes less than 50 W of input power. Operation takes advantage of using the long phase coded transmit pulse, which provides additional SNR improvement by implementing a pulse compression technique. As a result, we developed a prototype of a low-cost, low-power portable coherent ionosonde. First laboratory and field tests of the new vertical sounder have been made in Ukraine and Antarctica. In April 2017, the system was installed at the Ukrainian Antarctic station Akademik Vernadsky (UAS). A comparison of the ionogram measurements made at the UAS with the developed prototype system and with a conventional analog ionosonde IPS-42 showed a high quality and higher resolution of the new VSI instrument. This paper describes the principles of operation, a functional diagram, and main technical characteristics of the ionosonde. We present also the examples of ionograms and diurnal altitude dependences of ionospheric plasma frequencies, Doppler frequency shifts and intensities of the reflected sounding signals from the measurements made at the UAS and near Kharkiv. The initial tests of two identical VSI system prototypes in Antarctica and Ukraine showed the reliability and efficiency of their application for the diagnostics of the ionosphere. The developed sounder can be used as a base prototype for manufacturing of a limited number of ionosondes and their installation in Ukraine. An important advantage of the new system is its simplicity, low production cost and low power consumption, which are the most critical factors for continuous operation, especially at the remote locations like Antarctica. The authors recommend equipping several observatories in Ukraine with this kind of sounding system as the first step towards establishing the National network for monitoring ionospheric conditions and space weather.</t>
  </si>
  <si>
    <t>[Zalizovski, A. V.; Kashcheyev, A. S.; Kashcheyev, S. B.; Koloskov, A. V.; Lisachenko, V. N.; Pikulik, I. I.; Sopin, A. A.; Yampolski, Yu. M.] Natl Acad Sci Ukraine, Inst Radio Astron, Kharkov, Ukraine; [Kashcheyev, A. S.] Abdus Salam Int Ctr Theoret Phys, Telecommun ICT Dev Lab, Trieste, Italy; [Paznukhov, V. V.] Boston Coll, Inst Sci Res, 140 Commonwealth Ave, Chestnut Hill, MA 02467 USA</t>
  </si>
  <si>
    <t>National Academy of Sciences Ukraine; Institute of Radio Astronomy of the National Academy of Sciences of Ukraine; Abdus Salam International Centre for Theoretical Physics (ICTP); Boston College</t>
  </si>
  <si>
    <t>Zalizovski, AV (corresponding author), Natl Acad Sci Ukraine, Inst Radio Astron, Kharkov, Ukraine.</t>
  </si>
  <si>
    <t>Sopin, Andriy/ABB-8444-2020; Zalizovski, Andriy/HII-4602-2022; Zalizovski, Andriy/ABB-4475-2020; Yampolski, Yuri/AAU-3037-2021; yampolskiy, yuriy m/ABA-8387-2020; Koloskov, Oleksandr/ABB-4631-2020</t>
  </si>
  <si>
    <t>Zalizovski, Andriy/0000-0002-6271-0126; Zalizovski, Andriy/0000-0002-6271-0126; Koloskov, Oleksandr/0000-0001-8921-3851</t>
  </si>
  <si>
    <t>PUBLISHING HOUSE AKADEMPERIODYKA</t>
  </si>
  <si>
    <t>KYIV</t>
  </si>
  <si>
    <t>PUBLISHING HOUSE AKADEMPERIODYKA, KYIV, 00000, UKRAINE</t>
  </si>
  <si>
    <t>1561-8889</t>
  </si>
  <si>
    <t>2518-1459</t>
  </si>
  <si>
    <t>SPACE SCI TECHNOL</t>
  </si>
  <si>
    <t>Space Sci. Technol.</t>
  </si>
  <si>
    <t>10.15407/knit2018.03.010</t>
  </si>
  <si>
    <t>GQ9SI</t>
  </si>
  <si>
    <t>WOS:000442127500002</t>
  </si>
  <si>
    <t>Abbott, M; Boyle, C; Blackburne, K; Lee, W</t>
  </si>
  <si>
    <t>Abbott, Mick; Boyle, Cameron; Blackburne, Kate; Lee, Woody</t>
  </si>
  <si>
    <t>New Zealand's arc of influence: the clean, blue, green country</t>
  </si>
  <si>
    <t>JOURNAL OF CULTURAL GEOGRAPHY</t>
  </si>
  <si>
    <t>Seascapes; cartography; mapping; New Zealand</t>
  </si>
  <si>
    <t>MOBILITY; SEA</t>
  </si>
  <si>
    <t>Over the last 50 years, the area of New Zealand has been expanded to include territorial seas, an Exclusive Economic Zone, marine protected areas, an extended continental shelf, the Ross Sea, and a wedge of the Antarctic continent. While New Zealand's territory is now significantly more marine rather than terrestrial, the country is often imagined as a series of isolated islands floating adrift in the Pacific. In this paper, we consider how the space of the nation-state can be reimagined to create a more relevant sense of place and identity. We argue that the perception of New Zealand as 100% pure and clean green can be developed into a clean, blue, green image that better reflects the country's expansive and diverse arc of influence through conservation values. We focus on the role of mapping within this issue; critiquing existing maps of New Zealand's marine territory while also presenting our own speculative maps.</t>
  </si>
  <si>
    <t>[Abbott, Mick; Boyle, Cameron; Lee, Woody] Lincoln Univ, Sch Landscape Architecture, Ellesmere Junct Rd, Lincoln 7646, New Zealand; [Blackburne, Kate] Exterior Architecture, London, England</t>
  </si>
  <si>
    <t>Lincoln University - New Zealand</t>
  </si>
  <si>
    <t>Boyle, C (corresponding author), Lincoln Univ, Sch Landscape Architecture, Ellesmere Junct Rd, Lincoln 7646, New Zealand.</t>
  </si>
  <si>
    <t>cameron.boyle@lincoln.ac.nz</t>
  </si>
  <si>
    <t>Boyle, Cameron/0000-0001-8906-5377</t>
  </si>
  <si>
    <t>0887-3631</t>
  </si>
  <si>
    <t>1940-6320</t>
  </si>
  <si>
    <t>J CULT GEOGR</t>
  </si>
  <si>
    <t>J. Cult. Geogr.</t>
  </si>
  <si>
    <t>10.1080/08873631.2018.1435937</t>
  </si>
  <si>
    <t>GQ0LE</t>
  </si>
  <si>
    <t>WOS:000441309700005</t>
  </si>
  <si>
    <t>Wilson, SC; Jones, KA</t>
  </si>
  <si>
    <t>Wilson, Susan C.; Jones, Kayleigh A.</t>
  </si>
  <si>
    <t>BEHAVIOUR OF HARBOUR SEAL (PHOCA VITULINA VITULINA) MOTHER-PUP PAIRS IN IRISH SEA INTERTIDAL HABITATS</t>
  </si>
  <si>
    <t>BIOLOGY AND ENVIRONMENT-PROCEEDINGS OF THE ROYAL IRISH ACADEMY</t>
  </si>
  <si>
    <t>PLAY; HAUL; POPULATIONS; ABUNDANCE; TIME</t>
  </si>
  <si>
    <t>Information is sparse on harbour seal pupping dates and mother-pup behavioural ecology in Ireland. Here we define the pupping season and quantify the behaviour of mother-pup pairs in intertidal habitats of Dundrum Bay, north-east Ireland. Seals were counted and video footage was taken of mother-pup pairs at a rocky ledge site and a sandy beach site between 2002 and 2015. We recorded distances between pups and their mothers, filial social interactions, pup resting behaviours and mother scanning at three intertidal zones: the water, water's edge and dry ledge or beach. The peak pupping time was 04-15 July at both sites, but the pup-to-adult ratio was higher at the rocky ledge site. Pups almost always remained less than 1m away from their mothers, and were closest while mother and pup rested in the dry zone. Filial social interactions were most frequent in the water, least frequent in the dry zone and intermediate at the water's edge; suckling occurred almost exclusively at the water's edge. Our findings highlight the essential features of a harbour seal pup's social and physical environment. We suggest how these features could be incorporated into the design and procedures of rehabilitation centres for 'orphan' pups.</t>
  </si>
  <si>
    <t>[Wilson, Susan C.] Tara Seal Res, 14 Bridge St, Killyleagh BT30 9QN, North Ireland; [Jones, Kayleigh A.] British Antarctic Survey, Madingley Rd, Cambridge CB3 0ET, England</t>
  </si>
  <si>
    <t>Wilson, SC (corresponding author), Tara Seal Res, 14 Bridge St, Killyleagh BT30 9QN, North Ireland.</t>
  </si>
  <si>
    <t>suewilson@sealresearch.org</t>
  </si>
  <si>
    <t>Jones, Kayleigh/0000-0001-9509-5185</t>
  </si>
  <si>
    <t>ROYAL IRISH ACAD</t>
  </si>
  <si>
    <t>DUBLIN</t>
  </si>
  <si>
    <t>19 DAWSON STREET, DUBLIN 2, IRELAND</t>
  </si>
  <si>
    <t>0791-7945</t>
  </si>
  <si>
    <t>2009-003X</t>
  </si>
  <si>
    <t>BIOL ENVIRON</t>
  </si>
  <si>
    <t>Biol. Environ.-Proc. R. Irish Acad.</t>
  </si>
  <si>
    <t>118B</t>
  </si>
  <si>
    <t>10.3318/BIOE.2018.02</t>
  </si>
  <si>
    <t>Biology; Environmental Sciences</t>
  </si>
  <si>
    <t>Life Sciences &amp; Biomedicine - Other Topics; Environmental Sciences &amp; Ecology</t>
  </si>
  <si>
    <t>GP4ZC</t>
  </si>
  <si>
    <t>WOS:000440879900002</t>
  </si>
  <si>
    <t>Halici, MG; Bartak, M; Güllü, M</t>
  </si>
  <si>
    <t>Halici, Mehmet Gokhan; Bartak, Milos; Gullu, Mithat</t>
  </si>
  <si>
    <t>Identification of some lichenised fungi from James Ross Island (Antarctic Peninsula) using nrITS markers</t>
  </si>
  <si>
    <t>NEW ZEALAND JOURNAL OF BOTANY</t>
  </si>
  <si>
    <t>Antarctica; lichens; nrITS; polar lichens</t>
  </si>
  <si>
    <t>FLORA</t>
  </si>
  <si>
    <t>James Ross Island (Antarctic Peninsula) is one of the lichen rich islands of Antarctica because of its large deglaciated area, with over 140 species of lichenised fungi being reported from the island. Because of its rich lichen biodiversity we decided to study the lichen biodiversity of James Ross Island in more detail, using molecular techniques in addition to morphological characters. Collections made from James Ross Island in the 2016-2017 season by the first and second authors showed that lichen biodiversity of Antarctica is still poorly known and that molecular studies should be carried out to determine the lichen mycota of the white continent. For this research we selected five species and, after morphological and anatomical studies, we also worked with the nrITS gene regions of the selected specimens. Aspicilia virginea and Peltigera ponojensis are new to Antarctica and we provide nrITS data for Candelaria murrayi and Flavoparmelia gerlachei for the first time. Austroplaca frigida was only known from continental Antarctica and we report this species from maritime Antarctica for the first time. Detailed descriptions, habitat preferences and nrITS phylogenies of these species are provided. We believe that the lichen biodiversity of Antarctica will be much better known if molecular techniques are used in the classification of lichenised fungi.</t>
  </si>
  <si>
    <t>[Halici, Mehmet Gokhan; Gullu, Mithat] Erciyes Univ, Fac Sci, Dept Biol, Kayseri, Turkey; [Bartak, Milos] Masaryk Univ, Dept Expt Biol, Sect Plant Physiol, Brno, Czech Republic</t>
  </si>
  <si>
    <t>Erciyes University; Masaryk University Brno</t>
  </si>
  <si>
    <t>Halici, MG (corresponding author), Erciyes Univ, Fac Sci, Dept Biol, Kayseri, Turkey.</t>
  </si>
  <si>
    <t>mghalici@gmail.com</t>
  </si>
  <si>
    <t>Barták, Miloš/F-4714-2019</t>
  </si>
  <si>
    <t>Erciyes University; ITU POLREC; ECO-POLARIS project</t>
  </si>
  <si>
    <t>Erciyes University(Erciyes University); ITU POLREC; ECO-POLARIS project</t>
  </si>
  <si>
    <t>The authors thank the projects CzechPolar 2 (LM2015078) for providing field facilities in Antarctica. The first author thanks Erciyes University and ITU POLREC for their financial and other support to his Antarctic expedition in the 2016-2017 season. The second author thanks the ECO-POLARIS project for support and research infrastructure.</t>
  </si>
  <si>
    <t>0028-825X</t>
  </si>
  <si>
    <t>1175-8643</t>
  </si>
  <si>
    <t>NEW ZEAL J BOT</t>
  </si>
  <si>
    <t>N. Z. J. Bot.</t>
  </si>
  <si>
    <t>10.1080/0028825X.2018.1478861</t>
  </si>
  <si>
    <t>GP3LY</t>
  </si>
  <si>
    <t>WOS:000440750000004</t>
  </si>
  <si>
    <t>Pert, CG; Swearer, SE; Dworjanyn, S; Kriegisch, N; Turchini, GM; Francis, DS; Dempster, T</t>
  </si>
  <si>
    <t>Pert, Cassandra G.; Swearer, Stephen E.; Dworjanyn, Symon; Kriegisch, Nina; Turchini, Giovanni M.; Francis, David S.; Dempster, Tim</t>
  </si>
  <si>
    <t>Barrens of gold: gonad conditioning of an overabundant sea urchin</t>
  </si>
  <si>
    <t>AQUACULTURE ENVIRONMENT INTERACTIONS</t>
  </si>
  <si>
    <t>Roe enhancement; Heliocidaris erythrogramma; Aquaculture; Urchin barren; Temperature; Purple urchin</t>
  </si>
  <si>
    <t>NEW-SOUTH-WALES; STRONGYLOCENTROTUS-DROEBACHIENSIS; EVECHINUS-CHLOROTICUS; ROE ENHANCEMENT; HELIOCIDARIS-ERYTHROGRAMMA; PARACENTROTUS-LIVIDUS; CENTROSTEPHANUS-RODGERSII; REPRODUCTIVE IMPAIRMENT; EMBRYONIC-DEVELOPMENT; CHRONIC EXPOSURE</t>
  </si>
  <si>
    <t>Overgrazing by the overabundant native purple urchin Heliocidaris erythrogramma has caused kelp-dominated reefs to shift to urchin barrens throughout southeastern Australia. These areas are characterised by low kelp abundance, low biodiversity and high urchin densities. As purple urchin gonads are a delicacy in many countries, commercial harvest from barrens could aid kelp recovery. However, the lack of macroalgae in these habitats, driven by high urchin densities, results in urchins with small, poor-quality roe that is commercially undesirable. To overcome this, we assessed whether urchin gonad quantity and quality could be improved with access to high-quality feed and optimal environmental conditions, a process known as 'gonad conditioning'. Specifically, we (1) surveyed the quality of urchins from barrens and kelp sites in Port Phillip Bay, Australia, over 18 mo and (2) tested if gonad conditioning was effective on urchins from barrens during and after the harvest season. Field surveys revealed considerable variation in gonad size across sites, habitats and collection periods (mean gonad index range: 3 to 12%). Gonad conditioning with the best diet increased urchin gonad size by up to 2.8 times during the harvest season. Moreover, gonads of conditioned urchins from one barren were 3 times brighter in colour and contained lower concentrations of arsenic than wild urchins. In contrast, gonad conditioning at 22 degrees C after the harvest season was ineffective. Our results show that targeted in-season harvest from barrens and subsequent gonad conditioning produces roe of commercial quality, promoting the use of urchin fisheries as a tool for managing urchin barrens.</t>
  </si>
  <si>
    <t>[Pert, Cassandra G.; Dempster, Tim] Univ Melbourne, Sch Biosci, SALTT, Melbourne, Vic 3010, Australia; [Pert, Cassandra G.; Swearer, Stephen E.] Univ Melbourne, Sch Biosci, NCCC, Melbourne, Vic 3010, Australia; [Dworjanyn, Symon] Southern Cross Univ, Natl Marine Sci Ctr, Coffs Harbour, NSW 2450, Australia; [Kriegisch, Nina] Univ Tasmania, Inst Marine &amp; Antarctic Studies, Private Bag 129, Hobart, Tas 7001, Australia; [Turchini, Giovanni M.; Francis, David S.] Deakin Univ, Sch Life &amp; Environm Sci, Geelong, Vic 3220, Australia</t>
  </si>
  <si>
    <t>Melbourne Genomics Health Alliance; University of Melbourne; Melbourne Genomics Health Alliance; University of Melbourne; Southern Cross University; University of Tasmania; Deakin University</t>
  </si>
  <si>
    <t>Pert, CG (corresponding author), Univ Melbourne, Sch Biosci, SALTT, Melbourne, Vic 3010, Australia.;Pert, CG (corresponding author), Univ Melbourne, Sch Biosci, NCCC, Melbourne, Vic 3010, Australia.</t>
  </si>
  <si>
    <t>pertcg@gmail.com</t>
  </si>
  <si>
    <t>Turchini, Giovanni/A-9147-2008; SWEARER, STEPHEN/AAC-1527-2020; Swearer, Stephen/X-4882-2018; dworjanyn, symon/O-5633-2017; Dempster, Tim/E-9630-2011</t>
  </si>
  <si>
    <t>SWEARER, STEPHEN/0000-0001-6381-9943; Swearer, Stephen/0000-0001-6381-9943; dworjanyn, symon/0000-0002-6690-8033; Turchini, Giovanni/0000-0003-0694-4283; Francis, David/0000-0002-4829-6926; Dempster, Tim/0000-0001-8041-426X</t>
  </si>
  <si>
    <t>Rural Industries Research and Development Corporation [PRJ-010410]; Holsworth Wildlife Research Endowment-Equity Trustees Charitable Foundation grant</t>
  </si>
  <si>
    <t>Rural Industries Research and Development Corporation; Holsworth Wildlife Research Endowment-Equity Trustees Charitable Foundation grant</t>
  </si>
  <si>
    <t>This study was partially funded by the Rural Industries Research and Development Corporation (PRJ-010410). Support for the urchin GI surveys was provided by the Victorian Government's Seagrass and Reefs program (to S.E.S.), a Holsworth Wildlife Research Endowment-Equity Trustees Charitable Foundation grant (to N.K.), the University of Tasmania and the Victorian Department of Environment, Land, Water and Planning. We thank Dean Chamberlain, Luke Barrett, Dr. Valeriya Komyakova, Dr. Simon Reeves and Dr. Scott Ling for urchin collection; Rod Watson and John Ahern for experimental assistance; Dr. Devi Stuart-Fox and Katrina Rankin for help with colour analysis; Irene Volitakis for performing metal analysis; and Aquafeeds Australia for providing the commercial diet.</t>
  </si>
  <si>
    <t>1869-215X</t>
  </si>
  <si>
    <t>1869-7534</t>
  </si>
  <si>
    <t>AQUACULT ENV INTERAC</t>
  </si>
  <si>
    <t>Aquac. Environ. Interact.</t>
  </si>
  <si>
    <t>10.3354/aei00274</t>
  </si>
  <si>
    <t>Fisheries; Marine &amp; Freshwater Biology</t>
  </si>
  <si>
    <t>GP0ST</t>
  </si>
  <si>
    <t>WOS:000440521500003</t>
  </si>
  <si>
    <t>Sumaruk, TP; Sumaruk, PV</t>
  </si>
  <si>
    <t>Sumaruk, T. P.; Sumaruk, P. V.</t>
  </si>
  <si>
    <t>Peculiarities of the geomagnetic field secular variations at the 20th solar activity cycle</t>
  </si>
  <si>
    <t>GEOFIZICHESKIY ZHURNAL-GEOPHYSICAL JOURNAL</t>
  </si>
  <si>
    <t>secular variations; solar activity; geomagnetic activity; magnetospheric and ionospheric sources</t>
  </si>
  <si>
    <t>The decrease of solar and, correspondingly, geomagnetic activities at the 20th cycle has reflected on the secular variations of the geomagnetic field. On the continental magnetic observatories of the Earth north hemisphere (Europe and North America) the effect was positive and maximal amplitude was observed at the region of geomagnetic and magnetic poles. If the latitudes of the observatories diminishes amplitude of the effect also decreased and was about zero at the latitudes less 45 degrees. At the Asia, the effect was negative and its maximal amplitude was observed at the observatory IRT. The sign of the effect changes at longitudes 60 degrees (observatory KZN) and 150 degrees-180 degrees (observatory CWE, BRW). At the african and south America observatories the effect was not observed. The most probably, it was result of total variations from external and internal sources and the nearness of observatories to the geomagnetic equator. At Earth's south hemisphere, the most of the observatories are costal or are placed on the islands. The effect was not observed at these observatories. Maybe the induction current of ocean flows compensates the external variations. At the Antarctic continent the little amplitude effect was observed at the south magnetic pole region (DRV).</t>
  </si>
  <si>
    <t>[Sumaruk, T. P.; Sumaruk, P. V.] Natl Acad Sci Ukraine, Inst Geochemistry, Kiev, Ukraine</t>
  </si>
  <si>
    <t>National Academy of Sciences Ukraine; MP Semenenko Institute of Geochemistry, Mineralogy &amp; Ore Formation of the National Academy of Sciences of Ukraine</t>
  </si>
  <si>
    <t>Sumaruk, TP (corresponding author), Natl Acad Sci Ukraine, Inst Geochemistry, Kiev, Ukraine.</t>
  </si>
  <si>
    <t>Sumaruk, Taras/JEF-3940-2023</t>
  </si>
  <si>
    <t>Sumaruk, Taras/0009-0009-0559-3857</t>
  </si>
  <si>
    <t>S I SUBBOTIN INST GEOPHYSICS NATL ACAD</t>
  </si>
  <si>
    <t>KIEV</t>
  </si>
  <si>
    <t>PR PALLADINA 32, KIEV, 252142, UKRAINE</t>
  </si>
  <si>
    <t>0203-3100</t>
  </si>
  <si>
    <t>2524-1052</t>
  </si>
  <si>
    <t>GEOFIZ ZHURNAL</t>
  </si>
  <si>
    <t>Geofiz. Zhurnal</t>
  </si>
  <si>
    <t>10.24028/gzh.0203-3100.v40i3.2018.137199</t>
  </si>
  <si>
    <t>GO3TJ</t>
  </si>
  <si>
    <t>WOS:000439918300010</t>
  </si>
  <si>
    <t>Liang, SZ; Song, W; Ma, CY; Zhang, FY; Jiang, KJ; Wang, LM; Ma, LB</t>
  </si>
  <si>
    <t>Liang, Shuzhang; Song, Wei; Ma, Chunyan; Zhang, Fengying; Jiang, Keji; Wang, Luming; Ma, Lingbo</t>
  </si>
  <si>
    <t>The complete mitochondrial genome of Electrona carlsbergi (Myctophiformes, Myctophidae) with phylogenetic consideration</t>
  </si>
  <si>
    <t>MITOCHONDRIAL DNA PART B-RESOURCES</t>
  </si>
  <si>
    <t>Electrona carlsbergi; mitogenome; phylogenetic position; phylogenetic tree</t>
  </si>
  <si>
    <t>The complete mitochondrial genome of Electrona carlsbergi was obtained, which was 18,282 bp in size and including 13 protein-coding genes, 2 ribosomal RNAs, 23 transfer RNAs and 1 control region. The overall nucleotide composition is 27.92% for A, 24.66% for T, 30.90% for C and 16.52% for G. Among 23 tRNA genes, 8 tRNAs were encoded on the L-strand. Further, the phylogenetic tree, which based on complete mtDNA sequences, revealed that the E. carlsbergi was genetically closest to species E. antarctica and Krefftichthys anderssoni. This study could provide a basic data for the studies on evolution for low temperature adaptability, stock evaluation and conservation genetics.</t>
  </si>
  <si>
    <t>[Liang, Shuzhang; Song, Wei; Ma, Chunyan; Zhang, Fengying; Jiang, Keji; Wang, Luming; Ma, Lingbo] Chinese Acad Fishery Sci, East China Sea Fisheries Res Inst, Key Lab Ocean &amp; Polar Fisheries, Minist Agr, Shanghai, Peoples R China; [Liang, Shuzhang; Song, Wei] Shanghai Ocean Univ, Coll Fisheries &amp; Life Sci, Shanghai, Peoples R China</t>
  </si>
  <si>
    <t>Chinese Academy of Fishery Sciences; East China Sea Fisheries Research Institute, CAFS; Ministry of Agriculture &amp; Rural Affairs; Shanghai Ocean University</t>
  </si>
  <si>
    <t>Song, W; Ma, LB (corresponding author), Chinese Acad Fishery Sci, East China Sea Fisheries Res Inst, Key Lab Ocean &amp; Polar Fisheries, Minist Agr, Shanghai, Peoples R China.</t>
  </si>
  <si>
    <t>songw@ecsf.ac.cn; malingbo@vip.sina.com</t>
  </si>
  <si>
    <t>Ma, Chunyan/AAJ-2777-2020; Ma, Chunyan/HMP-3228-2023; Jiang, keji/F-1519-2010</t>
  </si>
  <si>
    <t>Ma, Chunyan/0000-0002-0453-0450;</t>
  </si>
  <si>
    <t>National Science &amp; Technology Support Plan [2013BAD13B03]; Chinese National Antarctic Research Expedition [CHINARE2014-01-06]</t>
  </si>
  <si>
    <t>National Science &amp; Technology Support Plan; Chinese National Antarctic Research Expedition</t>
  </si>
  <si>
    <t>The authors report no conflicts of interest. The authors alone are responsible for the content and writing of the paper. This work was supported by the Sub-project under National Science &amp; Technology Support Plan (No. 2013BAD13B03), and the Chinese National Antarctic Research Expedition (CHINARE2014-01-06).</t>
  </si>
  <si>
    <t>2380-2359</t>
  </si>
  <si>
    <t>MITOCHONDRIAL DNA B</t>
  </si>
  <si>
    <t>Mitochondrial DNA Part B-Resour.</t>
  </si>
  <si>
    <t>10.1080/23802359.2017.1383200</t>
  </si>
  <si>
    <t>Genetics &amp; Heredity</t>
  </si>
  <si>
    <t>GN0VC</t>
  </si>
  <si>
    <t>WOS:000438695900068</t>
  </si>
  <si>
    <t>Mitrokhin, A; Bakhmutov, V; Gavryliv, L; Aleksieienko, A</t>
  </si>
  <si>
    <t>Mitrokhin, A.; Bakhmutov, V; Gavryliv, L.; Aleksieienko, A.</t>
  </si>
  <si>
    <t>GEOLOGY OF PETERMANN ISLAND (WILHELM ARCHIPELAGO, WEST ANTARCTICA)</t>
  </si>
  <si>
    <t>VISNYK OF TARAS SHEVCHENKO NATIONAL UNIVERSITY OF KYIV-GEOLOGY</t>
  </si>
  <si>
    <t>geology; intrusive rocks; Wilhelm Archipelago; Petermann Island; West Antarctica</t>
  </si>
  <si>
    <t>PENINSULA BATHOLITH; GRAHAM LAND</t>
  </si>
  <si>
    <t>Petermann Island belongs to the Wilhelm Archipelago - a large island arc near the west coast of the Antarctic Peninsula in the area of the Ukrainian Antarctic Station Akademik Vernadsky. All the principal petrographic units of the Andean gabbro-granite Intrusive Suite which belong to the Antarctic Peninsula Batholith, outcrop on the island. Similar to several other Meso-Cenozoic orogenic intrusions, which form a large magmatic belt of West Antarctica, the rocks of Petermann Island underwent metamorphism of different type and intensity. The authors examined geological setting of the Petermann Island and acquired principally new data on the spatial localization, structural measurements, age relations, petrographic features and chemical composition of separate intrusive bodies. The aim of the research was to reveal the geological sequence of magmatic intrusions and metamorphism of the intrusive bodies of Petermann Island. Geological fieldworks, followed by mineralogical and petrographic investigations prove that gabbroids and granitoids formed as a result of two different stages of magmatic activity, delimited by the intrusion of pre-granite basic dikes and subsequent regional metamorphism. Accordingly, the intrusive suites of Petermann Island cannot be a part of one magmatic complex (Andean Intrusive Suite or Antarctic Peninsula Batholith), as it was considered by the previous researchers of the area. The paper indicates that the most ancient intrusive-magmatic formations of Petermann Island are represented by the layered gabbroid intrusion. Only a fragment of the latter one outcrops on the northern shore of the island, while the biggest part of the intrusion being located under the sea level to the north and east. At least two groups of dikes are identified among the basic dikes of Petermann Island based on the age of their intrusion. Petrographic features of pre-granite gabbro-porphyrite dikes indicate hypabyssal level of their intrusion, unlike the plutonic level of the enclosing gabbroids. It is pointed out that the gabbroids and pre-granite dikes were significantly altered by regional metamorphism under amphibolite facies conditions prior to the intrusion of granitoids. The development of the superimposed actinolite-epidote-chlorite mineralization is associated either with the contact metamorphism induced by the intrusion of granitoids or with later fracture-controlled hydrothermal flow and metasomatism that occurred after the intrusion of granitoids. The granitoids of Petermann Island show no evidence of regional metamorphic alteration under amphibolite facies, which is characteristic of the gabbroids. Therefore, it is assumed that the granitoids were formed after the peak of regional metamorphism in the area. The examination of post-granite diabase dikes indicates that they were intruded at subvolcanic level, after a significant erosion of the enclosing granitoids. The superimposed albite-epidote-chlorite mineralization of post-granite dikes is assumed to be associated with local fracture-controlled low temperature hydrothermal-metasomatic processes.</t>
  </si>
  <si>
    <t>[Mitrokhin, A.; Gavryliv, L.; Aleksieienko, A.] Taras Schevchenko Natl Univ Kyiv, Inst Geol, 90 Vasylkivska Str, UA-03022 Kiev, Ukraine; [Bakhmutov, V] Natl Acad Sci Ukraine, Inst Geophys, 32 Palladin Ave, UA-03680 Kiev, Ukraine</t>
  </si>
  <si>
    <t>Ministry of Education &amp; Science of Ukraine; Taras Shevchenko National University of Kyiv; National Academy of Sciences Ukraine; Institute of Geological Sciences, National Academy of Sciences of Ukraine; National Academy of Sciences Ukraine; Subbotin Institute of Geophysics, National Academy of Sciences of Ukraine</t>
  </si>
  <si>
    <t>Mitrokhin, A (corresponding author), Taras Schevchenko Natl Univ Kyiv, Inst Geol, 90 Vasylkivska Str, UA-03022 Kiev, Ukraine.</t>
  </si>
  <si>
    <t>mitrokhin.a.v@ukr.net; bakhmutovvg@gmail.com; liubomyr.gavryliv@gmail.com; scr315@gmail.com</t>
  </si>
  <si>
    <t>Алексеенко, Антон/W-7019-2018; Mytrokhyn, Oleksandr/I-2020-2018; Volodymyr, Bakhmutov/A-8508-2019</t>
  </si>
  <si>
    <t>Mytrokhyn, Oleksandr/0000-0001-6269-0092; Aleksieienko, Anton/0000-0002-4787-7542</t>
  </si>
  <si>
    <t>NATL TARAS SHEVCHENKO UNIV KYIV</t>
  </si>
  <si>
    <t>BULVAR TARASA SHEVCHENKO, 14, OFIS 43, KYIV, 01601, UKRAINE</t>
  </si>
  <si>
    <t>2079-9063</t>
  </si>
  <si>
    <t>VISNYK TARAS SHEVCHE</t>
  </si>
  <si>
    <t>Visnyk Taras Shevchenko Natl. Univ. Kyiv-Geol.</t>
  </si>
  <si>
    <t>10.17721/1728-2713.80.01</t>
  </si>
  <si>
    <t>GN3XK</t>
  </si>
  <si>
    <t>WOS:000438945400001</t>
  </si>
  <si>
    <t>Cao, SN; Zheng, HY; Cao, YS; Liu, CP; Zhu, LX; Peng, F; Zhou, QM</t>
  </si>
  <si>
    <t>Cao, Shunan; Zheng, Hongyuan; Cao, Yunshu; Liu, Chuanpeng; Zhu, Lingxiang; Peng, Fang; Zhou, Qiming</t>
  </si>
  <si>
    <t>Morphological differentiation and phylogenetic homogeneity in Usnea aurantiuco-atra reveal the complexity of lichen symbiosis</t>
  </si>
  <si>
    <t>Antarctic; lichens; symbiont; ITS; molecular phylogeny; morphology; anatomy</t>
  </si>
  <si>
    <t>ANTARCTIC LICHENS; DIVERSITY; FUNGI</t>
  </si>
  <si>
    <t>Usnea aurantiaco-atra is the dominant flora around King George Island, Antarctica, whose specimens exhibited various phenotypes, even for those with the same ITS sequences in both mycobiont and photobiont. A comprehensive analysis of morphological traits of U. aurantiaco-atra including the reproductive structures, growth forms and ornamentation, cross section of the branches, and the substratum was carried out. Four arbitrary groups were identified based on their reproductive characters, but these groups cannot be distinguished from molecular phylogenetic trees based on fungal or algal ITS sequences. Further, the complicated morphological diversity of the thalli with the same ITS haplotypes in both mycobiont and photobiont suggest that some other factors in addition to the symbionts could influence the morphology of lichens. This implies that lichen is indeed a complex-mini-ecosystem rather than a dual symbiotic association of fungus and alga Also, a lichenous fungi Phacopsis sp. was identified based on its anatomical characters and ITS sequence, which was also responsible for the black burls-like structures on U. aurantiaco-atra.</t>
  </si>
  <si>
    <t>[Cao, Shunan; Zheng, Hongyuan] Polar Res Inst China, SOA Key Lab Polar Sci, 451 JinQiao Rd, Shanghai 200136, Peoples R China; [Zheng, Hongyuan] Tongji Univ, Coll Environm Sci &amp; Engn, 1239 Siping Rd, Shanghai 200092, Peoples R China; [Cao, Yunshu] Inner Mongolia Vocat &amp; Tech Coll Commun, 2 Wangfu St, Chifeng 024000, Inner Mongolia, Peoples R China; [Liu, Chuanpeng; Zhou, Qiming] Harbin Inst Technol, Sch Life Sci &amp; Technol, 2 Yikuang St, Harbin 100081, Heilongjiang, Peoples R China; [Zhu, Lingxiang] NRIFP, 12 Dahuisi Rd, Beijing 100081, Peoples R China; [Peng, Fang] Wuhan Univ, Coll Life Sci, CCTCC, 299 Bayi Rd, Wuhan 430072, Hubei, Peoples R China</t>
  </si>
  <si>
    <t>Polar Research Institute of China; Tongji University; Harbin Institute of Technology; Wuhan University</t>
  </si>
  <si>
    <t>Zhou, QM (corresponding author), Harbin Inst Technol, Sch Life Sci &amp; Technol, 2 Yikuang St, Harbin 100081, Heilongjiang, Peoples R China.;Peng, F (corresponding author), Wuhan Univ, Coll Life Sci, CCTCC, 299 Bayi Rd, Wuhan 430072, Hubei, Peoples R China.</t>
  </si>
  <si>
    <t>pf-cctcc@whu.edu.cn; genbank@vip.sina.com</t>
  </si>
  <si>
    <t>zhou, qi/JEF-7253-2023; ZHENG, HONGYUAN/ABF-9513-2020; Zhou, Qi/JTT-3417-2023; Zhu, Lingxiang/M-2491-2018</t>
  </si>
  <si>
    <t>ZHENG, HONGYUAN/0000-0002-0225-3883;</t>
  </si>
  <si>
    <t>National Infrastructure of Natural Resources for Science and Technology Program of China [NIMR-2017-8]; State Oceanic Administration, P. R. China [2012GW03003]</t>
  </si>
  <si>
    <t>National Infrastructure of Natural Resources for Science and Technology Program of China; State Oceanic Administration, P. R. China</t>
  </si>
  <si>
    <t>Our research was facilitated by the Resource-sharing Platform of Polar Samples (http://birds.chinare.org.cn/) where the lichen specimens are preserved. Data issued by the Data-sharing Platform of Polar Science (http://www.chinare.org.cn) maintained by Polar Research Institute of China (PRIC) and Chinese National Arctic and Antarctic Data Center(CN-NADC). We are grateful to the Chinese Arctic and Antarctic Administration for the help in carrying out the project in the Great Wall Station during the 30th Chinese National Antarctic Expedition. This research was supported by National Infrastructure of Natural Resources for Science and Technology Program of China (No. NIMR-2017-8) and State Oceanic Administration, P. R. China (2012GW03003).</t>
  </si>
  <si>
    <t>10.24425/118749</t>
  </si>
  <si>
    <t>GM9XQ</t>
  </si>
  <si>
    <t>WOS:000438610000005</t>
  </si>
  <si>
    <t>Oliveira, M; Pérez-Alberti, A; Crujeiras, RM; Rodríguez-Casal, A; Castillo-Rodríguez, F</t>
  </si>
  <si>
    <t>Oliveira, M.; Perez-Alberti, A.; Crujeiras, R. M.; Rodriguez-Casal, A.; Castillo-Rodriguez, F.</t>
  </si>
  <si>
    <t>A NEW METHOD FOR ANALYSING AND REPRESENTING GROUND TEMPERATURE VARIATIONS IN COLD ENVIRONMENTS. THE FUEGIAN ANDES, TIERRA DEL FUEGO, ARGENTINA</t>
  </si>
  <si>
    <t>CUADERNOS DE INVESTIGACION GEOGRAFICA</t>
  </si>
  <si>
    <t>active layer; temperature sensors; non-parametric methods; circular data; Taylor diagram; Tierra del Fuego (Argentina)</t>
  </si>
  <si>
    <t>INTERNATIONAL POLAR YEAR; ACTIVE-LAYER; THERMAL STATE; PERMAFROST; ANTARCTICA; GRADIENT; CANADA; ALASKA; ISLAND</t>
  </si>
  <si>
    <t>The thermal response of soils in cold environments has been investigated in numerous studies. The data considered here were obtained in a study carried out in Tierra del Fuego, Argentina, as part of the IV International Polar Year. Temperature sensors were installed at ground level (0) and depths of -10, -20 and -60 cm in the study area, with the aim of characterizing the thermal response by detecting diurnal and annual variations. The study has two main aims. The first is to present and discuss the study findings regarding the thermal response of a soil in a sub-Antarctic environment by using classical descriptive analysis. The second, closely related, aim is to apply some novel statistical tools that would help improve this description. The study of freeze-thaw patterns can be approached from a non-parametric perspective, while taking into account the cyclical nature of the data. Data are considered cyclical when they can be represented on a unit circle, as with the hours in which certain events occur throughout a day (e.g. freezing and thawing). Analysis of this type of data is very different from the analysis of scalar data, as regards both descriptive and graphical measures. The application in this study of methods used to represent and analyse cyclical data improved visualization of the data and interpretation of the analytical findings. The main contribution of the present study is the use of estimators of the nuclear type density and derived techniques, such as the CircSiZer map, which enabled identification of significant freeze-thaw patterns. In addition, the relationships between the temperature recordings at different points were analysed using Taylor diagrams.</t>
  </si>
  <si>
    <t>[Oliveira, M.; Crujeiras, R. M.; Rodriguez-Casal, A.] Univ Santiago de Compostela, Dept Estat Anal Matemat &amp; Optimizac, Santiago De Compostela, Spain; [Perez-Alberti, A.] Univ Santiago de Compostela, Dept Xeog, Praza Univ 1, Santiago De Compostela 15783, Spain; [Castillo-Rodriguez, F.] Xunta Galicia, Conselleria Educ, Santiago De Compostela, Spain</t>
  </si>
  <si>
    <t>Universidade de Santiago de Compostela; Universidade de Santiago de Compostela</t>
  </si>
  <si>
    <t>Pérez-Alberti, A (corresponding author), Univ Santiago de Compostela, Dept Xeog, Praza Univ 1, Santiago De Compostela 15783, Spain.</t>
  </si>
  <si>
    <t>augusto.perez@usc.es</t>
  </si>
  <si>
    <t>Crujeiras, Rosa M/I-7461-2012; Casal, Alberto Rodriguez/AAE-7072-2020</t>
  </si>
  <si>
    <t>Crujeiras, Rosa M/0000-0002-3907-8951; Casal, Alberto Rodriguez/0000-0002-9603-5931; Perez Alberti, Augusto/0000-0001-7428-4622</t>
  </si>
  <si>
    <t>Ministry of Education and Science (Spain) [POL2006-09071]; Ministry of Economy and Competitiveness [MTM2013-41383P, MTM2016-76929P]; AEI/FEDER, Spain [MTM2013-41383P, MTM2016-76929P]</t>
  </si>
  <si>
    <t>Ministry of Education and Science (Spain)(Spanish Government); Ministry of Economy and Competitiveness; AEI/FEDER, Spain</t>
  </si>
  <si>
    <t>This research was funded by the Ministry of Education and Science (Spain) projects (POL2006-09071) as a contribution to the fourth International Polar Year. Research by M. Oliveira, R.M. Crujeiras and A. Rodriguez was partially supported by grants MTM2013-41383P and MTM2016-76929P awarded by the Ministry of Economy and Competitiveness and AEI/FEDER, Spain.</t>
  </si>
  <si>
    <t>UNIV RIOJA, SERV PUBLICACIONES</t>
  </si>
  <si>
    <t>LA RIOJA</t>
  </si>
  <si>
    <t>C/ PISCINAS S/N, LOGRONO, LA RIOJA, 26004, SPAIN</t>
  </si>
  <si>
    <t>0211-6820</t>
  </si>
  <si>
    <t>1697-9540</t>
  </si>
  <si>
    <t>CUAD INVESTIG GEOGR</t>
  </si>
  <si>
    <t>Cuad. Investig. Geogr.</t>
  </si>
  <si>
    <t>10.18172/cig.3373</t>
  </si>
  <si>
    <t>Geography, Physical</t>
  </si>
  <si>
    <t>Physical Geography</t>
  </si>
  <si>
    <t>GL8YV</t>
  </si>
  <si>
    <t>WOS:000437516100013</t>
  </si>
  <si>
    <t>Schossler, V; Simoes, JC; Aquino, FE; Viana, DR</t>
  </si>
  <si>
    <t>Schossler, Venisse; Simoes, Jefferson Cardia; Aquino, Francisco Eliseu; Viana, Denilson Ribeiro</t>
  </si>
  <si>
    <t>Precipitation anomalies in the Brazilian southern coast related to the SAM and ENSO climate variability modes</t>
  </si>
  <si>
    <t>RBRH-REVISTA BRASILEIRA DE RECURSOS HIDRICOS</t>
  </si>
  <si>
    <t>Coastal environment; Teleconnection patterns; Regional climate</t>
  </si>
  <si>
    <t>EXTREME RAINFALL EVENTS; ANNULAR MODE; ANTARCTIC OSCILLATION; AMERICA; SUMMER</t>
  </si>
  <si>
    <t>The precipitation pattern of the State of Rio Grande do Sul (RS) is changing, indicating an increase, although there are long periods of drought. Several studies indicate the influence of climate variability modes on RS precipitation. This work analyzes the influence of the Southern Annular Mode (SAM) and the El Nino - Southern Oscillation (ENSO) on precipitation anomalies (PP) of the Rio Grande do Sul Coastal Plain (RGSCP), dividing it into three regions: south, central and north. Contingency tables were used to correlate the indices, classifying them as neutral, below ou above the mean. To statistical significance we used percentage correctly classified with which the Student's t was aplied for each region. The PP of the RGSCP and the south coast have correlation with the ENSO and SAM; the central only with SAM. The PP of the north is not correlated to either index. Periods with more than 5 months of PP, SAM and ENSO anomalies were identified. Below average events were majority. The results indicate greater influence of SAM + and La Nina. The trend towards SAM+ and intensification of ENSO, could increase the frequency of droughts in RGSCP. In addition, it was possible to interpret that the geographical differences of the RGSCP can influence the results of precipitation totals. This work contributes to the understanding of the effects of the new trends of climatic variability under regional and geographical aspects.</t>
  </si>
  <si>
    <t>[Schossler, Venisse; Simoes, Jefferson Cardia; Aquino, Francisco Eliseu; Viana, Denilson Ribeiro] Univ Fed Rio Grande do Sul, Ctr Polar &amp; Climat, Porto Alegre, RS, Brazil</t>
  </si>
  <si>
    <t>Universidade Federal do Rio Grande do Sul</t>
  </si>
  <si>
    <t>Schossler, V (corresponding author), Univ Fed Rio Grande do Sul, Ctr Polar &amp; Climat, Porto Alegre, RS, Brazil.</t>
  </si>
  <si>
    <t>venisse.schossler@ufrgs.br; jefferson.simoes@ufrgs.br; francisco.aquino@ufrgs.br; ribeiro.denilson@gmail.com</t>
  </si>
  <si>
    <t>Simoes, Jefferson Cardia/D-7232-2013</t>
  </si>
  <si>
    <t>Simoes, Jefferson Cardia/0000-0001-5555-3401</t>
  </si>
  <si>
    <t>Brazilian National Council for Scientific and Technological Development (CNPq); state of Rio Grande do Sul Research Support Foundation (FAPERGS); Brazilian National Institute of Science and Technology of the Cryosphere (INCT da Criosfera)</t>
  </si>
  <si>
    <t>Brazilian National Council for Scientific and Technological Development (CNPq)(Conselho Nacional de Desenvolvimento Cientifico e Tecnologico (CNPQ)); state of Rio Grande do Sul Research Support Foundation (FAPERGS); Brazilian National Institute of Science and Technology of the Cryosphere (INCT da Criosfera)</t>
  </si>
  <si>
    <t>The authors thank the Brazilian National Council for Scientific and Technological Development (CNPq), state of Rio Grande do Sul Research Support Foundation (FAPERGS) and the Brazilian National Institute of Science and Technology of the Cryosphere (INCT da Criosfera) for technical and financial support.</t>
  </si>
  <si>
    <t>ASSOC BRASILEIRA RECURSOS HIDRICOS-ABRH</t>
  </si>
  <si>
    <t>PORTE ALEGRE</t>
  </si>
  <si>
    <t>AV BENTO GONCALVES 9500, PORTE ALEGRE, RS 91501-970, BRAZIL</t>
  </si>
  <si>
    <t>1414-381X</t>
  </si>
  <si>
    <t>2318-0331</t>
  </si>
  <si>
    <t>RBRH-REV BRAS RECUR</t>
  </si>
  <si>
    <t>RBRH-Rev. Bras. Recur. Hidr.</t>
  </si>
  <si>
    <t>e14</t>
  </si>
  <si>
    <t>10.1590/2318-0331.231820170081</t>
  </si>
  <si>
    <t>GM8VS</t>
  </si>
  <si>
    <t>WOS:000438515500014</t>
  </si>
  <si>
    <t>Suh, SS; Hong, JM; Kim, EJ; Jung, SW; Kim, SM; Kim, JE; Kim, IC; Kim, S</t>
  </si>
  <si>
    <t>Suh, Sung-Suk; Hong, Ju-Mi; Kim, Eun Jae; Jung, Seung Won; Kim, Sun-Mi; Kim, Jung Eun; Kim, Il-Chan; Kim, Sanghee</t>
  </si>
  <si>
    <t>Anti-inflammation and Anti-Cancer Activity of Ethanol Extract of Antarctic Freshwater Microalga, Micractinium sp.</t>
  </si>
  <si>
    <t>INTERNATIONAL JOURNAL OF MEDICAL SCIENCES</t>
  </si>
  <si>
    <t>Inflammation; cancer; Micractinium sp.; proinflammatory cytokines; HCT116</t>
  </si>
  <si>
    <t>NF-KAPPA-B; DISEASE; HOMEOSTASIS; EXPRESSION; CYTOKINES; CANCER</t>
  </si>
  <si>
    <t>Inflammation mediated by the innate immune system is an organism's protective mechanism against infectious environmental risk factors. It is also a driver of the pathogeneses of various human diseases, including cancer development and progression. Microalgae are increasingly being focused on as sources of bioactive molecules with therapeutic potential against various diseases. Furthermore, the antioxidant, anti-inflammatory, and anticancer potentials of microalgae and their secondary metabolites have been widely reported. However, the underlying mechanisms remain to be elucidated. Therefore, in this study, we investigated the molecular mechanisms underlying the anti-inflammatory and anticancer activities of the ethanol extract of the Antarctic freshwater microalga Micractinium sp. (ETMI) by several in vitro assays using RAW 264.7 macrophages and HCTI 16 human colon cancer cells. ETMI exerted its anti-inflammatory activity by modulating the main inflammatory indicators such as cyclooxygenase (COX)-2, interleukin (IL)-6, inducible nitric oxide synthase (iNOS), tumor necrosis factor (TNF)-alpha, and nitric oxide (NO) in a dose-dependent manner. In addition, ETMI exerted cytotoxic activity against HCTI 16 cells in a dose-dependent manner, leading to significantly reduced cancer cell proliferation. Further, it induced cell cycle arrest in the G 1 phase through the regulation of hallmark genes of the G I/S phase transition, including CDKN IA, and cyclin-dependent kinase 4 and 6 (CDK4 and CDK6, respectively). At the transcriptional level, the expression of CDKN I A gradually increased in response to ETMI treatment while that of CDK4 and CDK6 decreased. Taken together, our findings suggest that the anti-inflammatory and anticancer activities of the Antarctic freshwater microalga, Micractinium sp., and ETMI may provide a new clue for understanding the molecular link between inflammation and cancer and that ETMI may be a potential anticancer agent for targeted therapy of colorectal cancer.</t>
  </si>
  <si>
    <t>[Suh, Sung-Suk] Mokpo Natl Univ, Dept Biosci, Muan 58554, South Korea; [Hong, Ju-Mi; Kim, Eun Jae; Kim, Sun-Mi; Kim, Jung Eun; Kim, Il-Chan; Kim, Sanghee] Korea Polar Res Inst, Dept Polar Life Sci, Incheon 21990, South Korea; [Jung, Seung Won] Korea Inst Ocean Sci &amp; Technol, South Sea Environm Res Dept, Geoje 656830, South Korea; [Kim, Eun Jae; Kim, Jung Eun; Kim, Il-Chan; Kim, Sanghee] Univ Sci &amp; Technol, Dept Polar Sci, Incheon 21990, South Korea</t>
  </si>
  <si>
    <t>Mokpo National University; Korea Polar Research Institute (KOPRI); Korea Institute of Ocean Science &amp; Technology (KIOST)</t>
  </si>
  <si>
    <t>Suh, SS (corresponding author), Mokpo Natl Univ, Dept Biosci, Muan 58554, South Korea.;Hong, JM (corresponding author), Korea Polar Res Inst, Dept Polar Life Sci, Incheon 21990, South Korea.</t>
  </si>
  <si>
    <t>sangheekim@kopri.re.kr</t>
  </si>
  <si>
    <t>Korea Polar Research Institute, Republic of Korea [PE17180]</t>
  </si>
  <si>
    <t>Korea Polar Research Institute, Republic of Korea</t>
  </si>
  <si>
    <t>This research was supported by the research projects (PE17180) of Korea Polar Research Institute, Republic of Korea.</t>
  </si>
  <si>
    <t>IVYSPRING INT PUBL</t>
  </si>
  <si>
    <t>LAKE HAVEN</t>
  </si>
  <si>
    <t>PO BOX 4546, LAKE HAVEN, NSW 2263, AUSTRALIA</t>
  </si>
  <si>
    <t>1449-1907</t>
  </si>
  <si>
    <t>INT J MED SCI</t>
  </si>
  <si>
    <t>Int. J. Med. Sci.</t>
  </si>
  <si>
    <t>10.7150/ijms.26410</t>
  </si>
  <si>
    <t>Medicine, General &amp; Internal</t>
  </si>
  <si>
    <t>General &amp; Internal Medicine</t>
  </si>
  <si>
    <t>GM6IH</t>
  </si>
  <si>
    <t>WOS:000438268100009</t>
  </si>
  <si>
    <t>Wang, XF; Kan, GF; Ren, XL; Yu, G; Shi, CJ; Xie, QJ; Wen, H; Betenbaugh, M</t>
  </si>
  <si>
    <t>Wang, Xiaofei; Kan, Guangfeng; Ren, Xiulian; Yu, Geng; Shi, Cuijuan; Xie, Qiuju; Wen, Hua; Betenbaugh, Michael</t>
  </si>
  <si>
    <t>Molecular Cloning and Characterization of a Novel α-Amylase from Antarctic Sea Ice Bacterium Pseudoalteromonas sp M175 and Its Primary Application in Detergent</t>
  </si>
  <si>
    <t>BIOMED RESEARCH INTERNATIONAL</t>
  </si>
  <si>
    <t>COLD-ADAPTED ENZYMES; BIOCHEMICAL-CHARACTERIZATION; PURIFICATION; EXPRESSION; SEQUENCE; ADAPTATION; ALKALINE; GENE; SUBFAMILIES; RESISTANT</t>
  </si>
  <si>
    <t>A novel cold-adapted and salt-tolerant alpha-amylase gene (amy175) from Antarctic sea ice bacterium Pseudoalteromonas sp. M175 was successfully cloned and expressed. The open reading frame (ORF) of amy175 had 1722 bp encoding a protein of 573 amino acids residues. Multiple alignments indicated Amy175 had seven highly conserved sequences and the putative catalytic triad (Asp(244), Glu(286), and Asp(372)). It was the first identified member of GH13_36 subfamily which contained QPDLN in the CSR V. The recombinant enzyme (Amy175) was purified to homogeneity with a molecular mass of about 62 kDa on SDS-PAGE. It had a mixed enzyme specificity of alpha-amylase and alpha-glucosidase. Amy175 displayed highest activity at pH 8.0 and 25(degrees)C and exhibited extreme salt-resistance with the maximum activity at 1 M NaCl. Amy175 was strongly stimulated by Mg2+, Ni2+, K+,1 mM Ca2+,1 mM Ba2+, 1 mM Pb2+,1 mM sodium dodecyl sulphate (SDS), and 10% dimethyl sulfoxide (DMSO) but was significantly inhibited by Cu2+, Mn2+, Hg2+,10mM beta-mercaptoethanol (beta-ME), and 10% Tween 80. Amy175 demonstrated excellent resistance towards all the tested commercial detergents, and wash performance analysis displayed that the addition of Amy175 improved the stain removal efficiency. This study demonstrated that Amy175 would be proposed as a novel alpha-amylase source for industrial application in the future.</t>
  </si>
  <si>
    <t>[Wang, Xiaofei; Kan, Guangfeng; Ren, Xiulian; Shi, Cuijuan; Xie, Qiuju; Wen, Hua] Harbin Inst Technol Weihai, Sch Marine Sci &amp; Technol, Weihai 264209, Peoples R China; [Wang, Xiaofei] Harbin Inst Technol, Sch Chem &amp; Chem Engn, Harbin 150001, Heilongjiang, Peoples R China; [Yu, Geng; Betenbaugh, Michael] Johns Hopkins Univ, Dept Chem &amp; Biomol Engn, Baltimore, MD 21218 USA</t>
  </si>
  <si>
    <t>Harbin Institute of Technology; Harbin Institute of Technology; Johns Hopkins University</t>
  </si>
  <si>
    <t>Kan, GF (corresponding author), Harbin Inst Technol Weihai, Sch Marine Sci &amp; Technol, Weihai 264209, Peoples R China.</t>
  </si>
  <si>
    <t>gfkan@hit.edu.cn</t>
  </si>
  <si>
    <t>Liu, Liu/JXM-8208-2024</t>
  </si>
  <si>
    <t>Key Technologies R&amp;D Program of Shandong [2013G0021502, 2016ZDJQ0206]; Science and Technology Project of Weihai; Natural Scientific Research Innovation Foundation in HIT [HIT.IBRSEM.2013037, HIT.NSRIF.2016085]</t>
  </si>
  <si>
    <t>Key Technologies R&amp;D Program of Shandong; Science and Technology Project of Weihai; Natural Scientific Research Innovation Foundation in HIT</t>
  </si>
  <si>
    <t>This work was supported by Key Technologies R&amp;D Program of Shandong (Grant nos. 2013G0021502 and 2016ZDJQ0206) and Science and Technology Project of Weihai and Natural Scientific Research Innovation Foundation in HIT (Grant nos. HIT.IBRSEM.2013037 and HIT.NSRIF.2016085).</t>
  </si>
  <si>
    <t>HINDAWI LTD</t>
  </si>
  <si>
    <t>ADAM HOUSE, 3RD FLR, 1 FITZROY SQ, LONDON, W1T 5HF, ENGLAND</t>
  </si>
  <si>
    <t>2314-6133</t>
  </si>
  <si>
    <t>2314-6141</t>
  </si>
  <si>
    <t>BIOMED RES INT</t>
  </si>
  <si>
    <t>Biomed Res. Int.</t>
  </si>
  <si>
    <t>10.1155/2018/3258383</t>
  </si>
  <si>
    <t>Biotechnology &amp; Applied Microbiology; Medicine, Research &amp; Experimental</t>
  </si>
  <si>
    <t>Biotechnology &amp; Applied Microbiology; Research &amp; Experimental Medicine</t>
  </si>
  <si>
    <t>GL7RI</t>
  </si>
  <si>
    <t>WOS:000437399500001</t>
  </si>
  <si>
    <t>Pickering, J; Mcgee, JS; Stephens, T; Karlsson-Vinkhuyzen, SI</t>
  </si>
  <si>
    <t>Pickering, Jonathan; McGee, Jeffrey S.; Stephens, Tim; Karlsson-Vinkhuyzen, Sylvia I.</t>
  </si>
  <si>
    <t>The impact of the US retreat from the Paris Agreement: Kyoto revisited?</t>
  </si>
  <si>
    <t>CLIMATE POLICY</t>
  </si>
  <si>
    <t>Kyoto Protocol; Paris Agreement; treaty withdrawal; United States of America</t>
  </si>
  <si>
    <t>CLIMATE-CHANGE REGIME; ENVIRONMENTAL AGREEMENTS; PROTOCOL; WITHDRAWAL; EMISSIONS; AUSTRALIA; AIR</t>
  </si>
  <si>
    <t>The United States' decision to withdraw from the Paris Agreement (pending possible re-engagement under different terms) may have significant ramifications for international climate policy, but the implications of this decision remain contested. This commentary illustrates how comparative analysis of US participation in multilateral environmental agreements can inform predictions and future assessments of the decision. We compare and contrast US non-participation in the Kyoto Protocol and the Paris Agreement, focusing on four key areas that may condition the influence of US treaty decisions on international climate policy: (i) global momentum on climate change mitigation; (ii) the possibility of US non-participation giving rise to alternative forms of international collaboration on climate policy; (iii) the timing and circumstances of the US decision to exit; and (iv) the influence of treaty design on countries' incentives to participate and comply. We find that differences across the two treaties relating to the first three factors are more likely to reduce the negative ramifications of US withdrawal from the Paris Agreement compared to the Kyoto Protocol. However, the increased urgency of deep decarbonization renders US non-participation a major concern despite its declining share of global emissions. Moreover, key design features of the Paris Agreement suggest that other countries may react to the US decision by scaling back their levels of ambition and compliance, even if they remain in the Agreement.Key policy insights Increasing global momentum on mitigation since 1997 means that US withdrawal from the Paris Agreement is potentially less damaging than its non-participation in the Kyoto ProtocolDespite the declining US share of global emissions, greater urgency of deep decarbonization means that the non-participation of a major player, such as the US, remains problematic for global cooperation and achieving the Paris Agreement's goalsDifferences in the design of the Kyoto Protocol and Paris Agreement suggest that US non-participation is more likely to prompt reluctant countries to stay within the Paris framework but reduce levels of ambition and compliance, rather than exit the Agreement altogether</t>
  </si>
  <si>
    <t>[Pickering, Jonathan] Univ Canberra, Inst Governance &amp; Policy Anal, Ctr Deliberat Democracy &amp; Global Governance, Bldg 23B, Canberra, ACT 2601, Australia; [McGee, Jeffrey S.] Univ Tasmania, Inst Marine &amp; Antarctic Studies, Ctr Marine Socioecol, Fac Law, Hobart, Tas, Australia; [Stephens, Tim] Univ Sydney, Law Sch, Sydney, NSW, Australia; [Karlsson-Vinkhuyzen, Sylvia I.] Wageningen Univ, Publ Adm Policy Grp, Wageningen, Netherlands</t>
  </si>
  <si>
    <t>University of Canberra; University of Tasmania; University of Sydney; Wageningen University &amp; Research</t>
  </si>
  <si>
    <t>Pickering, J (corresponding author), Univ Canberra, Inst Governance &amp; Policy Anal, Ctr Deliberat Democracy &amp; Global Governance, Bldg 23B, Canberra, ACT 2601, Australia.</t>
  </si>
  <si>
    <t>jonathan.pickering@canberra.edu.au</t>
  </si>
  <si>
    <t>Pickering, Jonathan/Q-5744-2018; Karlsson-Vinkhuyzen, Sylvia I/C-4889-2009; Stephens, Tim/J-4115-2019; McGee, Jeffrey/K-7322-2015</t>
  </si>
  <si>
    <t>Pickering, Jonathan/0000-0002-1862-3623; Karlsson-Vinkhuyzen, Sylvia I/0000-0001-7632-8545; Stephens, Tim/0000-0001-9678-2227; McGee, Jeffrey/0000-0002-2093-5896</t>
  </si>
  <si>
    <t>Australian Research Council's Laureate Fellowship funding scheme [FL140100154]</t>
  </si>
  <si>
    <t>Australian Research Council's Laureate Fellowship funding scheme(Australian Research Council)</t>
  </si>
  <si>
    <t>Dr Pickering received support for this research from the Australian Research Council's Laureate Fellowship funding scheme [grant number FL140100154].</t>
  </si>
  <si>
    <t>1469-3062</t>
  </si>
  <si>
    <t>1752-7457</t>
  </si>
  <si>
    <t>CLIM POLICY</t>
  </si>
  <si>
    <t>Clim. Policy</t>
  </si>
  <si>
    <t>10.1080/14693062.2017.1412934</t>
  </si>
  <si>
    <t>Environmental Studies; Public Administration</t>
  </si>
  <si>
    <t>Environmental Sciences &amp; Ecology; Public Administration</t>
  </si>
  <si>
    <t>GL1OW</t>
  </si>
  <si>
    <t>WOS:000436874600003</t>
  </si>
  <si>
    <t>Wang, XD; Wang, C; Li, B</t>
  </si>
  <si>
    <t>Wang, Xingdong; Wang, Cheng; Li, Bin</t>
  </si>
  <si>
    <t>SPATIOTEMPORAL ANALYSIS OF ANTARCTIC SNOWMELT CHANGES USING MICROWAVE RADIOMETER DATA (1978-2015)</t>
  </si>
  <si>
    <t>FRESENIUS ENVIRONMENTAL BULLETIN</t>
  </si>
  <si>
    <t>Snowmelt detection; microwave radiometer; wavelet transform; Antarctica; climate change; spatiotemporal change characteristics</t>
  </si>
  <si>
    <t>SHEET MELT EXTENT; DETECTION ALGORITHM; SCATTEROMETER DATA; SURFACE; SEASON; PATTERNS; DURATION; TRENDS; PERIOD</t>
  </si>
  <si>
    <t>Antarctic surface snowmelt variations are sensitive indicators of climate change due to the direct interface with the atmosphere and ocean. Here, we have utilized the sensitivity of microwave radiometer data to detect the presence of liquid water in the snow caused due to snowmelt conditions and analyze a variety of spatiotemporal characteristics of the Antarctic snowmelt cycle over a 36-year period from 1978 to 2015 by applying an improved wavelet transform using SMMR and SSM/I data. The spatial distribution of snowmelt areas shows that most are located on the edges of Antarctic ice shelves. Snowmelt areas are affected by land cover type, surface elevation, and geographic location. The temporal distribution of snowmelt areas shows that the Antarctic snowmelt changes systematically over time. There are the roughly 5-year periodic variations in the melt intensity, which shows that the Antarctic snowmelt will adjust to climate change. In addition, the Antarctic snowmelt varies with the seasons; it is particularly acute in summer, with peak melt in December and January and low melt in March. To a certain extent, the results reveal Antarctic snowmelt spatiotemporal change characteristics.</t>
  </si>
  <si>
    <t>[Wang, Xingdong; Li, Bin] Henan Univ Technol, Coll Informat Sci &amp; Engn, Zhengzhou 450001, Henan, Peoples R China; [Wang, Xingdong; Wang, Cheng] Chinese Acad Sci, Inst Remote Sensing &amp; Digital Earth, Beijing 100094, Peoples R China</t>
  </si>
  <si>
    <t>Henan University of Technology; Chinese Academy of Sciences; The Institute of Remote Sensing &amp; Digital Earth, CAS</t>
  </si>
  <si>
    <t>Wang, XD (corresponding author), Henan Univ Technol, Coll Informat Sci &amp; Engn, Zhengzhou 450001, Henan, Peoples R China.</t>
  </si>
  <si>
    <t>zkywxd@163.com</t>
  </si>
  <si>
    <t>Wang, Chengyi/AAZ-2450-2021</t>
  </si>
  <si>
    <t>National Key Research and Development Program of China [2016YFA0600302]; National Natural Science Foundation of China [41606209]; Fundamental Research Funds for the Henan Provincial Colleges and Universities [2015QNJH16]; Key Laboratory of Global Change and Marine Atmospheric Chemistry [GCMAC1605]</t>
  </si>
  <si>
    <t>National Key Research and Development Program of China; National Natural Science Foundation of China(National Natural Science Foundation of China (NSFC)); Fundamental Research Funds for the Henan Provincial Colleges and Universities; Key Laboratory of Global Change and Marine Atmospheric Chemistry</t>
  </si>
  <si>
    <t>This research was supported by the National Key Research and Development Program of China (No. 2016YFA0600302), National Natural Science Foundation of China (No. 41606209), Fundamental Research Funds for the Henan Provincial Colleges and Universities (No. 2015QNJH16), and Funded by Key Laboratory of Global Change and Marine Atmospheric Chemistry (No. GCMAC1605). We thank the Chief Editor of the Journal and the anonymous reviewers for their time and effort, which will significantly improve the manuscript.</t>
  </si>
  <si>
    <t>PARLAR SCIENTIFIC PUBLICATIONS (P S P)</t>
  </si>
  <si>
    <t>FREISING</t>
  </si>
  <si>
    <t>ANGERSTR. 12, 85354 FREISING, GERMANY</t>
  </si>
  <si>
    <t>1018-4619</t>
  </si>
  <si>
    <t>1610-2304</t>
  </si>
  <si>
    <t>FRESEN ENVIRON BULL</t>
  </si>
  <si>
    <t>Fresenius Environ. Bull.</t>
  </si>
  <si>
    <t>GK8ZA</t>
  </si>
  <si>
    <t>WOS:000436522600049</t>
  </si>
  <si>
    <t>Litscher, ES; Wassarman, PM</t>
  </si>
  <si>
    <t>Litscher, Eveline S.; Wassarman, Paul M.</t>
  </si>
  <si>
    <t>The Fish Egg's Zona Pellucida</t>
  </si>
  <si>
    <t>EXTRACELLULAR MATRIX AND EGG COATS</t>
  </si>
  <si>
    <t>Current Topics in Developmental Biology</t>
  </si>
  <si>
    <t>VITELLINE ENVELOPE PROTEINS; POLYPROLINE-II HELIX; SALMON SALMO-SALAR; RAINBOW-TROUT EGG; HOMOMERIC FIBRILS; ZP DOMAIN; EVOLUTION; LAMPREY; GENES; IDENTIFICATION</t>
  </si>
  <si>
    <t>All fish eggs are surrounded by an envelope, called the zona pellucida (ZP), that plays various roles during oogenesis, egg deposition, fertilization, and embryogenesis. The fish egg ZP consists of only a few proteins that are homologs of mammalian ZP proteins ZP1, ZP3, and ZP4. Unlike the situation in mammals, in fishes there are often multiple copies of ZP genes, perhaps a consequence of ancient polyploidization, gene amplification, and mutation. Like mammalian ZP proteins, fish egg ZP1-like proteins exhibit conserved organization with distinct domains and motifs, but unlike mammalian ZP1 and ZP4 have a glutamine (Q)-and/or proline (P)-rich stretch as an N-terminal extension. Such extensions may play a role in assembly of ZP fibrils and/or account for certain properties of the fish egg ZP, such as elasticity. Recent proposals suggest that fish egg ZP proteins can adopt amyloid-like structures, serve as antifreeze proteins in Antarctic icefishes, and protect eggs subjected to desiccating conditions in small shallow pools. In this chapter, these and other aspects of fish egg ZP proteins are presented.</t>
  </si>
  <si>
    <t>[Litscher, Eveline S.; Wassarman, Paul M.] Icahn Sch Med Mt Sinai, Dept Cell Dev &amp; Regenerat Biol, New York, NY 10029 USA</t>
  </si>
  <si>
    <t>Icahn School of Medicine at Mount Sinai</t>
  </si>
  <si>
    <t>Litscher, ES (corresponding author), Icahn Sch Med Mt Sinai, Dept Cell Dev &amp; Regenerat Biol, New York, NY 10029 USA.</t>
  </si>
  <si>
    <t>eveline.litscher@mssm.edu</t>
  </si>
  <si>
    <t>0070-2153</t>
  </si>
  <si>
    <t>978-0-12-809802-8</t>
  </si>
  <si>
    <t>CURR TOP DEV BIOL</t>
  </si>
  <si>
    <t>Curr. Top. Dev. Biol.</t>
  </si>
  <si>
    <t>10.1016/bs.ctdb.2018.01.002</t>
  </si>
  <si>
    <t>Developmental Biology</t>
  </si>
  <si>
    <t>BK4JW</t>
  </si>
  <si>
    <t>WOS:000436626100009</t>
  </si>
  <si>
    <t>Hillier, JK; Benediktsson, IÖ; Dowling, TPF; Schomacker, A</t>
  </si>
  <si>
    <t>Hillier, J. K.; Benediktsson, I. O.; Dowling, T. P. F.; Schomacker, A.</t>
  </si>
  <si>
    <t>Production and preservation of the smallest drumlins</t>
  </si>
  <si>
    <t>GFF</t>
  </si>
  <si>
    <t>Drumlin; size-frequency distribution; Mulajokull; Iceland; landform mapping; subglacial bedform; morphometry</t>
  </si>
  <si>
    <t>ANTARCTIC ICE STREAM; SURGE-TYPE GLACIER; LANDSLIDE SIZE DISTRIBUTIONS; OPERATOR PERFORMANCE; ICELANDIC GLACIERS; INTERNAL STRUCTURE; VOLUME CHANGES; MULAJOKULL; BENEATH; LANDFORMS</t>
  </si>
  <si>
    <t>Few very small drumlins are typically mapped in previously glaciated landscapes, which might be an important signature of subglacial processes or an observational artefact. One hundred and forty-three newly emergent drumlins, recently sculpted by the Mulajokull glacier, have been mapped using high-resolution LiDAR and aerial photographs in addition to field surveying. In this paper, these are used as evidence that few small drumlins (e.g., height H100m) are produced; at least, few survive to pass outside the ice margin in this actively forming drumlin field. Specifically, the lack of a multitude of small features seen in other landforms (e.g., volcanoes) is argued not to be due to (i) Digital Elevation Model resolution or quality, (ii) mapper ability in complex (i.e., anthropogenically cluttered or vegetated) landscapes or (iii) post-glacial degradation at this site. So, whilst detection ability must still be at least acknowledged in drumlin mapping, and ideally corrected for in quantitative analyses, this observation can now be firmly taken as a constraint upon drumlin formation models (i.e., statistical, conceptual or numerical ice flow). Our preferred explanation for the scarcity of small drumlins, at least at sites similar to Mulajokull (i.e., ice lobes with near-margin drumlin genesis), is that they form stochastically during multiple surge cycles, evolving from wide and gentle pre-existing undulations by increasing rapidly in amplitude before significant streamlining occurs.</t>
  </si>
  <si>
    <t>[Hillier, J. K.] Loughborough Univ Technol, Dept Geog, Loughborough, Leics, England; [Benediktsson, I. O.] Univ Iceland, Inst Earth Sci, Reykjavik, Iceland; [Dowling, T. P. F.] Geospatial Insight Ltd, Coleshill, England; [Schomacker, A.] UiT, Dept Geosci, Tromso, Norway</t>
  </si>
  <si>
    <t>Loughborough University; University of Iceland; UiT The Arctic University of Tromso</t>
  </si>
  <si>
    <t>Hillier, JK (corresponding author), Loughborough Univ Technol, Dept Geog, Loughborough, Leics, England.</t>
  </si>
  <si>
    <t>j.hillier@lboro.ac.uk</t>
  </si>
  <si>
    <t>Schomacker, Anders/I-6569-2019; Dowling, Thomas P.F./JPA-1387-2023; Hillier, John/D-1484-2009</t>
  </si>
  <si>
    <t>Schomacker, Anders/0000-0002-8031-9008; Dowling, Thomas P.F./0000-0003-0569-4462; Hillier, John/0000-0002-0221-8383; Benediktsson, Ivar Orn/0000-0002-9966-0767</t>
  </si>
  <si>
    <t>1103-5897</t>
  </si>
  <si>
    <t>2000-0863</t>
  </si>
  <si>
    <t>10.1080/11035897.2018.1457714</t>
  </si>
  <si>
    <t>GK6UU</t>
  </si>
  <si>
    <t>WOS:000436327300004</t>
  </si>
  <si>
    <t>Kotilainen, M; Vanhatalo, J; Suominen, M; Kujala, P</t>
  </si>
  <si>
    <t>Kotilainen, Mikko; Vanhatalo, Jarno; Suominen, Mikko; Kujala, Pentti</t>
  </si>
  <si>
    <t>Predicting local ice loads on ship bow as a function of ice and operational conditions in the Southern Sea</t>
  </si>
  <si>
    <t>SHIP TECHNOLOGY RESEARCH</t>
  </si>
  <si>
    <t>Ice load; ice thickness; ice condition; ship speed; prediction; Bayesian statistics; hierarchical model; Gaussian process</t>
  </si>
  <si>
    <t>STATISTICS</t>
  </si>
  <si>
    <t>Transportation in ice-prone waters is a timely topic because of the pursuit of natural resources and sea routes. S.A. Agulhas II voyaged in Antarctic waters during the austral summer of 2013-14. This paper studies how the local ice-induced loads on the ship bow are affected by different ice and operational conditions. A hierarchical Gaussian process model was used to study how the load distribution parameters change in different conditions. The operational conditions are described by ship speed, whereas the ice conditions varied from thin, first-year ice, to thick, multiyear ice. Because of this variation, the ice conditions are not represented by ice thickness alone but also by latitude, temperature and voyage time which represent the unmeasured ice strength. The predicted loads from the model match well with the measured loads. According to the model, loads increase in higher ship speed and ice thickness combination, further south, later in the summer and in higher temperatures.</t>
  </si>
  <si>
    <t>[Kotilainen, Mikko; Suominen, Mikko; Kujala, Pentti] Aalto Univ, Dept Mech Engn, Espoo, Finland; [Vanhatalo, Jarno] Univ Helsinki, Dept Math &amp; Stat, Helsinki, Finland; [Vanhatalo, Jarno] Univ Helsinki, Organismal &amp; Evolutionary Biol Res Programme, Helsinki, Finland</t>
  </si>
  <si>
    <t>Aalto University; University of Helsinki; University of Helsinki</t>
  </si>
  <si>
    <t>Kotilainen, M (corresponding author), Aalto Univ, Dept Mech Engn, POB 14100, FI-00076 Aalto, Finland.</t>
  </si>
  <si>
    <t>mikko.kotilainen@aalto.fi</t>
  </si>
  <si>
    <t>Kujala, Pentti JS/B-3780-2011; Suominen, Mikko/D-6571-2012; Vanhatalo, Jarno/H-4435-2012</t>
  </si>
  <si>
    <t>Suominen, Mikko/0000-0001-9758-9365; Vanhatalo, Jarno/0000-0002-6831-0211; Kotilainen, Mikko/0000-0002-4563-9508</t>
  </si>
  <si>
    <t>Lloyd's Register Foundation [LRF]; Academy of Finland [264354]; Tekes (the Finnish Funding Agency for Technology and Innovation) through PSRV [40508/11]; Academy of Finland (AKA) [264354] Funding Source: Academy of Finland (AKA)</t>
  </si>
  <si>
    <t>Lloyd's Register Foundation; Academy of Finland(Research Council of Finland); Tekes (the Finnish Funding Agency for Technology and Innovation) through PSRV; Academy of Finland (AKA)(Research Council of Finland)</t>
  </si>
  <si>
    <t>The authors would like to thank the Lloyd's Register Foundation for funding the Joint Center of Excellence for Arctic Shipping and Operations which enabled this paper [Grant Number LRF]. The Lloyd's Register Foundation supports the advancement of engineering-related education, and funds research and development that enhances the safety of life at sea, on land, and in the air. The additional funding from the Academy of Finland through the Antload project is gratefully acknowledged [Grant Number 264354], in addition to the funding from Tekes (the Finnish Funding Agency for Technology and Innovation) through PSRV project (project partners Aalto University, University of Oulu, University of Stellenbosch, Aker Arctic, Rolls-Royce, STX Finland, Wartsila, DNV, and the Department of Environmental Affairs of South Africa)[Grant Number 40508/11].</t>
  </si>
  <si>
    <t>0937-7255</t>
  </si>
  <si>
    <t>2056-7111</t>
  </si>
  <si>
    <t>SHIP TECHNOL RES</t>
  </si>
  <si>
    <t>Ship Technol. Res.</t>
  </si>
  <si>
    <t>10.1080/09377255.2018.1454390</t>
  </si>
  <si>
    <t>GL2OH</t>
  </si>
  <si>
    <t>WOS:000436961500003</t>
  </si>
  <si>
    <t>Li, F; Lei, JT; Zhang, SK; Ma, C; Hao, WF; Dongchen, E; Zhang, QC</t>
  </si>
  <si>
    <t>Li, Fei; Lei, Jintao; Zhang, Shengkai; Ma, Chao; Hao, Weifeng; Dongchen, E.; Zhang, Qingchuan</t>
  </si>
  <si>
    <t>The impact of solid Earth-tide model error on tropospheric zenith delay estimates and GPS coordinate time series</t>
  </si>
  <si>
    <t>SURVEY REVIEW</t>
  </si>
  <si>
    <t>Solid Earth-tide; GPS; Time series; Spurious propagated signal; ZTD</t>
  </si>
  <si>
    <t>DEFORMATION</t>
  </si>
  <si>
    <t>Any unmodelled or mismodelled subdaily signals left in the model may not only affect the instantaneous site positions and the associated estimates, but also propagate into spurious seasonal signals, contaminating the daily coordinate time series. To demonstrate how subdaily error' in the modelling of the solid Earth-tide affects the estimates of tropospheric zenith total delay (ZTD) and how it propagates into long-period signal in the daily GPS time series, we analyse GPS observations collected between 2009 and 2013 for 13 sites in the coastal regions of Antarctica using the GAMIT/GLOBK 10.6 software. We find that ZTD differenced time series, with amplitude at 2 mm level, have inverse correlation with the input K1 correction, and the corresponding admittances range from 6% to 14%; Propagated spurious annual signals are evident in the vertical component of coordinate differenced time series, with amplitudes at the mm level and admittances of around 2-11%.</t>
  </si>
  <si>
    <t>[Li, Fei; Lei, Jintao; Zhang, Shengkai; Ma, Chao; Hao, Weifeng; Dongchen, E.; Zhang, Qingchuan] Wuhan Univ, Chinese Antarctic Ctr Surveying &amp; Mapping, Wuhan 430079, Hubei, Peoples R China</t>
  </si>
  <si>
    <t>Zhang, SK (corresponding author), Wuhan Univ, Chinese Antarctic Ctr Surveying &amp; Mapping, Wuhan 430079, Hubei, Peoples R China.</t>
  </si>
  <si>
    <t>Lei, Jintao/0000-0002-4497-5868</t>
  </si>
  <si>
    <t>State Key Program of National Natural Science of China [41531069]; State Program of National Natural Science of China [41176173]; Chinese Polar Environment Comprehensive Investigation and Assessment Programs [CHINARE2016]</t>
  </si>
  <si>
    <t>State Key Program of National Natural Science of China(National Natural Science Foundation of China (NSFC)); State Program of National Natural Science of China(National Natural Science Foundation of China (NSFC)); Chinese Polar Environment Comprehensive Investigation and Assessment Programs</t>
  </si>
  <si>
    <t>This work was supported in part by the State Key Program of National Natural Science of China under Grant No. 41531069, in part by the State Program of National Natural Science of China under Grant No. 41176173, and in part by the Chinese Polar Environment Comprehensive Investigation and Assessment Programs under Grant No. CHINARE2016.</t>
  </si>
  <si>
    <t>0039-6265</t>
  </si>
  <si>
    <t>1752-2706</t>
  </si>
  <si>
    <t>SURV REV</t>
  </si>
  <si>
    <t>Surv. Rev.</t>
  </si>
  <si>
    <t>10.1080/00396265.2016.1277657</t>
  </si>
  <si>
    <t>Engineering, Civil; Geosciences, Multidisciplinary; Remote Sensing</t>
  </si>
  <si>
    <t>GL2UH</t>
  </si>
  <si>
    <t>WOS:000436980300008</t>
  </si>
  <si>
    <t>Wright, DW; Geitung, L; Karlsbakk, E; Stien, LH; Dempster, T; Oldham, T; Nola, V; Oppedal, F</t>
  </si>
  <si>
    <t>Wright, Daniel W.; Geitung, Lena; Karlsbakk, Egil; Stien, Lars H.; Dempster, Tim; Oldham, Tina; Nola, Velimir; Oppedal, Frode</t>
  </si>
  <si>
    <t>Surface environment modification in Atlantic salmon sea-cages: effects on amoebic gill disease, salmon lice, growth and welfare</t>
  </si>
  <si>
    <t>Aquaculture; Cage environment; Salmo salar; Lepeophtheirus salmonis; Paramoeba perurans; Parasite control</t>
  </si>
  <si>
    <t>LOUSE LEPEOPHTHEIRUS-SALMONIS; NEOPARAMOEBA-PERURANS; HYDROGEN-PEROXIDE; SALAR L; PARASITES; AGENT; AGD; RESISTANCE; BEHAVIOR; FARMS</t>
  </si>
  <si>
    <t>Surface environment modification is a potential parasite control strategy in Atlantic salmon sea-cage farming. For instance, a temporary low salinity surface layer in commercial-scale snorkel sea-cages has coincided with reduced amoebic gill disease (AGD) levels after an outbreak. We tested if a permanent freshwater (FW) surface layer in snorkel sea-cages would lower AGD and salmon lice levels of stock relative to snorkel cages with seawater (SW) only and standard production cages with no snorkels. Triplicate cages of each type with 2000 post-smolts were monitored in autumn to winter for 8 wk and sampled 4 times. Lower proportions of individuals with elevated AGD-related gill scores were registered in SW and FW snorkel cages compared to standard cages; however, these proportions did not differ between SW and FW snorkel cages. Individuals positive for AGD-causing Paramoeba perurans were reduced by 65% in FW snorkel relative to standard cages, but values were similar between SW snorkel cages and other types. While total lice burdens were reduced by 38% in SW snorkel compared to standard cages, they were unchanged between FW snorkel and other cage types. Fish welfare and growth were unaffected by cage type. Surface activity was detected in all cages; however, more surface jumps were recorded in standard than snorkel cages. Overall, fish in FW snorkel cages appeared to reside too little in freshwater to consistently reduce AGD levels and salmon lice compared to SW snorkel cages. Further work should test behavioural and environmental manipulations aimed at increasing freshwater or low salinity surface layer use.</t>
  </si>
  <si>
    <t>[Wright, Daniel W.; Stien, Lars H.; Nola, Velimir; Oppedal, Frode] Inst Marine Res, Matre Res Stn, N-5984 Matredal, Norway; [Geitung, Lena; Karlsbakk, Egil] Univ Bergen, Dept Biol, N-5005 Bergen, Norway; [Dempster, Tim] Sch BioSci, Sustainable Aquaculture Lab Temperate &amp; Trop, Parkville, Vic 3010, Australia; [Oldham, Tina] Univ Tasmania, Inst Marine &amp; Antarctic Studies, Launceston, Tas 7250, Australia</t>
  </si>
  <si>
    <t>Institute of Marine Research - Norway; University of Bergen; University of Tasmania</t>
  </si>
  <si>
    <t>Wright, DW (corresponding author), Inst Marine Res, Matre Res Stn, N-5984 Matredal, Norway.</t>
  </si>
  <si>
    <t>daniel.william.wright@imr.no</t>
  </si>
  <si>
    <t>Wright, Daniel/JCO-8008-2023; Dempster, Tim/E-9630-2011; Oldham, Tina Marie Weier/E-4779-2015</t>
  </si>
  <si>
    <t>Oppedal, Frode/0000-0001-8625-0331; Dempster, Tim/0000-0001-8041-426X; Oldham, Tina Marie Weier/0000-0002-8994-0052; Geitung, Lena/0000-0003-1234-396X</t>
  </si>
  <si>
    <t>Future Welfare project within Research Council of Norway, R&amp;D projects at Bremnes Seashore [267800]; Norwegian Department of Fisheries and Coastal Affairs; Research Council of Norway [256318/E40]</t>
  </si>
  <si>
    <t>Future Welfare project within Research Council of Norway, R&amp;D projects at Bremnes Seashore; Norwegian Department of Fisheries and Coastal Affairs; Research Council of Norway(Research Council of Norway)</t>
  </si>
  <si>
    <t>We thank Jan-Erik Fosseidengen and Tone Vagseth for technical support, along with Gunnar Didriksen, Sjur Age Skar and others at Austevoll and Matre Research Stations for animal production and farm management. The trial was partly funded by Future Welfare (project 267800) within the Research Council of Norway, R&amp;D projects at Bremnes Seashore and the Norwegian Department of Fisheries and Coastal Affairs. The work was also funded by the Research Council of Norway (project number 256318/E40). The trial was conducted in accordance with the laws and regulations for experiments and procedures on live animals (FOTS ID: 9600/2016).</t>
  </si>
  <si>
    <t>10.3354/aei00269</t>
  </si>
  <si>
    <t>GK6XA</t>
  </si>
  <si>
    <t>WOS:000436334900002</t>
  </si>
  <si>
    <t>White, CA; Bannister, RJ; Dworjanyn, SA; Husa, V; Nichols, PD; Dempster, T</t>
  </si>
  <si>
    <t>White, C. A.; Bannister, R. J.; Dworjanyn, S. A.; Husa, V; Nichols, P. D.; Dempster, T.</t>
  </si>
  <si>
    <t>Aquaculture-derived trophic subsidy boosts populations of an ecosystem engineer</t>
  </si>
  <si>
    <t>Aquaculture; Echinus acutus; Gracilechinus acutus; Larval survival; Norway; Population density; Reproductive output; Sea urchin; Trophic subsidy; Urchin barren</t>
  </si>
  <si>
    <t>PARACENTROTUS-LIVIDUS ECHINODERMATA; URCHINS PSAMMECHINUS-MILIARIS; NEW-ZEALAND FJORD; SEA-URCHIN; SALMON FARM; STRONGYLOCENTROTUS-FRANCISCANUS; EVECHINUS-CHLOROTICUS; FERTILIZATION SUCCESS; MARINE INVERTEBRATE; RESOURCE SUBSIDIES</t>
  </si>
  <si>
    <t>Environmental management of coastal aquaculture is focused on acute impacts of organic and nitrogenous wastes close to farms. However, the energy-rich trophic subsidy that aquaculture provides may create cascades with influences over broader spatial scales. In a fjord region with intensive fish farming, we tested whether an ecosystem engineer, the white urchin Gracilechinus acutus, was more abundant at aquaculture sites than control sites. Further, we tested whether diets influenced by aquaculture waste altered reproductive outputs compared with natural diets. Urchins formed barrens at aquaculture sites where they were 10 times more abundant (38 urchins m(-2)) than at control sites (4 urchins m(-2)). Urchins were on average 15 mm larger at control sites. In the laboratory, urchins fed aquafeed diets had 3 times larger gonad indices than urchins fed a natural diet. However, their reproduction was compromised. Eggs from females fed an aquafeed diet had 13% lower fertilisation success and 30% lower larval survival rates at 10 d compared with females fed a natural diet. A reproductive output model showed that enhanced numbers of 10 d old larvae produced by the dense aquaculture-associated aggregations of G. acutus will supersede any detrimental effects on reproduction, with larval outputs from aquaculture sites being on average 5 times greater than control sites. The results show that aquaculture waste can act as a trophic subsidy in fjord ecosystems, stimulating aggregations of urchins and promoting the formation of urchin barrens. Where finfish aquaculture is concentrated, combined effects on the wider environment may produce ecosystem-level consequences.</t>
  </si>
  <si>
    <t>[White, C. A.; Dempster, T.] Univ Melbourne, Sch BioSci, Parkville, Vic 3010, Australia; [White, C. A.; Nichols, P. D.] CSIRO, Oceans &amp; Atmosphere, Hobart, Tas 7000, Australia; [Bannister, R. J.; Husa, V] Inst Marine Res, POB 1870, N-5817 Bergen, Norway; [Dworjanyn, S. A.] Southern Cross Univ, Natl Marine Sci Ctr, Coffs Harbour, NSW 2450, Australia; [White, C. A.] Univ Tasmania, Inst Marine &amp; Antarctic Studies, Taroona, Tas 7053, Australia</t>
  </si>
  <si>
    <t>University of Melbourne; Commonwealth Scientific &amp; Industrial Research Organisation (CSIRO); Institute of Marine Research - Norway; Southern Cross University; University of Tasmania</t>
  </si>
  <si>
    <t>White, CA (corresponding author), Univ Melbourne, Sch BioSci, Parkville, Vic 3010, Australia.;White, CA (corresponding author), CSIRO, Oceans &amp; Atmosphere, Hobart, Tas 7000, Australia.;White, CA (corresponding author), Univ Tasmania, Inst Marine &amp; Antarctic Studies, Taroona, Tas 7053, Australia.</t>
  </si>
  <si>
    <t>camille.white@utas.edu.au</t>
  </si>
  <si>
    <t>Nichols, Peter D/C-5128-2011; dworjanyn, symon/O-5633-2017; Dempster, Tim/E-9630-2011</t>
  </si>
  <si>
    <t>dworjanyn, symon/0000-0002-6690-8033; Dempster, Tim/0000-0001-8041-426X; Husa, Vivian/0000-0001-7008-456X</t>
  </si>
  <si>
    <t>University of Melbourne Overseas Research Experience Scholarship (ORES); Norwegian Research Council [228871]</t>
  </si>
  <si>
    <t>University of Melbourne Overseas Research Experience Scholarship (ORES); Norwegian Research Council(Research Council of Norway)</t>
  </si>
  <si>
    <t>This work was supported by a University of Melbourne Overseas Research Experience Scholarship (ORES) and the Norwegian Research Council (Project no. 228871). The authors thank S. A. Olsen, K. A. Kvestad, B. Haugland Taraldset, S. Woodcock, N. Keeley, B. Muir, F. Oppedal, O and Ingrid Uglenes Fiksdal. Strand and T. Strohmeier and the technical staff at the Institute of Marine Research (IMR), Matre, for assistance.</t>
  </si>
  <si>
    <t>10.3354/aei00270</t>
  </si>
  <si>
    <t>WOS:000436334900004</t>
  </si>
  <si>
    <t>Carron, M; Emeyriat, N; Levraut, J; Blondeau, N</t>
  </si>
  <si>
    <t>Carron, Mathieu; Emeyriat, Nicolas; Levraut, Jacques; Blondeau, Nicolas</t>
  </si>
  <si>
    <t>Cruise ship pathologies in remote regions</t>
  </si>
  <si>
    <t>INTERNATIONAL MARITIME HEALTH</t>
  </si>
  <si>
    <t>cruise ship; illness; Antarctica; passengers; crewmembers; remote regions</t>
  </si>
  <si>
    <t>CASE-ONLY ANALYSIS; WORLD CRUISE; INFECTIOUS DIARRHEA; ILLNESS; INJURY; ANTARCTICA; NOROVIRUS; MORTALITY; TEMPERATURE; PASSENGERS</t>
  </si>
  <si>
    <t>Background: Navigations on cruise ships are rising and tend to spread to remote areas like polar regions. Our aim was to assess the prevalence of pathologies encountered on a cruise ship navigating in remote areas including Polar Seas. Materials and methods:A prospective observational, descriptive and cross-sectional study was conducted aboard a cruise ship with an overall capacity of 200-264 passengers and 140 crewmembers, sailing in remote areas as the Arctic Ocean and the Antarctic Peninsula over a period of 205 days. The database was built on all first consultations for passengers and crewmembers done by the onboard physician. Each symptom and diagnosis was coded according to the International Classification of Primary Care, 2nd edition. For statistical analysis, the quantitative data were expressed as mean +/- standard deviation and qualitative data as percentages. The percentages were compared using a chi(2) test corrected according to the Yates' method or by a Fisher test when appropriate. Results: A total of 446 diagnoses were studied on the 910 consultations originally included (13.7% of the people on board). The median age for the passengers and the crewmembers was respectively 68 (age ranging from 12 to 90) years and 31 (18-62) years. Likewise, the sex ratio (male/female) was 0.98 and 3.23. Infectious diseases were predominant (prevalence of 43.7%). Among them, respiratory infections were the most common and gastroenteritis seemed to be more frequent in passengers (prevalence of 11.5% vs. 5%, p = 0.10). Cutaneous pathologies were more frequent in crewmembers (prevalence of 26.6% vs. 18.7%, p = 0.04) and allergic dermatitis was the second most frequent in this group of patients (prevalence of 7.2%). Cardiovascular diseases, more common in passengers (p = 0.05), represented 4% of all diagnoses. Two cases of phlebitis, one stroke and one subacute heart failure were diagnosed. Among traumatic injuries, cutaneous traumas were the commonest (prevalence of 76.5%). Musculoskeletal traumas were more common in passengers (p = 0.04). An acute gastrointestinal haemorrhage required a medical evacuation from the Antarctic Peninsula. Conclusions: The physician should be prepared to face emergency cases by developing personal expertise specific to maritime medicine in remote areas. Highlighting the particularity of cases handled in remote areas, our results should also pave the way of the development of medical protocols for ships lacking physician.</t>
  </si>
  <si>
    <t>[Carron, Mathieu; Emeyriat, Nicolas; Levraut, Jacques] CHU Nice, Emergency Dept, F-06001 Nice, France; [Blondeau, Nicolas] Univ Cote Azur, CNRS, IPMC, F-06560 Sophia Antipolis, France</t>
  </si>
  <si>
    <t>CHU Nice; Universite Cote d'Azur; Centre National de la Recherche Scientifique (CNRS)</t>
  </si>
  <si>
    <t>Carron, M (corresponding author), CHU Pasteur 2, Serv Urgencies, 30 Voie Romaine, F-06000 Nice, France.</t>
  </si>
  <si>
    <t>mathieu.carron01@gmail.com</t>
  </si>
  <si>
    <t>Blondeau, Nicolas P/M-5002-2016</t>
  </si>
  <si>
    <t>Blondeau, Nicolas P/0000-0001-5954-4094</t>
  </si>
  <si>
    <t>VIA MEDICA</t>
  </si>
  <si>
    <t>GDANSK</t>
  </si>
  <si>
    <t>UL SWIETOKRZYSKA 73, 80-180 GDANSK, POLAND</t>
  </si>
  <si>
    <t>1641-9251</t>
  </si>
  <si>
    <t>2081-3252</t>
  </si>
  <si>
    <t>INT MARIT HEALTH</t>
  </si>
  <si>
    <t>Int. Marit. Health</t>
  </si>
  <si>
    <t>10.5603/IMH.2018.0012</t>
  </si>
  <si>
    <t>Public, Environmental &amp; Occupational Health</t>
  </si>
  <si>
    <t>GK4YU</t>
  </si>
  <si>
    <t>WOS:000436177100001</t>
  </si>
  <si>
    <t>van den Hoff, J; Eriksson, C; Burton, H; Schultz, M</t>
  </si>
  <si>
    <t>Cocca, M; DiPace, E; Errico, ME; Gentile, G; Montarsolo, A; Mossotti, R</t>
  </si>
  <si>
    <t>van den Hoff, John; Eriksson, Cecilia; Burton, Harry; Schultz, Martin</t>
  </si>
  <si>
    <t>Size-Selective Feeding by Mesopelagic Fish Can Impact Ocean Surface Abundance of Small Plastic Particles</t>
  </si>
  <si>
    <t>PROCEEDINGS OF THE INTERNATIONAL CONFERENCE ON MICROPLASTIC POLLUTION IN THE MEDITERRANEAN SEA</t>
  </si>
  <si>
    <t>Springer Water</t>
  </si>
  <si>
    <t>International Conference on Microplastic Pollution in the Mediterranean Sea</t>
  </si>
  <si>
    <t>SEP 26-29, 2017</t>
  </si>
  <si>
    <t>Capri, ITALY</t>
  </si>
  <si>
    <t>MACQUARIE ISLAND; SOUTHERN-OCEAN; MICROPLASTICS; ACCUMULATION; DEBRIS</t>
  </si>
  <si>
    <t>[van den Hoff, John] Australian Antarctic Div, 203 Channel Highway, Kingston, Tas, Australia; [Eriksson, Cecilia; Burton, Harry; Schultz, Martin] 1 Mary St, Hobart, Tas 7000, Australia</t>
  </si>
  <si>
    <t>Australian Antarctic Division</t>
  </si>
  <si>
    <t>van den Hoff, J (corresponding author), Australian Antarctic Div, 203 Channel Highway, Kingston, Tas, Australia.</t>
  </si>
  <si>
    <t>john_van@aad.gov.au</t>
  </si>
  <si>
    <t>Schultz, Martin/J-9305-2014</t>
  </si>
  <si>
    <t>2364-6934</t>
  </si>
  <si>
    <t>2364-8198</t>
  </si>
  <si>
    <t>978-3-319-71279-6; 978-3-319-71278-9</t>
  </si>
  <si>
    <t>SPRINGER WATER</t>
  </si>
  <si>
    <t>10.1007/978-3-319-71279-6_20</t>
  </si>
  <si>
    <t>Environmental Sciences; Public, Environmental &amp; Occupational Health; Water Resources</t>
  </si>
  <si>
    <t>Environmental Sciences &amp; Ecology; Public, Environmental &amp; Occupational Health; Water Resources</t>
  </si>
  <si>
    <t>BK4DC</t>
  </si>
  <si>
    <t>WOS:000436165900020</t>
  </si>
  <si>
    <t>Buchroithner, MF; Radig, L</t>
  </si>
  <si>
    <t>Buchroithner, Manfred F.; Radig, Lars</t>
  </si>
  <si>
    <t>The First Depiction of Two Superimposed Geographical Surfaces in One Autostereoscopic Map: Antarctica's Topography and the Southern Ocean Seafloor</t>
  </si>
  <si>
    <t>CARTOGRAPHIC JOURNAL</t>
  </si>
  <si>
    <t>True-3d; super-imposed geo-surfaces; lenticular foil technique; hardcopy; autostereoscopic; simultaneous viewing of overlaying surfaces</t>
  </si>
  <si>
    <t>TRUE-3D</t>
  </si>
  <si>
    <t>Within the past 10-15 years true-3D lenticular cartography has experienced a remarkable boost. In the course of this development, besides studies into its potential for thematic-cartographic representations, the synoptic depiction of physical surfaces ('geo[graphical] surfaces') has been playing a significant role. In this context the innovative holistic display of complex morphological and topographical conditions is of particular interest. The simultaneous representation of various cartographic parameters at different depths will deliver an enormous surplus of information transfer in the field of thematic cartography as well as in physical/topographic cartography. This paper describes the methodological development and generation of an autostereoscopic hardcopy display of Antarctic topography. The purpose was the simultaneous depiction of the two superimposed surfaces of both the ice-sheet and the rock-bed and, in addition, of the surrounding seafloor, thus displaying a vertical drop of more than 12,000 m.</t>
  </si>
  <si>
    <t>[Buchroithner, Manfred F.; Radig, Lars] Tech Univ Dresden, Inst Cartog, Dresden, Germany</t>
  </si>
  <si>
    <t>Technische Universitat Dresden</t>
  </si>
  <si>
    <t>Buchroithner, MF (corresponding author), Tech Univ Dresden, Inst Cartog, Dresden, Germany.</t>
  </si>
  <si>
    <t>manfred.buchroithner@tu-dresden.de</t>
  </si>
  <si>
    <t>Buchroithner, Manfred/0000-0002-6051-2249</t>
  </si>
  <si>
    <t>Alfred Wegener Institute Helmholtz Centre for Polar and Marine Research in Bremerhaven, Germany</t>
  </si>
  <si>
    <t>The Alfred Wegener Institute Helmholtz Centre for Polar and Marine Research in Bremerhaven, Germany, has to be thanked for initiating and financing this cartographic project. The Centre for Information Services and High Performance Computing (ZIH) of TU Dresden, Germany, kindly performed all the computationally intensive data processing. The complicated printing process makes or breaks the quality of any lenticular map and the maps were printed in the tried and tested way by Weber Druck+ Display GmbH, Weyhe near Bremen, Germany. Claudia Knust, swisstopo in Wabern near Zurich, Switzerland, kindly provided us with advice from her expertise in true-3D cartography.</t>
  </si>
  <si>
    <t>0008-7041</t>
  </si>
  <si>
    <t>1743-2774</t>
  </si>
  <si>
    <t>CARTOGR J</t>
  </si>
  <si>
    <t>Cartogr. J.</t>
  </si>
  <si>
    <t>10.1080/00087041.2017.1323153</t>
  </si>
  <si>
    <t>GJ8JC</t>
  </si>
  <si>
    <t>WOS:000435634600005</t>
  </si>
  <si>
    <t>Al-Handal, AY; Thomas, EW; Torstensson, A; Jahn, R; Wulff, A</t>
  </si>
  <si>
    <t>Al-Handal, Adil Y.; Thomas, Evan W.; Torstensson, Anders; Jahn, Regine; Wulff, Angela</t>
  </si>
  <si>
    <t>Gomphonemopsis ligowskii, a new diatom (Bacillariophyceae) from the marine Antarctic and a comparison to other Gomphonemopsis</t>
  </si>
  <si>
    <t>DIATOM RESEARCH</t>
  </si>
  <si>
    <t>Gomphonemopsis; diatom; Antarctica; new species; epiphyte</t>
  </si>
  <si>
    <t>KING-GEORGE ISLAND; MARITIME ANTARCTICA; INLAND WATERS; SP-NOV.; TAXA; RHOICOSPHENIA; REGION</t>
  </si>
  <si>
    <t>A new marine diatom, Gomphonemopsis ligowskii, is described. Gomphonemopsis ligowskii was found as an epiphyte on the brown macrophyte, Desmarestia anceps, collected from King George Island, Antarctica in January 2016. This species is the first of the genus described from a polar region. It is a small and relatively rare taxon that is characterized by its unique shape and the presence of uniseriate striae, composed of round poroidal areolae on its valve face. The striae are arranged in parallel rows on either side of the axial area, and a row of rounded areolae on both sides of the valve mantle is confined to the wider part of the valve (headpole). A description of valve ultrastructure as well as a comparison with related taxa are provided.</t>
  </si>
  <si>
    <t>[Al-Handal, Adil Y.; Torstensson, Anders; Wulff, Angela] Univ Gothenburg, Dept Biol &amp; Environm Sci, Gothenburg, Sweden; [Thomas, Evan W.] Waubonsee Community Coll, Biol Dept, Sugar Grove, IL USA; [Jahn, Regine] Free Univ Berlin, Bot Garten &amp; Bot Museum Berlin Dahlem, Berlin, Germany</t>
  </si>
  <si>
    <t>University of Gothenburg; Free University of Berlin</t>
  </si>
  <si>
    <t>Al-Handal, AY (corresponding author), Univ Gothenburg, Dept Biol &amp; Environm Sci, Gothenburg, Sweden.</t>
  </si>
  <si>
    <t>adil.alhandal@gmail.com</t>
  </si>
  <si>
    <t>Al-Handal, Adil/ABH-1754-2021</t>
  </si>
  <si>
    <t>Torstensson, Anders/0000-0002-8283-656X; Al-Handal, Adil/0000-0003-4703-7823</t>
  </si>
  <si>
    <t>SYNTHESYS Project - European Community Research Infrastructure Action under the FP7 'Capacities' Program</t>
  </si>
  <si>
    <t>This research received support from the SYNTHESYS Project http://www.synthesys.info/, financed by the European Community Research Infrastructure Action under the FP7 'Capacities' Program.</t>
  </si>
  <si>
    <t>0269-249X</t>
  </si>
  <si>
    <t>2159-8347</t>
  </si>
  <si>
    <t>DIATOM RES</t>
  </si>
  <si>
    <t>Diatom Res.</t>
  </si>
  <si>
    <t>10.1080/0269249X.2018.1428916</t>
  </si>
  <si>
    <t>GJ8XH</t>
  </si>
  <si>
    <t>WOS:000435674500008</t>
  </si>
  <si>
    <t>Blackwell, BD; Dollery, BE; Fischer, AM; Mcfarlane, JA</t>
  </si>
  <si>
    <t>Blackwell, Boyd D.; Dollery, Brian E.; Fischer, Andrew M.; Mcfarlane, Jim A.</t>
  </si>
  <si>
    <t>Geospatial analyses of local economic structures in the rangeland areas of the Northern Territory, South Australia and Western Australia</t>
  </si>
  <si>
    <t>RANGELAND JOURNAL</t>
  </si>
  <si>
    <t>geospatial visualisation; regional development; remote Australia; rural Australia</t>
  </si>
  <si>
    <t>MINING TOWNS; BASE; MECHANICS; PILBARA</t>
  </si>
  <si>
    <t>We examine the economic structure of Australian local government areas in the Northern Territory, South Australia and Western Australia using economic base theory and location quotients. Whereas the economic base approach is long established, in this paper we extend the three-staged geospatial visualisation method of Blackwell et al. (2017) to two additional state jurisdictions. Focusing on the economic structure of rangeland local government areas, we find that these vary significantly, implying that no single generic development policy is likely to be effective, but rather these need to be crafted individually. We demonstrate that geospatial visualisations of employment location quotients can identify local economic vulnerability as well as opportunity.</t>
  </si>
  <si>
    <t>[Blackwell, Boyd D.; Mcfarlane, Jim A.] Univ New England, Sch Business, CRC Remote Econ Participat, EBL Bldg,Trevenna Rd, Armidale, NSW 2351, Australia; [Dollery, Brian E.] Univ New England, Ctr Local Govt, EBL Bldg,Trevenna Rd, Armidale, NSW 2351, Australia; [Fischer, Andrew M.] Univ Tasmania, Inst Marine &amp; Antarctic Studies, Sci Bldg,Old Sch Rd, Newnham, Tas 7248, Australia</t>
  </si>
  <si>
    <t>University of New England; University of New England; University of Tasmania</t>
  </si>
  <si>
    <t>Blackwell, BD (corresponding author), Univ New England, Sch Business, CRC Remote Econ Participat, EBL Bldg,Trevenna Rd, Armidale, NSW 2351, Australia.</t>
  </si>
  <si>
    <t>boydb@une.edu.au</t>
  </si>
  <si>
    <t>Blackwell, Boyd/I-1362-2018</t>
  </si>
  <si>
    <t>Blackwell, Boyd/0000-0001-8143-158X; Fischer, Andrew/0000-0001-5284-6428</t>
  </si>
  <si>
    <t>Australian Government Cooperative Research Centres (CRC) program through the CRC for Remote Economic Participation (CRC-REP); University of New England</t>
  </si>
  <si>
    <t>This work was supported by the Australian Government Cooperative Research Centres (CRC) program through the CRC for Remote Economic Participation (CRC-REP) and the University of New England; the views expressed herein do not necessarily represent the views of the CRC REP, Ninti One Ltd or its participants.</t>
  </si>
  <si>
    <t>1036-9872</t>
  </si>
  <si>
    <t>1834-7541</t>
  </si>
  <si>
    <t>RANGELAND J</t>
  </si>
  <si>
    <t>Rangeland J.</t>
  </si>
  <si>
    <t>10.1071/RJ17065</t>
  </si>
  <si>
    <t>GK2KH</t>
  </si>
  <si>
    <t>WOS:000435958100005</t>
  </si>
  <si>
    <t>Zhang, FY; Zhao, M; Ma, CY; Wang, LM; Feng, CL; Li, LZ; Ma, LB</t>
  </si>
  <si>
    <t>Zhang, Fengying; Zhao, Ming; Ma, Chunyan; Wang, Lumin; Feng, Chunlei; Li, Lingzhi; Ma, Lingbo</t>
  </si>
  <si>
    <t>A METABOLOMIC STUDY OF ANTARCTIC KRILL (EUPHAUSIA SUPERBA) RAISES A WARNING ABOUT ANTARCTIC POLLUTION</t>
  </si>
  <si>
    <t>CRUSTACEANA</t>
  </si>
  <si>
    <t>Euphausia superba; metabolomics; GC-MS; 2-hydroxy biphenyl; dioctyl phthalate; Antarctica; chemical contamination</t>
  </si>
  <si>
    <t>MICROPLASTICS; PHTHALATE; EXPOSURE; RAT</t>
  </si>
  <si>
    <t>Antarctic krill (Euphausia superba) is one of the most successful species on Earth and serves as the largest potential protein bank for both Antarctic animals and humans. Research on this species is of great value for exploitation of Antarctic biotic resources. In this study, the metabolomics of E. superba were investigated using the GC-MS method. A total of 293 compounds were initially identified; these compounds could be divided into several classes, including amino acids, sugars and polyols, metabolic intermediates, small molecules and other metabolites. However, a serious problem was that both 2-hydroxybiphenyl and dioctyl phthalate were also detected in these krill tissues. Moreover, some intermediates of pesticides and medicinal or chemical compound products were found in krill tissue as well. This is the first survey to investigate the occurrence of chemical contamination in metabolites of Antarctic krill. These findings suggest that international contracts or policies should be developed to protect the pristine ocean.</t>
  </si>
  <si>
    <t>[Zhang, Fengying; Zhao, Ming; Ma, Chunyan; Wang, Lumin; Feng, Chunlei; Li, Lingzhi; Ma, Lingbo] Chinese Acad Fishery Sci, East China Sea Fisheries Res Inst, Minist Agr, Key Lab East China Sea &amp; Ocean Fishery Resources, Shanghai 200090, Peoples R China</t>
  </si>
  <si>
    <t>Chinese Academy of Fishery Sciences; East China Sea Fisheries Research Institute, CAFS; Ministry of Agriculture &amp; Rural Affairs</t>
  </si>
  <si>
    <t>Ma, LB (corresponding author), Chinese Acad Fishery Sci, East China Sea Fisheries Res Inst, Minist Agr, Key Lab East China Sea &amp; Ocean Fishery Resources, Shanghai 200090, Peoples R China.</t>
  </si>
  <si>
    <t>malingbo@vip.sina.com</t>
  </si>
  <si>
    <t>Ma, Chunyan/HMP-3228-2023; Ma, Chunyan/AAJ-2777-2020</t>
  </si>
  <si>
    <t>National Natural Science Foundation of China [41406190]; National Science &amp; Technology Support Plan [2013BAD13B03]</t>
  </si>
  <si>
    <t>National Natural Science Foundation of China(National Natural Science Foundation of China (NSFC)); National Science &amp; Technology Support Plan</t>
  </si>
  <si>
    <t>This work was supported by the National Natural Science Foundation of China (No. 41406190) and the National Science &amp; Technology Support Plan (No. 2013BAD13B03).</t>
  </si>
  <si>
    <t>BRILL ACADEMIC PUBLISHERS</t>
  </si>
  <si>
    <t>LEIDEN</t>
  </si>
  <si>
    <t>PLANTIJNSTRAAT 2, P O BOX 9000, 2300 PA LEIDEN, NETHERLANDS</t>
  </si>
  <si>
    <t>0011-216X</t>
  </si>
  <si>
    <t>1568-5403</t>
  </si>
  <si>
    <t>Crustaceana</t>
  </si>
  <si>
    <t>10.1163/15685403-00003801</t>
  </si>
  <si>
    <t>GJ6KJ</t>
  </si>
  <si>
    <t>WOS:000435492500004</t>
  </si>
  <si>
    <t>Prantoni, AL; Belmonte-Lopes, R; Lana, PC; Erséus, C</t>
  </si>
  <si>
    <t>Prantoni, Alessandro L.; Belmonte-Lopes, Ricardo; Lana, Paulo C.; Erseus, Christer</t>
  </si>
  <si>
    <t>Genetic diversity of marine oligochaetous clitellates in selected areas of the South Atlantic as revealed by DNA barcoding</t>
  </si>
  <si>
    <t>COI; DNA barcodes; marine clitellates; southern Atlantic Ocean; species delimitation</t>
  </si>
  <si>
    <t>GREAT BARRIER-REEF; SPECIES IDENTIFICATION; TUBIFICIDAE ANNELIDA; MOLECULAR PHYLOGENY; TAXONOMIC REVISION; CRYPTIC DIVERSITY; GRANIA CLITELLATA; TIDAL FLAT; ENCHYTRAEIDAE; LIMNODRILOIDES</t>
  </si>
  <si>
    <t>Marine oligochaetous clitellates are poorly investigated in the South Atlantic Ocean, especially along the east coast of South America. Closely related species are often difficult to distinguish based on morphology. The lack of specialists and modern identification guides have been pointed out as the main reasons for the scarcity of studies in the South Atlantic Ocean as a whole. To increase the knowledge of this group in the South Atlantic, the genetic diversity of a sample of marine oligochaetous clitellates from Brazil, South Africa and Antarctica was assessed by the Automatic Barcode Gap Discovery (ABGD) and the generalised mixed Yule coalescent (GMYC) approaches. In total, 80 cytochrome c oxidase subunit I (COI) sequences were obtained, each with similar to 658 bp, estimated to represent 32 distinct putative species. ABGD established a barcoding gap between 3% and 14% divergence for uncorrected p-distances and the estimates of GMYC were largely concordant. All the clusters or putative species were genetically associated with previously known species or genera. This study thus confirms the adequacy of the COI barcoding approach combined with a genetic divergence threshold at the order of 10% for marine oligochaetous clitellates.</t>
  </si>
  <si>
    <t>[Prantoni, Alessandro L.; Lana, Paulo C.] Univ Fed Parana, Ctr Marine Studies, Av Beira Mar S-N, BR-83255976 Pontal Do Parana, Parana, Brazil; [Belmonte-Lopes, Ricardo] Univ Fed Parana, Dept Zool, Lab Evolutionary Dynam &amp; Complex Syst, Av Francisco H dos Santos 100, BR-81531980 Curitiba, Parana, Brazil; [Erseus, Christer] Univ Gothenburg, Dept Biol &amp; Environm Sci, Box 463, SE-40530 Gothenburg, Sweden</t>
  </si>
  <si>
    <t>Universidade Federal do Parana; Universidade Federal do Parana; University of Gothenburg</t>
  </si>
  <si>
    <t>Prantoni, AL (corresponding author), Univ Fed Parana, Ctr Marine Studies, Av Beira Mar S-N, BR-83255976 Pontal Do Parana, Parana, Brazil.</t>
  </si>
  <si>
    <t>aprantoni@gmail.com</t>
  </si>
  <si>
    <t>Belmonte-Lopes, Ricardo/H-5851-2012; Lana, Paulo C/A-9325-2010</t>
  </si>
  <si>
    <t>Belmonte-Lopes, Ricardo/0000-0002-3122-0271; Prantoni, Alessandro Livio/0000-0002-4754-5011</t>
  </si>
  <si>
    <t>CAPES Brazilian Foundation (CAPES) [BEX 11676/13-2]; Swedish Research Council; CAPES/Fundacao Araucaria [108/2014]</t>
  </si>
  <si>
    <t>CAPES Brazilian Foundation (CAPES)(Coordenacao de Aperfeicoamento de Pessoal de Nivel Superior (CAPES)); Swedish Research Council(Swedish Research Council); CAPES/Fundacao Araucaria</t>
  </si>
  <si>
    <t>Wethank Nalita Scamparle and Estela Pires for generous help with fieldwork; Karla Paresque and Pio Colepicolo for providing the Antarctic material; Per Hjelmstedt for valuable assistance in the molecular laboratory at the University of Gothenburg; Marcio Pie for providing the facilities for the molecular work at the Department of Zoology of the Federal University of Parana. This study was supported by CAPES Brazilian Foundation (CAPES-process: BEX 11676/13-2), which provided the PhD fellowship for the first author, and by a Swedish Research Council grant to the last author. RB-L was supported by a post-doc fellowship from CAPES/Fundacao Araucaria (process 108/2014). We thank two anonymous reviewers and the editor for useful suggestions that helped to improve the manuscript.</t>
  </si>
  <si>
    <t>10.1071/IS17029</t>
  </si>
  <si>
    <t>GJ5FN</t>
  </si>
  <si>
    <t>WOS:000435406900002</t>
  </si>
  <si>
    <t>Sanyal, A; Antony, R; Samui, G; Thamban, M</t>
  </si>
  <si>
    <t>Sanyal, Aritri; Antony, Runa; Samui, Gautami; Thamban, Meloth</t>
  </si>
  <si>
    <t>Microbial communities and their potential for degradation of dissolved organic carbon in cryoconite hole environments of Himalaya and Antarctica</t>
  </si>
  <si>
    <t>MICROBIOLOGICAL RESEARCH</t>
  </si>
  <si>
    <t>Cryoconite hole; Dissolved organic carbon; Microbes; Antarctica; Himalaya</t>
  </si>
  <si>
    <t>CHEMICAL-COMPOSITION; BACTERIAL COMMUNITIES; GLACIERS; MATTER; DIVERSITY; SNOW; INSIGHTS; ALPINE; BACTERIOPLANKTON; BIOGEOCHEMISTRY</t>
  </si>
  <si>
    <t>Cryoconite holes (cylindrical melt-holes on the glacier surface) are important hydrological and biological systems within glacial environments that support diverse microbial communities and biogeochemical processes. This study describes retrievable heterotrophic microbes in cryoconite hole water from three geographically distinct sites in Antarctica, and a Himalayan glacier, along with their potential to degrade organic compounds found in these environments. Microcosm experiments (22 days) show that 13-6% of the dissolved organic carbon in the water within cryoconite holes is bio-available to resident microbes. Biodegradation tests of organic compounds such as lactate, acetate, formate, propionate and oxalate that are present in cryoconite hole water show that microbes have good potential to metabolize the compounds tested. Substrate utilization tests on Biolog Ecoplate show that microbial communities in the Himalayan samples are able to oxidize a diverse array of organic substrates including carbohydrates, carboxylic acids, amino acids, amines/amides and polymers, while Antarctic communities generally utilized complex polymers. In addition, as determined by the extracellular enzyme activities, majority of the microbes (82%, total of 355) isolated in this study (Proteobacteria, Bacteroidetes, Firmicutes, Actinobacteria and Basidiomycota) had ability to degrade a variety of compounds such as proteins, lipids, carbohydrates, cellulose and lignin that are documented to be present within cryoconite holes. Thus, microbial communities have good potential to metabolize organic compounds found in the cryoconite hole environment, thereby influencing the water chemistry in these holes. Moreover, microbes exported downstream during melting and flushing of cryoconite holes may participate in carbon cycling processes in recipient ecosystems.</t>
  </si>
  <si>
    <t>[Sanyal, Aritri; Antony, Runa; Samui, Gautami; Thamban, Meloth] ESSO Natl Ctr Antarctic &amp; Ocean Res, Vasco Da Gama 403804, Goa, India</t>
  </si>
  <si>
    <t>Ministry of Earth Sciences (MoES) - India; National Centre for Polar and Ocean Research (NCPOR)</t>
  </si>
  <si>
    <t>Antony, R (corresponding author), ESSO Natl Ctr Antarctic &amp; Ocean Res, Vasco Da Gama 403804, Goa, India.</t>
  </si>
  <si>
    <t>runa@neaor.gov.in</t>
  </si>
  <si>
    <t>Samui, Gautami/AGM-8337-2022</t>
  </si>
  <si>
    <t>Samui, Gautami/0000-0001-5869-5296; Antony, Runa/0000-0003-4829-4207; Thamban, Meloth/0000-0003-3379-8189</t>
  </si>
  <si>
    <t>Ministry of Earth Science (India)</t>
  </si>
  <si>
    <t>We thank the Ministry of Earth Science (India) for funding this work and the Director, NCAOR, for support. We are grateful to Ashish Paiguinkar and Lavkush Patel for sample collection from Himalaya and Archana Dayal for field assistance in Antarctica. We thank Ashish Paiguinkar for Ion chromatography analyses, Tara Megan Da Lima Leitao for help with microbiological analyses and Jasmin Chekidhenkuzhiyil for support with the DNA sequence editing. Thanks are also due to K. Mahalinganathan for preparation of the site map. We are grateful to Jean-Christophe Auguet and Rahul Dey for help with the R platform. We acknowledge the support from the expedition members and logistic crew at Bharati, Antarctica. This is NCAOR contribution number 01/2018.</t>
  </si>
  <si>
    <t>ELSEVIER GMBH</t>
  </si>
  <si>
    <t>MUNICH</t>
  </si>
  <si>
    <t>HACKERBRUCKE 6, 80335 MUNICH, GERMANY</t>
  </si>
  <si>
    <t>0944-5013</t>
  </si>
  <si>
    <t>MICROBIOL RES</t>
  </si>
  <si>
    <t>Microbiol. Res.</t>
  </si>
  <si>
    <t>10.1016/j.micres.2018.01.004</t>
  </si>
  <si>
    <t>GJ1YW</t>
  </si>
  <si>
    <t>WOS:000435064800004</t>
  </si>
  <si>
    <t>Rudolph, EM; Meiklejohn, KI; Hansen, CD; Hedding, DW; Nel, W</t>
  </si>
  <si>
    <t>Rudolph, Elizabeth M.; Meiklejohn, K. Ian; Hansen, Christel D.; Hedding, David W.; Nel, Werner</t>
  </si>
  <si>
    <t>Rock glaciers in the Jutulsessen, Dronning Maud Land, East Antarctica</t>
  </si>
  <si>
    <t>East Antarctica; Jutulsessen; rock glacier; permafrost; climate change</t>
  </si>
  <si>
    <t>NORTHERN VICTORIA LAND; JAMES-ROSS-ISLAND; TERRA-NOVA BAY; GALENA CREEK; MORPHOLOGY; CLASSIFICATION; MOUNTAINS; DYNAMICS; SOIL</t>
  </si>
  <si>
    <t>Rock glaciers are lobate or tongue-shaped landforms which consist of rock debris and have either an ice core or an ice-cemented matrix. Characteristics such as the landscape setting, morphology, material and current geomorphological state are universally used to classify rock glaciers. In Antarctica, rock glaciers have only been surveyed on the Antarctic Peninsula, Ellsworth Mountains and in Victoria Land. This paper presents the first data on the identification and description of rock glaciers in the Jutulsessen nunataks, Dronning Maud Land, East Antarctica. The rock glaciers in the Jutulsessen exhibit a variety of morphologies and states. Our data suggests that the rock glaciers in Brugdedalen and Jutuldalen are active, while the features at Vassdalen and Grjotlia are considered inactive, and a feature at Grjotoyra is considered relict. The described rock glaciers do not fit into existing classification systems and appear to be different to alpine, Arctic and Andean rock glaciers. They further present examples that fit both the 'glaciogenic' and 'permafrost' development theories.</t>
  </si>
  <si>
    <t>[Rudolph, Elizabeth M.] Univ Free State, Dept Geog, Bloemfontein, South Africa; [Meiklejohn, K. Ian; Hansen, Christel D.] Rhodes Univ, Dept Geog, Grahamstown, South Africa; [Hedding, David W.] Univ South Africa, Dept Geog, Florida, South Africa; [Nel, Werner] Univ Ft Hare, Dept Geog &amp; Environm Sci, Alice, South Africa</t>
  </si>
  <si>
    <t>University of the Free State; Rhodes University; University of South Africa; University of Fort Hare</t>
  </si>
  <si>
    <t>Rudolph, EM (corresponding author), Univ Free State, Dept Geog, Bloemfontein, South Africa.</t>
  </si>
  <si>
    <t>rudolphem@ufs.ac.za</t>
  </si>
  <si>
    <t>Hansen, Christel D/C-8783-2012; Meiklejohn, Ian/F-3183-2012; Rudolph, Elizabeth M/GOJ-7266-2022; Hedding, David William/F-3044-2011</t>
  </si>
  <si>
    <t>Hansen, Christel D/0000-0001-7510-2720; Meiklejohn, Ian/0000-0001-8890-2938; Rudolph, Elizabeth M/0000-0002-3823-3278; Hedding, David William/0000-0002-9748-4499</t>
  </si>
  <si>
    <t>South African National Antarctic Programme and Department of Environmental Affairs, the NRF [93082]; DAAD-NRF; Norsk Polarinstitutt</t>
  </si>
  <si>
    <t>South African National Antarctic Programme and Department of Environmental Affairs, the NRF; DAAD-NRF; Norsk Polarinstitutt</t>
  </si>
  <si>
    <t>The authors sincerely thank the South African National Antarctic Programme and Department of Environmental Affairs, the NRF (Grant 93082) and DAAD-NRF, as well as the Norsk Polarinstitutt for financial and logistical support. Field assistance is invaluable, and for that we thank: Gabrielle Ayres, Rosie Dwight, Camilla Kotze, Jessica Rosenfels and Dave Scott. Also, for discussions and debates on earlier drafts: Adam Bumby, Frank Eckardt, Kevin Hall, Mike Meadows and Brian Whalley. Finally, the reviewers for their valuable input and improvements on the current paper.</t>
  </si>
  <si>
    <t>10.24425/118736</t>
  </si>
  <si>
    <t>WOS:000434793700001</t>
  </si>
  <si>
    <t>Sulikowska, A; Wypych, A; Mitka, K; Maciejowski, W; Ostafin, K; Ziaja, W</t>
  </si>
  <si>
    <t>Sulikowska, Agnieszka; Wypych, Agnieszka; Mitka, Krzysztof; Maciejowski, Wojciech; Ostafin, Krzysztof; Ziaja, Wieslaw</t>
  </si>
  <si>
    <t>Summer weather conditions in 2005 and 2016 on the western and eastern coasts of south Spitsbergen</t>
  </si>
  <si>
    <t>Arctic; Svalbard; weather variability; air temperature; atmospheric circulation</t>
  </si>
  <si>
    <t>AIR-TEMPERATURE; PRECIPITATION; SVALBARD</t>
  </si>
  <si>
    <t>The climate of the Svalbard archipelago changes with geographical location (latitude and longitude) and is mostly dependent on oceanic and atmospheric circulation, altitude, topography and surface type. The aim of the study was to assess the variability of summer weather conditions on the western and eastern coasts of south Spitsbergen and to see it in connection with atmospheric circulation. The study focused on comparison between sub-daily data from field station measurements carried out during two research expeditions to the eastern coast of south Spitsbergen in the summer seasons of 2005 and 2016 and from the Polish Polar Station Hornsund, located on the western coast. Atmospheric circulation conditions were described by the subjective calendar of circulation types for Spitsbergen. The results confirmed that atmospheric circulation plays the most important role in shaping weather conditions, however local factors, especially the topography, modify the general weather pattern. The western coast of south Spitsbergen proved to be more humid and, consequently, more cloudy and foggy, whereas the eastern coast was characterized by more sunshine, less humidity and more frequent calm air situations. These differences are first and foremost a result of the direction of air-mass advection rather than of the type of pressure system.</t>
  </si>
  <si>
    <t>[Sulikowska, Agnieszka; Wypych, Agnieszka; Mitka, Krzysztof; Maciejowski, Wojciech; Ostafin, Krzysztof; Ziaja, Wieslaw] Jagiellonian Univ Krakow, Fac Geog &amp; Geol, Inst Geog &amp; Spatial Management, Gronostajowa 7, PL-30387 Krakow, Poland</t>
  </si>
  <si>
    <t>Jagiellonian University</t>
  </si>
  <si>
    <t>Sulikowska, A (corresponding author), Jagiellonian Univ Krakow, Fac Geog &amp; Geol, Inst Geog &amp; Spatial Management, Gronostajowa 7, PL-30387 Krakow, Poland.</t>
  </si>
  <si>
    <t>a.sulikowska@doctoral.uj.edu.pl</t>
  </si>
  <si>
    <t>Ostafin, Krzysztof/L-9471-2017; Sulikowska, Agnieszka/I-4106-2018</t>
  </si>
  <si>
    <t>Ostafin, Krzysztof/0000-0002-4426-3211; Sulikowska, Agnieszka/0000-0002-2930-728X; Maciejowski, Wojciech/0000-0001-7994-8985; Ziaja, Wieslaw/0000-0003-1087-736X; Wypych, Agnieszka/0000-0002-5379-5834</t>
  </si>
  <si>
    <t>[PBZ-KBN-108/P04/2004]</t>
  </si>
  <si>
    <t>The expedition in 2005 was the part of the project The structure, evolution and dynamics of the lithosphere, cryosphere and biosphere in the European sector of the Arctic and Antarctic (PBZ-KBN-108/P04/2004). The expedition in 2016 was the main part of the project which benefited from the support of the Prince Albert II of Monaco Foundation, www.fpa2.com. However, the contents of this paper are the sole responsibility of the Jagiellonian University in Krakow and can under no circumstances be regarded as reflecting the position of the Prince Albert II of Monaco Foundation.</t>
  </si>
  <si>
    <t>10.24425/118741</t>
  </si>
  <si>
    <t>WOS:000434793700006</t>
  </si>
  <si>
    <t>Hunter, AW; McNamara, KJ</t>
  </si>
  <si>
    <t>Hunter, Aaron W.; McNamara, Kenneth J.</t>
  </si>
  <si>
    <t>Prolonged co-existence of archaic' and modern' Palaeozoic ophiuroids-evidence from the early Permian, Southern Carnarvon Basin, Western Australia</t>
  </si>
  <si>
    <t>JOURNAL OF SYSTEMATIC PALAEONTOLOGY</t>
  </si>
  <si>
    <t>asterozoans; Protasteridae; Australia; Permian; predation pressure; palaeobiogeography; body size; high latitude fauna</t>
  </si>
  <si>
    <t>MESOZOIC MARINE REVOLUTION; ECHINODERMATA OPHIUROIDEA; ANTARCTIC PENINSULA; CONEMAUGH GROUP; SEYMOUR-ISLAND; CLIMATE-CHANGE; PENNSYLVANIA; CRINOIDS; EOCENE; GENUS</t>
  </si>
  <si>
    <t>The discovery of a very large ophiuroid (disk diameter of 80 mm) in the early Permian (Kungurian) Cundlego Formation in the Southern Carnarvon Basin of Western Australia extends the stratigraphical range of archaic' ophiuroids unequivocally into the Permian, unlocking a lost fossil record of this group. Hitherto such ophiuroids have been discovered preserved articulated from strata no younger than the late Carboniferous. Herein we describe the new ophiuroid as Teleosaster creasyi gen. et sp. nov. Although existing temporally with Permian ophiuroids with a modern' morphological architecture, Teleosaster was biogeographically separated. This archaic' ophiuroid persisted in high latitude seas, suggesting such archaic' forms were displaced from the shallow-water, low latitude niches by the modern' ophiuroids. In modern oceans, ophiuroid gigantism similar to that in Teleosaster creasyi is typically only expressed in cold, high latitude oceans. It has been argued that the frequent occurrence of gigantism in such environments is due to the much lower levels of predation pressure. Unlike other echinoderm classes, the morphological and ecological transformation that resulted in the evolution of modern' ophiuroids had already taken place well before the events of the Permo-Triassic mass extinction. With the increase in diversity of durophagous predators in low latitude shallow-water communities during the mid-Palaeozoic Marine Revolution, we argue that archaic' ophiuroids were more susceptible to these higher levels of predation than the modern' forms and were displaced into regimes of lower predation pressure in high latitude oceans.http://zoobank.org/urn:lsid:zoobank.org:pub:E4FD9264-127D-4995-AD12-C9721F212FCD</t>
  </si>
  <si>
    <t>[Hunter, Aaron W.] Curtin Univ, Western Australian Sch Mines, Dept Appl Geol, GPO Box U1987, Perth, WA 6845, Australia; [Hunter, Aaron W.; McNamara, Kenneth J.] Univ Cambridge, Dept Earth Sci, Downing St, Cambridge CB2 3EQ, England; [Hunter, Aaron W.] Univ Western Australia, Sch Earth Sci, 35 Stirling Highway, Crawley, WA 6009, Australia</t>
  </si>
  <si>
    <t>Curtin University; University of Cambridge; University of Western Australia</t>
  </si>
  <si>
    <t>Hunter, AW (corresponding author), Curtin Univ, Western Australian Sch Mines, Dept Appl Geol, GPO Box U1987, Perth, WA 6845, Australia.;Hunter, AW (corresponding author), Univ Cambridge, Dept Earth Sci, Downing St, Cambridge CB2 3EQ, England.;Hunter, AW (corresponding author), Univ Western Australia, Sch Earth Sci, 35 Stirling Highway, Crawley, WA 6009, Australia.</t>
  </si>
  <si>
    <t>awh31@cam.ac.uk</t>
  </si>
  <si>
    <t>Hunter, Aaron/A-3958-2016</t>
  </si>
  <si>
    <t>Hunter, Aaron/0000-0002-3527-5835</t>
  </si>
  <si>
    <t>University of Cambridge</t>
  </si>
  <si>
    <t>University of Cambridge(University of Cambridge)</t>
  </si>
  <si>
    <t>KJM would like to thank Mark Creasy for his generous donation of the slab bearing the holotype and paratypes to the Western Australian Museum. We are also very grateful to David Vaughan for facilitating the acquisition of the specimen and its transport to Cambridge for study and to Mikael Siversson for his assistance. We thank the reviewers for their detailed and useful comments and suggestions. AWH wishes to thank Clare Hall, University of Cambridge for providing a visiting fellowship that facilitated this research at the Sedgwick Museum of Earth Sciences, Cambridge.</t>
  </si>
  <si>
    <t>1477-2019</t>
  </si>
  <si>
    <t>1478-0941</t>
  </si>
  <si>
    <t>J SYST PALAEONTOL</t>
  </si>
  <si>
    <t>J. Syst. Palaeontol.</t>
  </si>
  <si>
    <t>10.1080/14772019.2017.1353549</t>
  </si>
  <si>
    <t>Evolutionary Biology; Paleontology</t>
  </si>
  <si>
    <t>GI7UL</t>
  </si>
  <si>
    <t>WOS:000434707700001</t>
  </si>
  <si>
    <t>Jabour, J; Smith, D</t>
  </si>
  <si>
    <t>Jabour, Julia; Smith, Danielle</t>
  </si>
  <si>
    <t>The Ross Sea Region Marine Protected Area: Can It be Successfully Managed?</t>
  </si>
  <si>
    <t>OCEAN YEARBOOK</t>
  </si>
  <si>
    <t>[Jabour, Julia; Smith, Danielle] Univ Tasmania, Inst Marine &amp; Antarctic Studies, Hobart, Tas, Australia</t>
  </si>
  <si>
    <t>Jabour, J (corresponding author), Univ Tasmania, Inst Marine &amp; Antarctic Studies, Hobart, Tas, Australia.</t>
  </si>
  <si>
    <t>Jabour, Julia A/J-7882-2014</t>
  </si>
  <si>
    <t>0191-8575</t>
  </si>
  <si>
    <t>2211-6001</t>
  </si>
  <si>
    <t>OCEAN YEARB</t>
  </si>
  <si>
    <t>Ocean Yearb.</t>
  </si>
  <si>
    <t>10.1163/22116001-03201008</t>
  </si>
  <si>
    <t>GG9ZC</t>
  </si>
  <si>
    <t>WOS:000433059200007</t>
  </si>
  <si>
    <t>Airs, RL</t>
  </si>
  <si>
    <t>Airs, Ruth L.</t>
  </si>
  <si>
    <t>Mass Spectrometry of Chlorophylls from Phototrophic Prokaryotes</t>
  </si>
  <si>
    <t>Bacteriochlorophyll; chlorophyll f; chlorophyll d; fragmentation; liquid chromatography/mass spectrometry; photosynthetic bacteria</t>
  </si>
  <si>
    <t>GREEN SULFUR BACTERIA; CANDIDATUS CHLORACIDOBACTERIUM THERMOPHILUM; FAST-ATOM-BOMBARDMENT; FAR-RED LIGHT; BACTERIOCHLOROPHYLL HOMOLOGS; CHLOROBIUM-PHAEOBACTEROIDES; ANOXYGENIC PHOTOTROPHS; ESTERIFYING ALCOHOLS; ACIDIPHILIUM-RUBRUM; ANTARCTIC LAKE</t>
  </si>
  <si>
    <t>Background: Phototrophic prokaryotes inhabit a diverse array of environments on our planet and also contain a wide range of chlorophylls and bacteriochlorophylls, encompassing both chlorin and bacteriochorin structures. Objective: This review considers the ecological niches of the phototrophic prokaryotes, together with the mass spectrometric study of their chlorophyll and bacteriochlorophyll pigments. Methods: A thorough review of the mass spectrometry literature on chlorophylls from phototrophic prokaryotes has been carried out. Results: Mass spectrometry, particularly coupled with liquid chromatography and used in conjunction with soft ionization techniques, has been pivotal in the assignment of closely related chlorophyll and bacteriochlorophyll structures from these organisms. Conclusion: Exploration of our natural environment continues to find previously uncharacterized photosynthetic prokaryotes, utilizing subtle but significant modifications to the chlorophyll and bacteriochlorophyll structures in our current knowledge.</t>
  </si>
  <si>
    <t>[Airs, Ruth L.] Plymouth Marine Lab, Prospect Pl, Plymouth PL1 3DH, Devon, England</t>
  </si>
  <si>
    <t>Plymouth Marine Laboratory</t>
  </si>
  <si>
    <t>Airs, RL (corresponding author), Plymouth Marine Lab, Prospect Pl, Plymouth PL1 3DH, Devon, England.</t>
  </si>
  <si>
    <t>ruai@pml.ac.uk</t>
  </si>
  <si>
    <t>Airs, Ruth L/F-2183-2010</t>
  </si>
  <si>
    <t>Airs, Ruth/0000-0003-0861-742X</t>
  </si>
  <si>
    <t>NERC [NE/P006434/1, pml010007] Funding Source: UKRI; Natural Environment Research Council [pml010007] Funding Source: researchfish</t>
  </si>
  <si>
    <t>10.2174/1385272821666170920164422</t>
  </si>
  <si>
    <t>GI1NG</t>
  </si>
  <si>
    <t>WOS:000434136700004</t>
  </si>
  <si>
    <t>Barlow, DR; Torres, LG; Hodge, KB; Steel, D; Baker, CS; Chandler, TE; Bott, N; Constantine, R; Double, MC; Gill, P; Glasgow, D; Hamner, RM; Lilley, C; Ogle, M; Olson, PA; Peters, C; Stockin, KA; Tessaglia-Hymes, CT; Klinck, H</t>
  </si>
  <si>
    <t>Barlow, Dawn R.; Torres, Leigh G.; Hodge, Kristin B.; Steel, Debbie; Baker, C. Scott; Chandler, Todd E.; Bott, Nadine; Constantine, Rochelle; Double, Michael C.; Gill, Peter; Glasgow, Debra; Hamner, Rebecca M.; Lilley, Callum; Ogle, Mike; Olson, Paula A.; Peters, Catherine; Stockin, Karen A.; Tessaglia-Hymes, Christopher T.; Klinck, Holger</t>
  </si>
  <si>
    <t>Documentation of a New Zealand blue whale population based on multiple lines of evidence</t>
  </si>
  <si>
    <t>Blue whale; New Zealand; Photo-identification; Abundance; Acoustics; Genetics; Population connectivity; Conservation</t>
  </si>
  <si>
    <t>NORTHERN INDIAN-OCEAN; BALAENOPTERA-MUSCULUS; BALEEN WHALES; PACIFIC-OCEAN; WORLDWIDE; INCREASES; INSIGHTS; SUCCESS</t>
  </si>
  <si>
    <t>Species conservation depends on iobust population assessment. Data on population abundance, distribution, and connectivity are ciitical foi effective management, especially as baseline information for newly documented populations. We describe a pygmy blue whale Balaenoptera musculus brevicauda population in New Zealand waters with year-round presence that overlaps with industrial activities. This population was investigated using a multidisciplinary approach, including analysis of survey data, sighting records, acoustic data, identification photographs, and genetic samples. Blue whales were reported during every month of the yeai in the New Zealand Exclusive Economic Zone, with reports concentrated in the South Taranaki Bight (STB) region, where foraging behavior was frequently observed. Five hydrophones in the STB recorded the New Zealand blue whale call type on 99.7% of recording days (January to December 2016). A total of 151 individuals were photo-identified between 2004 and 2017. Nine individuals were resighted across multiple years. No matches were made to individuals identified in Australian or Antarctic waters. Mitochondrial DNA haplotype frequencies differed significantly between New Zealand (n = 53 individuals) and all other Southern Hemisphere blue whale populations, and haplotype diversity was significantly lower than all other populations. These results suggest a high degree of isolation of this New Zealand population. Using a closed capture recapture population model, our conservative abundance estimate of blue whales in New Zealand is 718 (SD = 433, 95 % CI = 279-1926). Our results fill critical knowledge gaps to improve management of blue whale populations in New Zealand and surrounding regions.</t>
  </si>
  <si>
    <t>[Barlow, Dawn R.; Torres, Leigh G.; Steel, Debbie; Baker, C. Scott; Chandler, Todd E.; Hamner, Rebecca M.] Oregon State Univ, Marine Mammal Inst, Dept Fisheries &amp; Wildlife, Newport, OR 97365 USA; [Hodge, Kristin B.; Tessaglia-Hymes, Christopher T.; Klinck, Holger] Cornell Univ, Cornell Lab Ornithol, Bioacoust Res Program, Ithaca, NY 14850 USA; [Baker, C. Scott; Constantine, Rochelle] Univ Auckland, Sch Biol Sci, Auckland 1142, New Zealand; [Bott, Nadine; Lilley, Callum; Ogle, Mike] New Zealand Dept Conservat, Wellington 6143, New Zealand; [Double, Michael C.; Olson, Paula A.] Australian Antarctic Div, Australian Marine Mammal Ctr, Kingston, Tas 7050, Australia; [Gill, Peter] Blue Whale Study, Narrawong, Vic 3285, Australia; [Glasgow, Debra] POB 98, Paekakariki 5034, New Zealand; [Hamner, Rebecca M.] Texas A&amp;M Univ Corpus Christi, Dept Life Sci, Corpus Christi, TX 78412 USA; [Olson, Paula A.] NOAA, Southwest Fisheries Sci Ctr NMFS, La Jolla, CA 92037 USA; [Peters, Catherine; Stockin, Karen A.] Massey Univ, Inst Nat &amp; Math Sci, Coastal Marine Res Grp, Auckland 0745, New Zealand</t>
  </si>
  <si>
    <t>Oregon State University; Cornell University; University of Auckland; Australian Antarctic Division; Texas A&amp;M University System; Texas A&amp;M University Corpus Christi; National Oceanic Atmospheric Admin (NOAA) - USA; Massey University</t>
  </si>
  <si>
    <t>Torres, LG (corresponding author), Oregon State Univ, Marine Mammal Inst, Dept Fisheries &amp; Wildlife, Newport, OR 97365 USA.</t>
  </si>
  <si>
    <t>leigh.torres@oregonstate.edu</t>
  </si>
  <si>
    <t>Barlow, Dawn/AAI-5447-2020; Stockin, Karen A/B-4452-2010; Klinck, Holger/X-5214-2019</t>
  </si>
  <si>
    <t>Barlow, Dawn/0000-0001-6102-5058; Klinck, Holger/0000-0003-1078-7268; Peters, Catherine/0000-0002-7289-9989; Stockin, Karen/0000-0002-2981-3983</t>
  </si>
  <si>
    <t>Aotearoa Foundation; New Zealand Department of Conservation; National Geographic Society Waitt Foundation; Marine Mammal Institute at Oregon State University; National Oceanographic and Atmospheric Administration's Cooperative Institute for Marine Resources Studies (NOAA/CIMRS); Greenpeace New Zealand; OceanCare; Kiwis Against Seabed Mining; International Fund for Animal Welfare; Thorpe Foundation</t>
  </si>
  <si>
    <t>Aotearoa Foundation; New Zealand Department of Conservation; National Geographic Society Waitt Foundation(National Geographic Society); Marine Mammal Institute at Oregon State University; National Oceanographic and Atmospheric Administration's Cooperative Institute for Marine Resources Studies (NOAA/CIMRS); Greenpeace New Zealand; OceanCare; Kiwis Against Seabed Mining; International Fund for Animal Welfare; Thorpe Foundation</t>
  </si>
  <si>
    <t>Funding for this project was provided by The Aotearoa Foundation, The New Zealand Department of Conservation, The National Geographic Society Waitt Foundation, The Marine Mammal Institute at Oregon State University, The National Oceanographic and Atmospheric Administration's Cooperative Institute for Marine Resources Studies (NOAA/CIMRS), Greenpeace New Zealand, OceanCare, Kiwis Against Seabed Mining, The International Fund for Animal Welfare, The Thorpe Foundation, and an anonymous donor. The project was accomplished through the dedicated work and support of many individuals including the crew of the RV 'Star Keys' (Western Work Boats) and the RV 'Ikatere' (National Institute of Water and Atmospheric Research), Kathy Minta and Minda Stiles from Oregon State University, Ian Angus, Laura Boren, Hannah Hendriks, Andrew Lamason, and Dave Lundquist from the New Zealand Department of Conservation, and Edward James Moore III from the Bioacoustics Research Program at Cornell University. Blue whale sightings and photo-identification contributions are also recognized from Blue Planet Marine, the Ministry for Primary Industries, OMV, Petroleum Geo-Services, Dolphin Safari, Whale Watch Kaikoura, and the following individuals: Olive Andrews, Haley Baxter, Aneke Bowker, Jaime Brown, Deanna Clement, Sonja Clemens, Tony Crocker, Eric de Boer, Nico de la Brosse, Sarah Dwyer, Deanna Elvines, Viraj Gamage, Sarah Gardner, Dan Govier, Theresa Kirchner, Krista Hupman, Helen McConnell, Don Neale, Terry Visser, Jody Weir, and Roger Williams.</t>
  </si>
  <si>
    <t>10.3354/esr00891</t>
  </si>
  <si>
    <t>GI0JB</t>
  </si>
  <si>
    <t>WOS:000434054500003</t>
  </si>
  <si>
    <t>Gong, MF; Lin, TX; Huang, J; Zeng, B</t>
  </si>
  <si>
    <t>Trincone, A; Azevedo, JL; Gong, M</t>
  </si>
  <si>
    <t>Gong, Mingfu; Lin, Tianxing; Huang, Jiao; Zeng, Bo</t>
  </si>
  <si>
    <t>Screening of Endophytic Bacteria Isolated from Two Kinds of Antarctic Plant Antagonistic Konjac Soft Rot Disease</t>
  </si>
  <si>
    <t>INTERNATIONAL CONFERENCE ON BIOTECHNOLOGY AND BIOENGINEERING (ICBB-2017)</t>
  </si>
  <si>
    <t>6th International Conference on Biotechnology and Bioengineering (ICBB)</t>
  </si>
  <si>
    <t>SEP 26-28, 2017</t>
  </si>
  <si>
    <t>Offenburg, GERMANY</t>
  </si>
  <si>
    <t>EGGPLANT</t>
  </si>
  <si>
    <t>Konjac soft rot has a serious impact on the production of konjac, the use of endophytic bacteria to inhibit konjac soft rot bacteria have many advantages. Twenty-three endophytic bacteria isolated from the medicinal plants were used to determine the antagonistic effects of endophytic bacteria on konjac soft rot in the Oxford cups. Of the strain. The results showed that 23 strains of endophytic bacteria had different antagonistic activities against konjac soft rot, 8 strains had very significant antibacterial effect, and YC06 and YC09 had strong antibacterial ability of two endophytic bacteria. Konjac soft rot fungi also have a strong antibacterial capacity.</t>
  </si>
  <si>
    <t>[Gong, Mingfu; Lin, Tianxing; Huang, Jiao; Zeng, Bo] Leshan Normal Univ, Leshan 614000, Peoples R China; [Gong, Mingfu] Leshan Normal Univ, Inst Biodivers Conservat &amp; Utilizat Mt Emei, Leshan 614000, Peoples R China</t>
  </si>
  <si>
    <t>Leshan Normal University; Leshan Normal University</t>
  </si>
  <si>
    <t>Gong, MF (corresponding author), Leshan Normal Univ, Leshan 614000, Peoples R China.;Gong, MF (corresponding author), Leshan Normal Univ, Inst Biodivers Conservat &amp; Utilizat Mt Emei, Leshan 614000, Peoples R China.</t>
  </si>
  <si>
    <t>gongmingfu98@163.com</t>
  </si>
  <si>
    <t>scientific research fund of the Sichuan provincial education department [15TD0026, 18ZA0232, 15ZA0278]; National college students innovation and entrepreneurship training program [201510649042]</t>
  </si>
  <si>
    <t>scientific research fund of the Sichuan provincial education department; National college students innovation and entrepreneurship training program</t>
  </si>
  <si>
    <t>The work was supported by the scientific research fund of the Sichuan provincial education department (Grant NO: 15TD0026, 18ZA0232 and 15ZA0278) and National college students innovation and entrepreneurship training program (Grant NO: 201510649042).</t>
  </si>
  <si>
    <t>978-0-7354-1657-4</t>
  </si>
  <si>
    <t>10.1063/1.5034300</t>
  </si>
  <si>
    <t>BK2WZ</t>
  </si>
  <si>
    <t>WOS:000434177600048</t>
  </si>
  <si>
    <t>Lewis-Smith, RI</t>
  </si>
  <si>
    <t>Lewis-Smith, Ronald I.</t>
  </si>
  <si>
    <t>The Barrier Silence by Edward A. Wilson</t>
  </si>
  <si>
    <t>POLAR RECORD</t>
  </si>
  <si>
    <t>The drafting, publishing and subsequent reproduction of Edward Wilson's evocative and sinisterly premonitory poem, The Barrier Silence, is examined. It was written in October 1911 for Part 3 of the South Polar Times (SPT), Vol. 3, prepared and 'published' at Robert Falcon Scott's British Antarctic (Terra Nova) Expedition hut at Cape Evans, Ross Island, shortly before Wilson, Scott and three other members set off on the ill-fated South Pole journey. Wilson contributed most of the illustrative material for all three volumes of the SPT, but this poem is the only written article attributed to him, although it is possible that he was also the author of an anonymous poem. Events that may have influenced Wilson to write his poem are also considered.</t>
  </si>
  <si>
    <t>[Lewis-Smith, Ronald I.] Torr Lodge, Alton Rd, Moffat DG10 9LB, Dumfriesshire, Scotland</t>
  </si>
  <si>
    <t>Lewis-Smith, RI (corresponding author), Torr Lodge, Alton Rd, Moffat DG10 9LB, Dumfriesshire, Scotland.</t>
  </si>
  <si>
    <t>ronaldlewissmith@gmail.com</t>
  </si>
  <si>
    <t>0032-2474</t>
  </si>
  <si>
    <t>1475-3057</t>
  </si>
  <si>
    <t>POLAR REC</t>
  </si>
  <si>
    <t>POLAR REC.</t>
  </si>
  <si>
    <t>10.1017/S0032247417000614</t>
  </si>
  <si>
    <t>Ecology; Environmental Sciences</t>
  </si>
  <si>
    <t>GH5RS</t>
  </si>
  <si>
    <t>WOS:000433492400001</t>
  </si>
  <si>
    <t>Xavier, JC; Gray, AD; Hughes, KA</t>
  </si>
  <si>
    <t>Xavier, Jose C.; Gray, Andrew D.; Hughes, Kevin A.</t>
  </si>
  <si>
    <t>The rise of Portuguese Antarctic research: implications for Portugal's status under the Antarctic Treaty</t>
  </si>
  <si>
    <t>Portugal has developed an active Antarctic programme over the past decade. Here, we examine Portuguese Antarctic activity using a variety of bibliometric measures, showing that Portuguese scientific output has grown substantially faster than the field as a whole, with quality remaining broadly constant. Antarctic science made up a growing percentage of overall Portuguese research, up to 0.14% of all papers in 2016-a level comparable to many other nations with well-established research programmes. Alongside this, Portugal has increasingly engaged in policy discussions and produced policy papers for Antarctic Treaty Consultative Meetings, some of which were based on Portuguese environmental science. The Antarctic Treaty reserves decision-making powers to 'Consultative Parties'-those who have been recognised as demonstrating substantial research activity in the continent. Our data indicates that Portugal is currently the fourth most productive non-Consultative Party, and has similar or greater output than several Parties who have already attained consultative status-its publication record is similar to that of the Czech Republic, which became a Consultative Party in 2014. The rapid growth of Portugal's Antarctic research may make it well placed to consider attaining consultative status to the Antarctic Treaty in the near future.</t>
  </si>
  <si>
    <t>[Xavier, Jose C.] Univ Coimbra, Dept Life Sci, Marine &amp; Environm Sci Ctr MARE, P-3004517 Coimbra, Portugal; [Xavier, Jose C.; Gray, Andrew D.; Hughes, Kevin A.] British Antarctic Survey, NERC, Madingley Rd, Cambridge CB3 0ET, England</t>
  </si>
  <si>
    <t>Universidade de Coimbra; UK Research &amp; Innovation (UKRI); Natural Environment Research Council (NERC); NERC British Antarctic Survey</t>
  </si>
  <si>
    <t>Xavier, JC (corresponding author), Univ Coimbra, Dept Life Sci, Marine &amp; Environm Sci Ctr MARE, P-3004517 Coimbra, Portugal.;Xavier, JC (corresponding author), British Antarctic Survey, NERC, Madingley Rd, Cambridge CB3 0ET, England.</t>
  </si>
  <si>
    <t>jccx@cantab.net</t>
  </si>
  <si>
    <t>Hughes, Kevin/JVZ-0793-2024; Xavier, José/KFB-6739-2024; Gray, Andrew/N-8860-2019</t>
  </si>
  <si>
    <t>Gray, Andrew/0000-0002-2910-3033; /0000-0002-9621-6660</t>
  </si>
  <si>
    <t>Investigator FCT programme [IF/00616/2013]; FCT [MARE-UID/MAR/04292/2013]; NERC core funding; NERC [bas010011] Funding Source: UKRI</t>
  </si>
  <si>
    <t>Investigator FCT programme(Fundacao para a Ciencia e a Tecnologia (FCT)); FCT(Fundacao para a Ciencia e a Tecnologia (FCT)); NERC core funding; NERC(UK Research &amp; Innovation (UKRI)Natural Environment Research Council (NERC))</t>
  </si>
  <si>
    <t>We thank the FCT and the Ministry of Foreign Affairs of Portugal for their work in the national delegation to the Antarctic Treaty since 2013. This work is an international effort under SCAR associated programmes, expert and action groups, namely SCAR AnT-ERA, SCAR Ant-ECO and ICED. JX was supported by the Investigator FCT programme (IF/00616/2013) and this study benefited from MARE's strategic programme, financed by FCT (MARE-UID/MAR/04292/2013). The work contributes to the British Antarctic Survey (BAS) Environment Office Long Term Monitoring and Survey project (EO-LTMS), and AG and KH are supported by NERC core funding to BAS.</t>
  </si>
  <si>
    <t>10.1017/S0032247417000626</t>
  </si>
  <si>
    <t>WOS:000433492400002</t>
  </si>
  <si>
    <t>Noor, LHW; van der Kroef, DA; Wattam, D; Pinnock, M; van Rossum, R; Smit, MG; Brussaard, CPD</t>
  </si>
  <si>
    <t>Noor, Liesbeth H. W.; van der Kroef, Dick A.; Wattam, David; Pinnock, Michael; van Rossum, Ronald; Smit, Marck G.; Brussaard, Corina P. D.</t>
  </si>
  <si>
    <t>Innovative transportable laboratories for polar science</t>
  </si>
  <si>
    <t>WESTERN ANTARCTIC PENINSULA; INTERANNUAL VARIABILITY; SOUTHERN-OCEAN; CLIMATE-CHANGE; SEA-ICE; PHYTOPLANKTON</t>
  </si>
  <si>
    <t>The Netherlands Organisation for Scientific Research and the British Antarctic Survey have built a transportable laboratory facility, named the Dirck Gerritsz Laboratory, to accommodate new scientific research on and from the western Antarctic Peninsula. The design provides a flexible, modular, plug-and-play, innovative and sustainable laboratory setup. The docking station houses four 20-foot ISO standard high-cube containers, each of which contains a different laboratory. Special technological features were used to minimise the environmental impact. The four laboratory containers are flexible and can be installed and used as required, and renewed or removed when necessary. The container laboratories have provided, since opening in 2013, enhanced facilities for global climate change research through studying the community composition of phytoplankton; the ecological impact of virus-induced mortality in different phytoplankton groups; dimethylsulphide and brominated compound fluxes; and CO2 concentrations and trace elements in sea water. Transportable research laboratory facilities provide an effective and efficient approach for undertaking scientific research in challenging environments and might be the start of a new way of undertaking research, including exchanging laboratory modules between research stations in Antarctica.</t>
  </si>
  <si>
    <t>[Noor, Liesbeth H. W.; van der Kroef, Dick A.] NWO, Laan van NOI 300, NL-2593 CE The Hague, Netherlands; [Noor, Liesbeth H. W.] Univ Utrecht, Dept Biol, Utrecht, Netherlands; [Wattam, David; Pinnock, Michael] British Antarctic Survey, NERC, Madingley Rd, Cambridge CB3 0ET, England; [van Rossum, Ronald] JM Serv, Watertoren 11, NL-3247 CL Dirksland, Netherlands; [Smit, Marck G.] NIOZ Royal Netherlands Inst Sea Res, Landsdiep 4, NL-1797 SZ T Horntje, Texel, Netherlands; [Brussaard, Corina P. D.] NIOZ Royal Netherlands Inst Sea Res, Dept Microbiol &amp; Biogeochem, Landsdiep 4, NL-1797 SZ T Horntje, Texel, Netherlands; [Brussaard, Corina P. D.] Univ Utrecht, Utrecht, Netherlands</t>
  </si>
  <si>
    <t>Utrecht University; UK Research &amp; Innovation (UKRI); Natural Environment Research Council (NERC); NERC British Antarctic Survey; Utrecht University; Royal Netherlands Institute for Sea Research (NIOZ); Utrecht University; Royal Netherlands Institute for Sea Research (NIOZ); Utrecht University</t>
  </si>
  <si>
    <t>Noor, LHW (corresponding author), NWO, Laan van NOI 300, NL-2593 CE The Hague, Netherlands.;Noor, LHW (corresponding author), Univ Utrecht, Dept Biol, Utrecht, Netherlands.</t>
  </si>
  <si>
    <t>lhwnoor@yahoo.co.uk</t>
  </si>
  <si>
    <t>Dutch Ministry for Education, Science and Culture; Netherlands Organisation for Scientific Research; UK Natural Environment Research Council; NERC [bas010011] Funding Source: UKRI</t>
  </si>
  <si>
    <t>Dutch Ministry for Education, Science and Culture; Netherlands Organisation for Scientific Research(Netherlands Organization for Scientific Research (NWO)); UK Natural Environment Research Council(UK Research &amp; Innovation (UKRI)Natural Environment Research Council (NERC)); NERC(UK Research &amp; Innovation (UKRI)Natural Environment Research Council (NERC))</t>
  </si>
  <si>
    <t>This project received financial support from the Dutch Ministry for Education, Science and Culture and the Netherlands Organisation for Scientific Research. BAS and Rothera Research Station are funded by the UK Natural Environment Research Council.</t>
  </si>
  <si>
    <t>10.1017/S0032247418000050</t>
  </si>
  <si>
    <t>WOS:000433492400003</t>
  </si>
  <si>
    <t>de Albuquerque, MP; Putzke, J; Schünemann, AL; Vieira, FCB; Victoria, FD; Pereira, AB</t>
  </si>
  <si>
    <t>de Albuquerque, Margeli Pereira; Putzke, Jair; Schunemann, Adriano Luis; Beber Vieira, Frederico Costa; Victoria, Filipe de Carvalho; Pereira, Antonio Batista</t>
  </si>
  <si>
    <t>Colonisation of stranded whale bones by lichens and mosses at Hennequin Point, King George Island, Antarctica</t>
  </si>
  <si>
    <t>XANTHORIA-PARIETINA; CLIMATE-CHANGE; GROWTH; RANGE</t>
  </si>
  <si>
    <t>This paper presents the details of lichens and mosses found on whale vertebrae substratum in the Admiralty Bay area, King George Island, Antarctica. Samples were taken in the coastal area at Hennequin Point, a relict of the Antarctic whaling era. The samples were collected from the upper surface of the whale bones found in the study area during the austral summer 2010-2011. A total of 15 lichen and two moss species were found. All species sampled are known in the Admiralty Bay area, both as pioneers and in more advanced succession stages in ice-free areas. These results suggest that the colonisation of whale bones is not new for Antarctic plants, but it is an additional substrate on which these plants can develop. A map showing the distribution of colonised bones and details of the usual substrata for the lichens and mosses found in this study are provided.</t>
  </si>
  <si>
    <t>[de Albuquerque, Margeli Pereira; Putzke, Jair; Schunemann, Adriano Luis; Beber Vieira, Frederico Costa; Victoria, Filipe de Carvalho; Pereira, Antonio Batista] Antarctic Plants Studies Core NEVA UNIPAMPA, INCT APA, Antonio Trilha Ave 1847, Sao Gabriel, RS, Brazil; [Putzke, Jair] Univ Santa Cruz do Sul, Independencia Ave 2293, Santa Cruz, RS, Brazil</t>
  </si>
  <si>
    <t>Universidade de Santa Cruz do Sul</t>
  </si>
  <si>
    <t>Victoria, FD (corresponding author), Antarctic Plants Studies Core NEVA UNIPAMPA, INCT APA, Antonio Trilha Ave 1847, Sao Gabriel, RS, Brazil.</t>
  </si>
  <si>
    <t>filipevictoria@unipampa.edu.br</t>
  </si>
  <si>
    <t>Victoria, Filipe/F-6066-2013; Victoria, Filipe C/E-1890-2012; Pereira, Antonio/AAD-5703-2019; Pereira, Antonio B/I-8201-2014; Schünemann, Adriano Luis/AAN-1224-2020; Putzke, Jair/P-9380-2019</t>
  </si>
  <si>
    <t>Victoria, Filipe/0000-0002-8580-1813; Pereira, Antonio B/0000-0003-0368-4594; Schünemann, Adriano Luis/0000-0001-7227-7074;</t>
  </si>
  <si>
    <t>National Council for Research and Development (CNPq) [574018/2008]; Research Foundation of the State of Rio de Janeiro (FAPERJ) [E-26/170.023/2008]; Ministry of Environment (MMA); Ministry of Science and Technology (MCT); Interministerial Commission for Sea Resources (CIRM)</t>
  </si>
  <si>
    <t>National Council for Research and Development (CNPq)(Conselho Nacional de Desenvolvimento Cientifico e Tecnologico (CNPQ)); Research Foundation of the State of Rio de Janeiro (FAPERJ)(Fundacao Carlos Chagas Filho de Amparo a Pesquisa do Estado do Rio De Janeiro (FAPERJ)); Ministry of Environment (MMA); Ministry of Science and Technology (MCT); Interministerial Commission for Sea Resources (CIRM)</t>
  </si>
  <si>
    <t>This work was supported by the Brazilian Antarctic Program through the National Council for Research and Development (CNPq; process no. 574018/2008), Research Foundation of the State of Rio de Janeiro (FAPERJ; process E-26/170.023/2008), Ministry of Environment (MMA), Ministry of Science and Technology (MCT) and Interministerial Commission for Sea Resources (CIRM), whom the authors thank for the financial and logistic support needed to perform this study.</t>
  </si>
  <si>
    <t>10.1017/S0032247418000062</t>
  </si>
  <si>
    <t>WOS:000433492400004</t>
  </si>
  <si>
    <t>Rosove, MH</t>
  </si>
  <si>
    <t>Rosove, Michael H.</t>
  </si>
  <si>
    <t>Who discovered the emperor penguin? A historical survey from James Cook to Robert F. Scott</t>
  </si>
  <si>
    <t>The emperor penguin (Aptenodytes forsteri) is an iconic Antarctic species. George Robert Gray attributed the first description to Johann Reinhold Forster during James Cook's voyage of 1772-1775, attribution that persists to this day. Gray therefore honoured Forster in the emperor's scientific name-but he was almost certainly mistaken. Thaddeus von Bellingshausen in 1820 was probably the true first observer. Charles Wilkes in 1840 was next. James Clark Ross in 1841 made important observations and brought specimens home to the British Museum. Edward Wilson and others, in 1902-1903 and 1911 on the two expeditions of Robert F. Scott, discovered and investigated the first breeding colony, substantially advancing knowledge about this remarkable creature.</t>
  </si>
  <si>
    <t>[Rosove, Michael H.] POB 3356, Santa Monica, CA 90408 USA</t>
  </si>
  <si>
    <t>Rosove, MH (corresponding author), POB 3356, Santa Monica, CA 90408 USA.</t>
  </si>
  <si>
    <t>mrosove@gmail.com</t>
  </si>
  <si>
    <t>10.1017/S0032247418000104</t>
  </si>
  <si>
    <t>WOS:000433492400006</t>
  </si>
  <si>
    <t>Nielsen, HEF; Jaksic, C</t>
  </si>
  <si>
    <t>Nielsen, Hanne E. F.; Jaksic, Cyril</t>
  </si>
  <si>
    <t>Recruitment advertising for Antarctic personnel: between adventure and routine</t>
  </si>
  <si>
    <t>ENVIRONMENTS; PSYCHOLOGY</t>
  </si>
  <si>
    <t>This paper examines how Antarctica has been depicted in recruitment material, and compares the expectations set up in the advertising imagery with the reality of expeditioners' experiences. Textual analyses of advertisements and job descriptions are used to reveal dominant themes, including the trope of extremity, while interviews with those who have spent time on the ice provide reflections on the actual challenges encountered when working in Antarctica, such as boredom. Much of the popular discourse around Antarctica continues to centre on the Heroic Era (1895-1922), a time of exploration typified by men pitting themselves against nature and striding out into unchartered expanses of ice. Although modern day life on Antarctic stations differs markedly from the extreme conditions experienced by early explorers, the continent continues to be associated with notions of toughness and extremity. We argue that in some cases, advertisements may actually target the wrong audience. This has important implications for how an Antarctic station as a workplace is conceptualised, and then experienced by those who head south, with potential detrimental effects.</t>
  </si>
  <si>
    <t>[Nielsen, Hanne E. F.] Univ Tasmania, Hobart, Tas, Australia; [Jaksic, Cyril] Lincoln Univ, Lincoln, New Zealand</t>
  </si>
  <si>
    <t>Nielsen, HEF (corresponding author), Univ Tasmania, Hobart, Tas, Australia.</t>
  </si>
  <si>
    <t>Hanne.Nielsen@utas.edu.au; Cyril.Jaksic@lincolnuni.ac.nz</t>
  </si>
  <si>
    <t>Jaksic, Cyril/GXI-0084-2022; Nielsen, Hanne E F/I-4472-2014</t>
  </si>
  <si>
    <t>Jaksic, Cyril/0000-0001-5835-3480; Nielsen, Hanne E F/0000-0002-2761-7727</t>
  </si>
  <si>
    <t>10.1017/S0032247418000207</t>
  </si>
  <si>
    <t>WOS:000433492400008</t>
  </si>
  <si>
    <t>Aguilera, E; Mazzoni, E; Rabassa, J</t>
  </si>
  <si>
    <t>Mazzoni, E; Rabassa, J</t>
  </si>
  <si>
    <t>Aguilera, Emilia; Mazzoni, Elizabeth; Rabassa, Jorge</t>
  </si>
  <si>
    <t>Patagonian Cenozoic Magmatic Activity</t>
  </si>
  <si>
    <t>VOLCANIC LANDSCAPES AND ASSOCIATED WETLANDS OF LOWLAND PATAGONIA</t>
  </si>
  <si>
    <t>Latin American Studies Book Series</t>
  </si>
  <si>
    <t>Cenozoic volcanism; Patagonia; Tectono-magmatic activity; Tectonic plate configuration</t>
  </si>
  <si>
    <t>SOUTHERN CENTRAL ANDES; AIKE VOLCANIC FIELD; SLAB WINDOW MAGMAS; RIDGE SUBDUCTION; PLATEAU BASALTS; BUENOS-AIRES; CHILE; PLIOCENE; DEFORMATION; ARGENTINA</t>
  </si>
  <si>
    <t>The geodynamic Cenozoic evolution has been dominated by the wide subduction of the Chilean dorsal, the cause of diverse magmatic and structural phenomena. During the Cenozoic, a large portion of extra-Andean Patagonia was the scenario of the outpouring of huge lava volumes, with the extrusion of basaltic magmas located immediately located east of the Andean Ranges. Several authors have studied these volcanic events for the different sectors and have proposed various theories about their origin, based upon the configuration of the tectonic plates and the subduction of the dorsal since the Paleogene. The changes in the convergence of the plates rule the tectono-magmatic activity of Patagonia. The basaltic magmatism of a mostly alkaline character from the latitude of the Taitao Peninsula towards the north is related to one dorsal/continent collision event (Farallon-Aluk-South American Plate) which took place at the beginning of the Paleogene (66 Ma) and culminated in the Late Oligocene-Early Miocene with the basalts of the Somuncura Meseta. Contrarily, after the Early Miocene the basalts corresponded to a retro-arc environment installed by the Nazca Plate subduction. Besides, from the latitude of the Taitao Peninsula towards the south, two collision events between the ocean and the continent are recorded, the collision of the Farallon-Aluk-South American Plate in the Paleogene, on one hand, and the Antarctic Plate-South American Plate collision in the Neogene, on the other. The outcrops of extrusion rocks correspond to lava flows and basaltic plateau that cover a great extension. These eruptions generated extensive and thick volcanic plains composed by a superposition of lava flows. Later on, the region was the scenario of denudation erosion processes where the landforms that characterize the landscape of extra-Andean Patagonia are composed of volcanic tablelands due to their extension and time occurrence. The plains are largely forming high tablelands which are typical examples of inverted landscapes, with the largest landforms corresponding to high volcanic tablelands around 1000-1400 m above sea level.</t>
  </si>
  <si>
    <t>[Aguilera, Emilia] Univ Nacl La Plata, Fac Nat Sci &amp; Museum, La Plata, Buenos Aires, Argentina; [Mazzoni, Elizabeth] Univ Nacl Patagonia Austral UARG UNPA, Unidad Acad Rio Gallegos, Rio Gallegos, Argentina; [Rabassa, Jorge] CADIC CONICET, Lab Geomorfol, Ushuaia, Argentina; [Rabassa, Jorge] Univ Nacl Tierra Fuego, Ushuaia, Argentina</t>
  </si>
  <si>
    <t>National University of La Plata; Museo La Plata; Consejo Nacional de Investigaciones Cientificas y Tecnicas (CONICET)</t>
  </si>
  <si>
    <t>Aguilera, E (corresponding author), Univ Nacl La Plata, Fac Nat Sci &amp; Museum, La Plata, Buenos Aires, Argentina.</t>
  </si>
  <si>
    <t>yoly_aguilera@hotmail.com; elimazzoni@yahoo.com.ar; jrabassa@gmail.com</t>
  </si>
  <si>
    <t>2366-3421</t>
  </si>
  <si>
    <t>2366-343X</t>
  </si>
  <si>
    <t>978-3-319-71921-4; 978-3-319-71920-7</t>
  </si>
  <si>
    <t>LAT AM STUD BOOK SER</t>
  </si>
  <si>
    <t>Lat. Amer. Stud. Book Ser.</t>
  </si>
  <si>
    <t>10.1007/978-3-319-71921-4_2</t>
  </si>
  <si>
    <t>10.1007/978-3-319-71921-4</t>
  </si>
  <si>
    <t>BK1MZ</t>
  </si>
  <si>
    <t>WOS:000431910900002</t>
  </si>
  <si>
    <t>Senatore, MX</t>
  </si>
  <si>
    <t>Ximena Senatore, Maria</t>
  </si>
  <si>
    <t>Tourism and archaeological sites in the Shetland Islands of the South, Antarctica</t>
  </si>
  <si>
    <t>PASOS-REVISTA DE TURISMO Y PATRIMONIO CULTURAL</t>
  </si>
  <si>
    <t>Antarctica; Archaeology; Tourism; Impact; Heritage; Education; 19th century whalers-sealers</t>
  </si>
  <si>
    <t>HISTORIC SITES; SEALING SITES; CHALLENGES; TRENDS</t>
  </si>
  <si>
    <t>been developing for the last three decades. Archaeology has provided information about sealer's everyday experiences in land as well as the relationship of sealing and whaling to global capitalism expansion. Site conservation has also been a focus of concern for researchers, despite no specific actions having been undertaken yet in the context of the Antarctic Treaty System. We consider tourism developed in the South Shetland Island as an opportunity to make visible the oldest sites in Antarctica and their historical significance. The aim of this study was to assess the overlap of nineteenth century sealers-whalers archaeological remains and tourist activities by analyzing the distribution of the archaeological sites identified by scientific research and the landing points in the South Shetland Islands used by tourism in the last decade. Location information from archaeological research projects was compared with the International Association of Antarctic Tour Operators' statistic records of landings in the islands. The analysis on the characteristics and temporal trends of tourism in South Shetland Islands, contributes to the future elaboration of specific proposals for visitant education, human impact evaluation and decision-making process for the conservation of the historical remains.</t>
  </si>
  <si>
    <t>[Ximena Senatore, Maria] Univ Buenos Aires, CONICET INAPL, Buenos Aires, DF, Argentina; [Ximena Senatore, Maria] Univ Nacl Patagonia Austral, Rio Gallegos, Argentina</t>
  </si>
  <si>
    <t>Consejo Nacional de Investigaciones Cientificas y Tecnicas (CONICET); University of Buenos Aires; Universidad Nacional de la Patagonia San Juan Bosco</t>
  </si>
  <si>
    <t>Senatore, MX (corresponding author), Univ Buenos Aires, CONICET INAPL, Buenos Aires, DF, Argentina.</t>
  </si>
  <si>
    <t>mxsenatore@conicet.gov.ar</t>
  </si>
  <si>
    <t>Senatore, Maria Ximena/AAX-5863-2021</t>
  </si>
  <si>
    <t>Senatore, Maria Ximena/0000-0002-7509-9020</t>
  </si>
  <si>
    <t>GOBIERNO CANARIAS, CONSEJERIA EDUCACION CULTURA &amp; DEPORTES</t>
  </si>
  <si>
    <t>CANARIAS</t>
  </si>
  <si>
    <t>AVE DE ANAGUA, SANTA CRUZ TENERIFE, CANARIAS, 38001, SPAIN</t>
  </si>
  <si>
    <t>1695-7121</t>
  </si>
  <si>
    <t>PASOS</t>
  </si>
  <si>
    <t>Pasos</t>
  </si>
  <si>
    <t>10.25145/j.pasos.2018.16.007</t>
  </si>
  <si>
    <t>Hospitality, Leisure, Sport &amp; Tourism</t>
  </si>
  <si>
    <t>GG4PI</t>
  </si>
  <si>
    <t>WOS:000432678300007</t>
  </si>
  <si>
    <t>Liu, XY; Li, WL; Zhou, AG</t>
  </si>
  <si>
    <t>Liu, Xiangyong; Li, Wanli; Zhou, Aiguo</t>
  </si>
  <si>
    <t>PNGV Equivalent Circuit Model and SOC Estimation Algorithm for Lithium Battery Pack Adopted in AGV Vehicle</t>
  </si>
  <si>
    <t>Lithium battery; PNGV model; voltage correction; resistance correction method; Kalman filter method</t>
  </si>
  <si>
    <t>STATE-OF-CHARGE; ION BATTERY; MANAGEMENT-SYSTEMS; ELECTRIC VEHICLES; PARAMETER-ESTIMATION; PART 2; HEALTH; PREDICTION</t>
  </si>
  <si>
    <t>Lithium battery is promising to power AGV vehicle. Given the inaccuracy of the state-ofcharge (SOC) estimation, a partnership for a new generation of vehicle (PNGV) battery model is established, and an open-circuit voltage method is proposed in this paper. The model's parameters in different SOC state are calculated through the lithium battery's charge and discharge process; the internal resistance correction method and Kalman filter method are proposed separately on the basis of PNGV model. On that basis, the two methods are simulated and experimented to attain the open-circuit voltage and battery SOC. As indicated from the experimental results, the PNGV model is precise and able to describe the characterizations of battery in the discharge process. The accumulated error and inaccurate estimation of the initial value by the ampere-hour (or current integration) approach can be avoided through adopting the SOC estimations effectively. Additionally, the estimated SOC can be maintained highly accurate.</t>
  </si>
  <si>
    <t>[Liu, Xiangyong; Li, Wanli; Zhou, Aiguo] Tongji Univ, Sch Mech Engn, Shanghai 200092, Peoples R China</t>
  </si>
  <si>
    <t>Liu, XY (corresponding author), Tongji Univ, Sch Mech Engn, Shanghai 200092, Peoples R China.</t>
  </si>
  <si>
    <t>1510280@tongji.edu.cn</t>
  </si>
  <si>
    <t>Qingdao Ocean Science and Technology National Laboratory Aoshan Science and Technology Innovation Project [2016ASKJ10]; Aerospace Subproject [921-X-X]; Science and Technology Research Projects, the Antarctic</t>
  </si>
  <si>
    <t>Qingdao Ocean Science and Technology National Laboratory Aoshan Science and Technology Innovation Project; Aerospace Subproject; Science and Technology Research Projects, the Antarctic</t>
  </si>
  <si>
    <t>This work was supported in part by the Qingdao Ocean Science and Technology National Laboratory Aoshan Science and Technology Innovation Project under Grant 2016ASKJ10, in part by the Contribution of Aerospace Subproject (921-X-X), and in part by the Science and Technology Research Projects, the Antarctic.</t>
  </si>
  <si>
    <t>10.1109/ACCESS.2018.2812421</t>
  </si>
  <si>
    <t>GG3LH</t>
  </si>
  <si>
    <t>WOS:000432592800001</t>
  </si>
  <si>
    <t>Siegert, MJ; Jamieson, SSR; White, D</t>
  </si>
  <si>
    <t>Siegert, Martin J.; Jamieson, Stewart S. R.; White, Duanne</t>
  </si>
  <si>
    <t>Exploration of subsurface Antarctica: uncovering past changes and modern processes</t>
  </si>
  <si>
    <t>SOUTHERN-OCEAN SCIENCE; ICE-SHEET; THICKNESS; BENEATH; BED</t>
  </si>
  <si>
    <t>The Antarctic continent, which contains enough ice to raise sea level globally by around 60 m, is the last major scientific frontier on our planet. We know far more about the surfaces of the Moon, Mars and around half of Pluto than we do about the underside of the Antarctic ice sheet. Geophysical exploration is the key route to measuring the ice sheetas internal structure and the land on which the ice rests. From such measurements, we are able to reveal how the ice sheet flows, and how it responds to atmospheric and ocean warming. By examining landscapes that have been moulded by former ice flow, we are able to identify how the ice sheet behaved in the past. Geophysics is therefore critical to understanding change in Antarctica.</t>
  </si>
  <si>
    <t>[Siegert, Martin J.] Imperial Coll London, Grantham Inst, London SW7 2AZ, England; [Siegert, Martin J.] Imperial Coll London, Dept Earth Sci &amp; Engn, London SW7 2AZ, England; [Jamieson, Stewart S. R.] Univ Durham, Dept Geog, South Rd, Durham DH1 3LE, England; [White, Duanne] Univ Canberra, Inst Appl Ecol, Canberra, ACT 2617, Australia</t>
  </si>
  <si>
    <t>Imperial College London; Imperial College London; Durham University; University of Canberra</t>
  </si>
  <si>
    <t>Siegert, MJ (corresponding author), Imperial Coll London, Grantham Inst, London SW7 2AZ, England.;Siegert, MJ (corresponding author), Imperial Coll London, Dept Earth Sci &amp; Engn, London SW7 2AZ, England.</t>
  </si>
  <si>
    <t>m.siegert@imperial.ac.uk</t>
  </si>
  <si>
    <t>White, Duanne A/E-6919-2012; Jamieson, Stewart S.R./B-8330-2013; Siegert, Martin/M-9939-2019</t>
  </si>
  <si>
    <t>Jamieson, Stewart S.R./0000-0002-9036-2317; Siegert, Martin/0000-0002-0090-4806; White, Duanne/0000-0003-0740-2072</t>
  </si>
  <si>
    <t>10.1144/SP461.15</t>
  </si>
  <si>
    <t>Green Submitted, Green Accepted, Green Published, hybrid</t>
  </si>
  <si>
    <t>WOS:000431852000001</t>
  </si>
  <si>
    <t>Siegert, MJ</t>
  </si>
  <si>
    <t>Siegert, Martin J.</t>
  </si>
  <si>
    <t>A 60-year international history of Antarctic subglacial lake exploration</t>
  </si>
  <si>
    <t>SOUTHERN-OCEAN SCIENCE; ICE-SHEET; EAST ANTARCTICA; WEST ANTARCTICA; VOSTOK REGION; INVENTORY; BENEATH; FRAMEWORK; SYSTEM</t>
  </si>
  <si>
    <t>In January 2013, the US WISSARD programme measured and sampled Lake Whillans, a subglacial water body at the edge of West Antarctica, in a clean and environmentally sensitive manner, proving the existence of microbial life beneath this part of the ice sheet. The success of WISSARD represented a benchmark in the exploration of Antarctica, made possible by a rich and diverse history of events, discoveries and discussions over the past 60 years, ranging from geophysical measurement of subglacial lakes to the development of scientific hypotheses concerning these environments and the engineering solutions required to test them. In this article, I provide a personal account of this history, from the published literature and my own involvement in subglacial lake exploration over the last 20 years. I show that our ability to directly measure and sample subglacial water bodies in Antarctica has been made possible by a strong theme of international collaboration, at odds with the media representation of a scientific `race' between nations. I also consider plans for subglacial lake exploration and discuss how such collaboration is likely to be key to success of future research in this field.</t>
  </si>
  <si>
    <t>[Siegert, Martin J.] Imperial Coll London, Grantham Inst, London SW7 2AZ, England; [Siegert, Martin J.] Imperial Coll London, Dept Earth Sci &amp; Engn, London SW7 2AZ, England</t>
  </si>
  <si>
    <t>Imperial College London; Imperial College London</t>
  </si>
  <si>
    <t>Siegert, Martin/M-9939-2019</t>
  </si>
  <si>
    <t>Siegert, Martin/0000-0002-0090-4806</t>
  </si>
  <si>
    <t>NERC [NE/K004956/2, NE/G00465X/2, NE/G00465X/3, NE/G00465X/1] Funding Source: UKRI</t>
  </si>
  <si>
    <t>10.1144/SP461.5</t>
  </si>
  <si>
    <t>Green Submitted, hybrid</t>
  </si>
  <si>
    <t>WOS:000431852000002</t>
  </si>
  <si>
    <t>White, DA; Bennike, O; Melles, M; Berg, S; Binnie, SA</t>
  </si>
  <si>
    <t>White, Duanne A.; Bennike, Ole; Melles, Martin; Berg, Sonja; Binnie, Steven A.</t>
  </si>
  <si>
    <t>Was South Georgia covered by an ice cap during the Last Glacial Maximum?</t>
  </si>
  <si>
    <t>SCHMIDT HAMMER; EXPOSURE AGES; GEOMORPHOLOGY; DEGLACIATION; MOUNTAINS; EXTENT; BE-10; RATES</t>
  </si>
  <si>
    <t>The behaviour of ice caps and glaciers on sub-Antarctic islands during previous periods of warming provide key empirical evidence for understanding the behaviour of marine ice sheets in the future. However, the extent of ice on sub-Antarctic islands during the last 100 kyr is poorly constrained. Here, we investigate the past glacial extents on South Georgia, where previous Last Glacial Maximum (LGM) reconstructions vary between small fjord-terminating glaciers and a large marine based ice sheet. To help resolve this uncertainty, we apply Schmidt hammer relative-age dating to measure rock hardness and, thus, exposure age of a range of glacial deposits. Applying a hardness-age calibration curve constructed from well-dated Holocene, late-glacial deposits and terminal LGM deposits, we determine that deglaciation of the approximately 600 m-high peaks on the outer Lewin Peninsula occurred during the latter half of the last glacial stage, and probably the end of the LGM. We infer that South Georgia was covered by a marine-based ice cap during the latter part of the last glacial stage.</t>
  </si>
  <si>
    <t>[White, Duanne A.] Univ Canberra, Inst Appl Ecol, Canberra, ACT 2617, Australia; [Bennike, Ole] Geol Survey Denmark &amp; Greenland, Oster Voldgade 10, DK-1350 Copenhagen K, Denmark; [Melles, Martin; Berg, Sonja; Binnie, Steven A.] Univ Cologne, Inst Geol &amp; Mineral, Zulpicher Str 49, D-50674 Cologne, Germany</t>
  </si>
  <si>
    <t>University of Canberra; Geological Survey Of Denmark &amp; Greenland; University of Cologne</t>
  </si>
  <si>
    <t>White, DA (corresponding author), Univ Canberra, Inst Appl Ecol, Canberra, ACT 2617, Australia.</t>
  </si>
  <si>
    <t>duanne.white@canberra.edu.au</t>
  </si>
  <si>
    <t>Berg, Sonja/AAW-3817-2021; White, Duanne A/E-6919-2012; Melles, Martin/J-4070-2012; Binnie, Steven/M-7507-2015; Bennike, Ole/G-7070-2018</t>
  </si>
  <si>
    <t>Melles, Martin/0000-0003-0977-9463; Binnie, Steven/0000-0003-0883-0212; Bennike, Ole/0000-0002-5486-9946; Berg, Sonja/0000-0002-9629-6007; White, Duanne/0000-0003-0740-2072</t>
  </si>
  <si>
    <t>10.1144/SP461.4</t>
  </si>
  <si>
    <t>WOS:000431852000005</t>
  </si>
  <si>
    <t>Casas, D; García, M; Bohoyo, F; Maldonado, A; Ercilla, G</t>
  </si>
  <si>
    <t>Casas, D.; Garcia, M.; Bohoyo, F.; Maldonado, A.; Ercilla, G.</t>
  </si>
  <si>
    <t>The Gebra-Magia Complex: mass-transport processes reworking trough-mouth fans in the Central Bransfield Basin (Antarctica)</t>
  </si>
  <si>
    <t>SEDIMENTARY PROCESSES; CONTINENTAL-SLOPE; TECTONIC EVOLUTION; PENINSULA MARGIN; MORPHOLOGY; SLIDE; SEA; DEPOSITS; STRAIT; RIDGE</t>
  </si>
  <si>
    <t>The Gebra-Magia Complex is an important example of a submarine mass-movement composite located on the lower continental slope of the Antarctic Peninsula (Central Bransfield Basin). Continuous instability dynamics over time is inferred to have affected the palaeo-troughmouth fans present in the study area. The depositional architecture and the outstanding relief of the Gebra Valley, which is the most striking morphological feature in the area, determine the asymmetrical morphology of the complex. This complex is characterized, from east to west, by an open-slope margin flanking the sidewall of the Gebra Valley, the Gebra Valley itself and a SW margin that is connected to the Magia area by a large scar approximately 7.8 km to the SW. The Gebra Valley is a Quaternary debris valley resulting from repeated large-scale mass-transport and cut-and-fill processes. In contrast, the Magia area is dominated by unchannelized sedimentary instability processes, resulting in a different sedimentary architecture and morphology. The near-surface sediments in the Gebra-Magia Complex document the continuous occurrence of recent mass movements, as also evidenced by flows transported downslope as unchannelized or channelized flows. Climate and tectonic activity are considered the primary factors controlling the development of the complex.</t>
  </si>
  <si>
    <t>[Casas, D.; Bohoyo, F.] Inst Geol &amp; Minero Espana, 23 Rios Rosas, Madrid 28003, Spain; [Garcia, M.; Maldonado, A.] Inst Andaluz Ciencias Tierra, 4 Ave Palmeras, Granada 18100, Spain; [Ercilla, G.] Inst Ciencies Mar CSIC, 37-49 Passeig Maritim Barceloneta, Barcelona 08003, Spain</t>
  </si>
  <si>
    <t>Consejo Superior de Investigaciones Cientificas (CSIC); CSIC - Instituto Andaluz de Ciencias de la Tierra (IACT); Consejo Superior de Investigaciones Cientificas (CSIC); CSIC - Centro Mediterraneo de Investigaciones Marinas y Ambientales (CMIMA); CSIC - Instituto de Ciencias del Mar (ICM)</t>
  </si>
  <si>
    <t>Casas, D (corresponding author), Inst Geol &amp; Minero Espana, 23 Rios Rosas, Madrid 28003, Spain.</t>
  </si>
  <si>
    <t>d.casas@igme.es</t>
  </si>
  <si>
    <t>Ercilla, Gemma/G-8180-2015; Casas, David/B-9576-2009; Bohoyo, Fernando/AAZ-5990-2021; Garcia, Marga/L-7410-2014; Bohoyo, Fernando/C-1062-2011</t>
  </si>
  <si>
    <t>Casas, David/0000-0001-5258-7067; Bohoyo, Fernando/0000-0002-1044-8816; Garcia, Marga/0000-0003-2632-6132; Bohoyo, Fernando/0000-0002-1044-8816; Ercilla, Gemma/0000-0002-9709-2938</t>
  </si>
  <si>
    <t>10.1144/SP461.10</t>
  </si>
  <si>
    <t>WOS:000431852000006</t>
  </si>
  <si>
    <t>Swain, AK</t>
  </si>
  <si>
    <t>Swain, Ashit Kumar</t>
  </si>
  <si>
    <t>Bathymetry of Schirmacher lakes as a tool for geomorphological evolution studies</t>
  </si>
  <si>
    <t>ANTARCTIC PENINSULA; CLIMATE-CHANGE; SEDIMENT</t>
  </si>
  <si>
    <t>The spatial distribution of polar lakes is governed by the lithology and structure of the geological units, whereas their shape and size is modified by later fluctuations of the polar ice sheet and glacier movements. Polar lakes are the downwards integrator of the sediment action in their catchment areas. Bathymetric profiles of some proglacial, land-locked and epi-shelf lakes spread across the Schirmacher Oasis were obtained during the austral winter period of 2008 using ground-penetrating radar (GPR) to understand their evolution through space and time. Morphometric characteristics of these lakes show different depth ratios and they have different surface areas and volume proportions with depth. This study shows that the largest land-locked lake, L-49, appears to have been formed by the fusion of three sub-basins. Some of the proglacial lakes which are becoming detached from the polar ice sheet, such as lake P-11, are kettle lakes. Water from the polar ice-sheet melt has been accumulating at these lake basins, but no further aggradation processes have affected them. Some of the larger lakes such as lakes L-27, L-49 and P-9 are reworked lakes which evolved during a phase of glacial advancement and were later modified during another advancement phase. The other larger lakes such as lake E-14, E-15 and L-75 are very deep and were produced by the glacial activity associated with some weak structural fabric.</t>
  </si>
  <si>
    <t>[Swain, Ashit Kumar] Geol Survey India, Polar Studies Div, Faridabad 121001, India; [Swain, Ashit Kumar] Geol Survey India, Gangtok 737101, Sikkim, India</t>
  </si>
  <si>
    <t>Geological Survey India; Geological Survey India</t>
  </si>
  <si>
    <t>Swain, AK (corresponding author), Geol Survey India, Polar Studies Div, Faridabad 121001, India.;Swain, AK (corresponding author), Geol Survey India, Gangtok 737101, Sikkim, India.</t>
  </si>
  <si>
    <t>10.1144/SP461.13</t>
  </si>
  <si>
    <t>WOS:000431852000007</t>
  </si>
  <si>
    <t>Pandey, M; Pant, NC; Biswas, P; Shrivastava, PK; Joshi, S; Nagi, N</t>
  </si>
  <si>
    <t>Pandey, Mayuri; Pant, Naresh C.; Biswas, Paromita; Shrivastava, Prakash K.; Joshi, Sonalika; Nagi, Neety</t>
  </si>
  <si>
    <t>Heavy mineral assemblage of marine sediments as an indicator of provenance and east antarctic ice sheet fluctuations</t>
  </si>
  <si>
    <t>LATE MIOCENE; AUSTRALIA; PLIOCENE; MARGIN; OCEAN</t>
  </si>
  <si>
    <t>Records of fluctuations of the East Antarctic Ice Sheet (EAIS) are best preserved in proximal marine sediments. The examined section is a part of a drillcore at Site U1359 of IODP (Integrated Oceanic Drilling Program) 318 located at the eastern levee of Jussieau submarine channel off the coast of Wilkes Land. Drillcore U1359 from 200 mbelow seafloor (mbsf) to 600 mbsf represents samples from Mid-Miocene to Late Miocene. Heavy media separation, characterization of heavy minerals and quantification of their population were carried out using scanning electron microscopy and electron microprobe analysis. Relative abundance of various minerals at different depths revealed that amphiboles and pyroxene show antipathic relationship at some depths. Multiple sources for supply of sediments at drillhole Site U1359 have been proposed with both magmatic and metamorphic minerals and rock fragments contributing clastic sediments. Factor analysis was carried out to test this inference. Six factors were obtained out of which the first three explain 76.6% of the variance. Relating variability of the factors to the provenance allows inference of four major ice advance phases during Mid to Late Micene which are largely positively correlatable with the global climate record.</t>
  </si>
  <si>
    <t>[Pandey, Mayuri; Pant, Naresh C.] Univ Delhi, Dept Geol, Delhi, India; [Biswas, Paromita] CSIR Natl Met Lab Jamshedpur, Jamshedpur, Bihar, India; [Shrivastava, Prakash K.] Geol Survey India, Gangtok, India; [Joshi, Sonalika] Geol Survey India, Hydrabad, India; [Nagi, Neety] Cent Groundwater Board, Bhopal, India</t>
  </si>
  <si>
    <t>University of Delhi; Council of Scientific &amp; Industrial Research (CSIR) - India; CSIR - National Metallurgical Laboratory (NML); Geological Survey India; Geological Survey India</t>
  </si>
  <si>
    <t>Pant, NC (corresponding author), Univ Delhi, Dept Geol, Delhi, India.</t>
  </si>
  <si>
    <t>PANDEY, MAYURI/0000-0001-8125-8051</t>
  </si>
  <si>
    <t>10.1144/SP461.2</t>
  </si>
  <si>
    <t>WOS:000431852000008</t>
  </si>
  <si>
    <t>Wrona, T; Wolovick, MJ; Ferraccioli, F; Corr, H; Jordan, T; Siegert, MJ</t>
  </si>
  <si>
    <t>Wrona, Thilo; Wolovick, Michael J.; Ferraccioli, Fausto; Corr, Hugh; Jordan, Tom; Siegert, Martin J.</t>
  </si>
  <si>
    <t>Position and variability of complex structures in the central East Antarctic Ice Sheet</t>
  </si>
  <si>
    <t>WATER NETWORKS; ORIGIN; DOME; MOUNTAINS; PATCHES; VOSTOK; FOLDS; ZONE; FLOW; LAKE</t>
  </si>
  <si>
    <t>Although the flow of the East Antarctic Ice Sheet is well constrained from surface measurements and altimetry, our knowledge of the dynamic processes within the ice sheet remains limited. Recent high-resolution radar data from the Gamburtsev Subglacial Mountains in central East Antarctica reveal a series of anomalous englacial reflectors in the lower half of the ice column that cannot be explained by conventional ice flow. Expanding on previous analyses, we describe the geometrical and morphological features of 12 of these anomalous reflectors. Our description reveals a previously unacknowledged diversity in size, geometry and internal structure of these reflectors. We are able to identify four distinct morphological features: (1) fingers; (2) inclusions; (3) sheets; and (4) folds. The `fingers' and `inclusions' probably form by shear instabilities at the boundary between the reflectors and the surrounding meteoric ice. The `sheets' highlight that basal ice can be uplifted off of the bed and above surrounding meteoric ice, and the `folds' may have formed in local regions of converging flow associated with subglacial topography. The study provides key insights into the rheology, stress and deformational regimes deep within the central East Antarctic Ice Sheet.</t>
  </si>
  <si>
    <t>[Wrona, Thilo; Siegert, Martin J.] Imperial Coll, Dept Earth Sci &amp; Engn, Prince Consort Rd, London SW7 2BP, England; [Wrona, Thilo] Univ Bergen, Dept Earth Sci, Allegaten 41, N-5007 Bergen, Norway; [Wolovick, Michael J.] Princeton Univ, Atmospher &amp; Ocean Sci Program AOS, Princeton, NJ 08544 USA; [Ferraccioli, Fausto; Corr, Hugh; Jordan, Tom] British Antarctic Survey, Madingley Rd, Cambridge CB3 0ET, England; [Siegert, Martin J.] Imperial Coll London, Grantham Inst, London SW7 2AZ, England</t>
  </si>
  <si>
    <t>Imperial College London; University of Bergen; Princeton University; UK Research &amp; Innovation (UKRI); Natural Environment Research Council (NERC); NERC British Antarctic Survey; Imperial College London</t>
  </si>
  <si>
    <t>Wrona, T (corresponding author), Imperial Coll, Dept Earth Sci &amp; Engn, Prince Consort Rd, London SW7 2BP, England.;Wrona, T (corresponding author), Univ Bergen, Dept Earth Sci, Allegaten 41, N-5007 Bergen, Norway.</t>
  </si>
  <si>
    <t>thilo.wrona@uib.no</t>
  </si>
  <si>
    <t>Wrona, Thilo/ABH-5280-2020; Corr, Hugh/C-5398-2011; Siegert, Martin/M-9939-2019; Wolovick, Michael/JZE-0247-2024</t>
  </si>
  <si>
    <t>Wrona, Thilo/0000-0002-9707-0595; Siegert, Martin/0000-0002-0090-4806; Wolovick, Michael/0000-0002-9345-7039; Ferraccioli, Fausto/0000-0002-9347-4736</t>
  </si>
  <si>
    <t>NERC [bas0100029] Funding Source: UKRI</t>
  </si>
  <si>
    <t>10.1144/SP461.12</t>
  </si>
  <si>
    <t>WOS:000431852000009</t>
  </si>
  <si>
    <t>Wang, BB; Sun, B; Martin, C; Ferraccioli, F; Steinhage, D; Cui, XB; Siegert, MJ</t>
  </si>
  <si>
    <t>Wang, Bangbing; Sun, Bo; Martin, Carlos; Ferraccioli, Fausto; Steinhage, Daniel; Cui, Xiangbin; Siegert, Martin J.</t>
  </si>
  <si>
    <t>Summit of the East Antarctic Ice Sheet underlain by thick ice-crystal fabric layers linked to glacial-interglacial environmental change</t>
  </si>
  <si>
    <t>RADIO-WAVES; POLAR ICE; DOME-C; CORE; RADAR; POLARIZATION; ANISOTROPY; GREENLAND; MECHANISMS; MOUNTAINS</t>
  </si>
  <si>
    <t>Ice cores in Antarctica and Greenland reveal ice-crystal fabrics that can be softer under simple shear compared with isotropic ice. Owing to the sparseness of ice cores in regions away from the ice divide, we currently lack information about the spatial distribution of ice fabrics and its association with ice flow. Radio-wave reflections are influenced by ice-crystal alignments, allowing them to be tracked provided reflections are recorded simultaneously in orthogonal orientations (polarimetric measurements). Here, we image spatial variations in the thickness and extent of ice fabric across Dome A in East Antarctica, by interpreting polarimetric radar data. We identify four prominent fabric units, each several hundred metres thick, extending over hundreds of square kilometres. By tracing internal ice-sheet layering to the Vostok ice core, we are able to determine the approximate depth-age profile at Dome A. The fabric units correlate with glacial-interglacial cycles, most noticeably revealing crystal alignment contrasts between the Eemian and the glacial episodes before and after. The anisotropy within these fabric layers has a spatial pattern determined by ice flow over subglacial topography.</t>
  </si>
  <si>
    <t>[Wang, Bangbing] Zhejiang Univ, 38 Zheda Rd, Hangzhou 310027, Zhejiang, Peoples R China; [Sun, Bo; Cui, Xiangbin] Polar Res Inst China, 451 Jinqiao Rd, Shanghai 310026, Peoples R China; [Martin, Carlos; Ferraccioli, Fausto] British Antarctic Survey, Madingley Rd, Cambridge CB3 0ET, England; [Steinhage, Daniel] Helmholtz Ctr Polar &amp; Marine Res, Alfred Wegener Inst, POB 12 01 61, D-27515 Bremerhaven, Germany; [Siegert, Martin J.] Imperial Coll London, Grantham Inst, London SW7 2AZ, England; [Siegert, Martin J.] Imperial Coll London, Dept Earth Sci &amp; Engn, London SW7 2AZ, England</t>
  </si>
  <si>
    <t>Zhejiang University; Polar Research Institute of China; UK Research &amp; Innovation (UKRI); Natural Environment Research Council (NERC); NERC British Antarctic Survey; Helmholtz Association; Alfred Wegener Institute, Helmholtz Centre for Polar &amp; Marine Research; Imperial College London; Imperial College London</t>
  </si>
  <si>
    <t>Siegert, Martin/M-9939-2019; sun, bo/JFA-9978-2023; Cui, Xiangbin/Y-1551-2019; Martin, Carlos/S-2778-2018</t>
  </si>
  <si>
    <t>Siegert, Martin/0000-0002-0090-4806; Cui, Xiangbin/0000-0002-4269-8086; Martin, Carlos/0000-0002-2661-169X; Ferraccioli, Fausto/0000-0002-9347-4736</t>
  </si>
  <si>
    <t>NERC [NE/R016038/1, bas0100029, bas0100034, NE/F016646/1, NE/K004956/2, NE/F016646/2] Funding Source: UKRI</t>
  </si>
  <si>
    <t>10.1144/SP461.1</t>
  </si>
  <si>
    <t>WOS:000431852000010</t>
  </si>
  <si>
    <t>Talalay, P; Sun, YH; Zhao, Y; Li, YS; Cao, PL; Markov, A; Xu, HW; Wang, RS; Zhang, N; Fan, XP; Yang, Y; Sysoev, M; Liu, YW; Liu, YC</t>
  </si>
  <si>
    <t>Talalay, Pavel; Sun, Youhong; Zhao, Yue; Li, Yuansheng; Cao, Pinlu; Markov, Alexey; Xu, Huiwen; Wang, Rusheng; Zhang, Nan; Fan, Xiaopeng; Yang, Yang; Sysoev, Mikhail; Liu, Yongwen; Liu, Yunchen</t>
  </si>
  <si>
    <t>Drilling project at Gamburtsev Subglacial Mountains, East Antarctica: recent progress and plans for the future</t>
  </si>
  <si>
    <t>ICE-SHEET; DOME; SURFACE; FLUID; CORES; BED</t>
  </si>
  <si>
    <t>The Gamburtsev Subglacial Mountains (GSM), located in the central part of East Antarctica, have become the subject of great scientific interest because the mechanism driving the uplift of the range, which resembles younger mountain ranges in shape, in the middle of the old Antarctic Plate is unknown. The next step planned in the exploration of the GSM will be focused on direct examination of the ice sheet bed by drilling. The use of cable-suspended drilling technology is proposed. All of the drilling equipment will be installed inside a movable, sledge-mounted, temperature-controlled, and wind-protected drilling shelter and workshop connected by steel pathway. To drill through ice and bedrock, a new version of the cable-suspended ice and bedrock electromechanical drill was designed and tested. During the 2017-18 season, the drilling shelter and workshop will be assembled near the Zhongshan Station and first field tests will be carried out. Drilling for bedrock on the GSM is planned as soon as full financial and logistical support is obtained for the project.</t>
  </si>
  <si>
    <t>[Talalay, Pavel; Sun, Youhong; Cao, Pinlu; Markov, Alexey; Xu, Huiwen; Wang, Rusheng; Zhang, Nan; Fan, Xiaopeng; Yang, Yang; Sysoev, Mikhail; Liu, Yongwen; Liu, Yunchen] Jilin Univ, Polar Res Ctr, 938 Ximinzhu Str, Changchun, Jilin, Peoples R China; [Zhao, Yue] Chinese Acad Geol Sci, Inst Geomech, 11 Minzu Daxue Nanlu, Beijing, Peoples R China; [Li, Yuansheng] Polar Res Inst China, 451 Jinqiao Rd, Shanghai, Peoples R China</t>
  </si>
  <si>
    <t>Jilin University; China Geological Survey; Chinese Academy of Geological Sciences; Institute of Geomechanics, Chinese Academy of Geological Sciences; Polar Research Institute of China</t>
  </si>
  <si>
    <t>Talalay, P (corresponding author), Jilin Univ, Polar Res Ctr, 938 Ximinzhu Str, Changchun, Jilin, Peoples R China.</t>
  </si>
  <si>
    <t>ptalalay@yahoo.com</t>
  </si>
  <si>
    <t>Talalay, Pavel/AAH-2908-2020; Zhang, Nan/GXH-0361-2022; Markov, Alexey/E-1695-2014</t>
  </si>
  <si>
    <t>Talalay, Pavel/0000-0002-8230-4600; , Pinlu/0000-0002-4296-4583</t>
  </si>
  <si>
    <t>10.1144/SP461.9</t>
  </si>
  <si>
    <t>WOS:000431852000011</t>
  </si>
  <si>
    <t>Roberts, J; Galton-Fenzi, BK; Paolo, FS; Donnelly, C; Gwyther, DE; Padman, L; Young, DC; Warner, R; Greenbaum, J; Fricker, HA; Payne, AJ; Cornford, S; Le Brocq, A; van Ommen, T; Blankenship, D; Siegert, MJ</t>
  </si>
  <si>
    <t>Roberts, Jason; Galton-Fenzi, Benjamin K.; Paolo, Fernando S.; Donnelly, Claire; Gwyther, David E.; Padman, Laurie; Young, Duncan; Warner, Roland; Greenbaum, Jamin; Fricker, Helen A.; Payne, Antony J.; Cornford, Stephen; Le Brocq, Anne; van Ommen, Tas; Blankenship, Don; Siegert, Martin J.</t>
  </si>
  <si>
    <t>Ocean forced variability of Totten Glacier mass loss</t>
  </si>
  <si>
    <t>ANTARCTIC ICE-SHEET; EAST ANTARCTICA; RADAR ALTIMETRY; SHELF; GREENLAND; DYNAMICS; FLOW; BALANCE; BENEATH; CLIMATE</t>
  </si>
  <si>
    <t>A large volume of the East Antarctic Ice Sheet drains through the Totten Glacier (TG) and is thought to be a potential source of substantial global sea-level rise over the coming centuries. We show that the surface velocity and height of the floating part of the TG, which buttresses the grounded component, have varied substantially over two decades (1989-2011), with variations in surface height strongly anti-correlated with simulated basal melt rates (r = 0.70, p &lt; 0.05). Coupled glacier-ice shelf simulations confirm that ice flow and thickness respond to both basal melting of the ice shelf and grounding on bed obstacles. We conclude the observed variability of the TG is primarily ocean-driven. Ocean warming in this region will lead to enhanced ice-sheet dynamism and loss of upstream grounded ice.</t>
  </si>
  <si>
    <t>[Roberts, Jason; Galton-Fenzi, Benjamin K.; van Ommen, Tas] Australian Antarctic Div, Hobart, Tas, Australia; [Roberts, Jason; Galton-Fenzi, Benjamin K.; Gwyther, David E.; Warner, Roland; van Ommen, Tas] Univ Tasmania, Antarctic Climate &amp; Ecosyst Cooperat Res Ctr, Hobart, Tas, Australia; [Paolo, Fernando S.; Fricker, Helen A.] Univ Calif San Diego, Scripps Inst Oceanog, La Jolla, CA 92093 USA; [Donnelly, Claire; Payne, Antony J.; Cornford, Stephen] Univ Bristol, Sch Geog Sci, Bristol, Avon, England; [Gwyther, David E.] Univ Tasmania, Inst Marine &amp; Antarctic Studies, Hobart, Tas, Australia; [Padman, Laurie] Earth &amp; Space Res, Corvallis, OR USA; [Young, Duncan; Greenbaum, Jamin; Blankenship, Don] Univ Texas Austin, Jackson Sch Geosci, Austin, TX 78712 USA; [Le Brocq, Anne] Univ Exeter, Sch Geog, Exeter, Devon, England; [Siegert, Martin J.] Imperial Coll London, Grantham Inst, London, England; [Siegert, Martin J.] Imperial Coll London, Dept Earth Sci &amp; Engn, London, England</t>
  </si>
  <si>
    <t>Australian Antarctic Division; University of Tasmania; Antarctic Climate &amp; Ecosystems Cooperative Research Centre (ACE CRC); University of California System; University of California San Diego; Scripps Institution of Oceanography; University of Bristol; University of Tasmania; University of Texas System; University of Texas Austin; University of Exeter; Imperial College London; Imperial College London</t>
  </si>
  <si>
    <t>Roberts, J (corresponding author), Australian Antarctic Div, Hobart, Tas, Australia.;Roberts, J (corresponding author), Univ Tasmania, Antarctic Climate &amp; Ecosyst Cooperat Res Ctr, Hobart, Tas, Australia.</t>
  </si>
  <si>
    <t>Jason.Roberts@aad.gov.au</t>
  </si>
  <si>
    <t>Siegert, Martin/M-9939-2019; Paolo, Fernando/AGQ-9348-2022; Warner, Roland Charles/ISS-2485-2023; Young, Duncan A./G-6256-2010; Gwyther, David E/Q-2987-2018; Gwyther, David E/O-4880-2017; Padman, Laurence/AAH-3808-2021; Roberts, Jason L/B-2235-2012; Warner, Robert R./M-5342-2013; van Ommen, Tas/B-5020-2012; payne, antony/A-8916-2008</t>
  </si>
  <si>
    <t>Siegert, Martin/0000-0002-0090-4806; Paolo, Fernando/0000-0002-6439-2918; Warner, Roland Charles/0000-0002-9778-3544; Gwyther, David E/0000-0002-7218-2785; Gwyther, David E/0000-0002-7218-2785; Roberts, Jason L/0000-0002-3477-4069; Fricker, Helen Amanda/0000-0002-0921-1432; van Ommen, Tas/0000-0002-2463-1718; payne, antony/0000-0001-8825-8425; Galton-Fenzi, Benjamin Keith/0000-0003-1404-4103; Padman, Laurence/0000-0003-2010-642X</t>
  </si>
  <si>
    <t>NERC [NE/J005738/1, cpom30001, NE/G012733/2] Funding Source: UKRI</t>
  </si>
  <si>
    <t>10.1144/SP461.6</t>
  </si>
  <si>
    <t>WOS:000431852000013</t>
  </si>
  <si>
    <t>Siegert, MJ; Kulessa, B; Bougamont, M; Christoffersen, P; Key, K; Andersen, KR; Booth, AD; Smith, AM</t>
  </si>
  <si>
    <t>Siegert, Martin J.; Kulessa, Bernd; Bougamont, Marion; Christoffersen, Poul; Key, Kerry; Andersen, Kristoffer R.; Booth, Adam D.; Smith, Andrew M.</t>
  </si>
  <si>
    <t>Antarctic subglacial groundwater: a concept paper on its measurement and potential influence on ice flow</t>
  </si>
  <si>
    <t>PINE ISLAND GLACIER; WEDDELL SEA SECTOR; WEST ANTARCTICA; BASAL MECHANICS; EAST ANTARCTICA; RUSSELL GLACIER; ESKER SYSTEMS; STREAM B; BENEATH; SHEET</t>
  </si>
  <si>
    <t>Is groundwater abundant in Antarctica and does it modulate ice flow? Answering this question matters because ice streams flow by gliding over a wet substrate of till. Water fed to ice-stream beds thus influences ice-sheet dynamics and, potentially, sea-level rise. It is recognized that both till and the sedimentary basins from which it originates are porous and could host a reservoir of mobile groundwater that interacts with the subglacial interfacial system. According to recent numerical modelling, up to half of all water available for basal lubrication, and time lags between hydrological forcing and ice-sheet response as long as millennia, may have been overlooked in models of ice flow. Here, we review evidence in support of Antarctic groundwater and propose how it can be measured to ascertain the extent to which it modulates ice flow. We present new seismoelectric soundings of subglacial till, and magnetotelluric and transient electromagnetic forward models of subglacial groundwater reservoirs. We demonstrate that multifaceted and integrated geophysical datasets can detect, delineate and quantify the groundwater contents of subglacial sedimentary basins and, potentially, monitor groundwater exchange rates between subglacial till layers. The paper thus describes a new area of glaciological investigation and how it should progress in future.</t>
  </si>
  <si>
    <t>[Siegert, Martin J.] Imperial Coll London, Grantham Inst, Exhibit Rd, London SW7 2AZ, England; [Siegert, Martin J.] Imperial Coll London, Dept Earth Sci &amp; Engn, Exhibit Rd, London SW7 2AZ, England; [Kulessa, Bernd] Univ Swansea, Dept Geog, Singleton Pk, Swansea SA2 8PP, W Glam, Wales; [Bougamont, Marion; Christoffersen, Poul] Univ Cambridge, Scott Polar Res Inst, Lensfield Rd, Cambridge CB2 1ER, England; [Key, Kerry] Columbia Univ, Lamont Doherty Earth Observ, 61 Route 9W, Palisades, NY 10964 USA; [Andersen, Kristoffer R.] Aarhus Univ, Dept Geosci, Hoegh Guldbergs Gade 2, DK-8000 Aarhus, Denmark; [Booth, Adam D.] Univ Leeds, Sch Earth &amp; Environm, Leeds LS2 9JT, W Yorkshire, England; [Smith, Andrew M.] British Antarctic Survey, Madingley Rd, Cambridge CB3 0ET, England</t>
  </si>
  <si>
    <t>Imperial College London; Imperial College London; Swansea University; University of Cambridge; Columbia University; Aarhus University; University of Leeds; UK Research &amp; Innovation (UKRI); Natural Environment Research Council (NERC); NERC British Antarctic Survey</t>
  </si>
  <si>
    <t>Siegert, MJ (corresponding author), Imperial Coll London, Grantham Inst, Exhibit Rd, London SW7 2AZ, England.;Siegert, MJ (corresponding author), Imperial Coll London, Dept Earth Sci &amp; Engn, Exhibit Rd, London SW7 2AZ, England.</t>
  </si>
  <si>
    <t>Christoffersen, Poul/W-3708-2019; Key, Kerry/AAH-6949-2021; Siegert, Martin/M-9939-2019</t>
  </si>
  <si>
    <t>Christoffersen, Poul/0000-0003-2643-8724; Key, Kerry/0000-0003-1169-6683; Siegert, Martin/0000-0002-0090-4806; Kulessa, Bernd/0000-0002-4830-4949; Bougamont, Marion Heidi/0000-0001-7196-4171; Booth, Adam/0000-0002-8166-9608</t>
  </si>
  <si>
    <t>NERC [NE/S006621/1, NE/G013071/1, NE/H012869/1, NE/G00465X/3, NE/J005800/1, NE/G007195/1, NE/G013071/2] Funding Source: UKRI</t>
  </si>
  <si>
    <t>10.1144/SP461.8</t>
  </si>
  <si>
    <t>WOS:000431852000015</t>
  </si>
  <si>
    <t>Goodwin, ID; Roberts, JL; Etheridge, DM; Hellstrom, J; Moy, AD; Ribo, M; Smith, AM</t>
  </si>
  <si>
    <t>Goodwin, Ian D.; Roberts, Jason L.; Etheridge, David M.; Hellstrom, John; Moy, Andrew D.; Ribo, Marta; Smith, Andrew M.</t>
  </si>
  <si>
    <t>Modern to Glacial age subglacial meltwater drainage at Law Dome, coastal East Antarctica from topography, sediments and jokulhlaup observations</t>
  </si>
  <si>
    <t>BUDD COAST; ICE MARGIN; SEA-LEVEL; WATER; LAKE; SURFACE; BENEATH; TH-230; LAND</t>
  </si>
  <si>
    <t>Rare jokulhlaup events, also known as subglacial lake outburst flood events, have been observed at the Law Dome ice margin and provide an insight into the physical characteristics of subglacial meltwater and drainage. The subglacial topography based on data from the BEDMAP2 and ICECAP projects, together with subsurface transects of the ice margin obtained using groundpenetrating radar, reveal several lakes and lake-like depressions and the drainage pathways of two jokulhlaup events. Oxygen isotope typing of the meltwater during the most recent (2014) jokulhlaup event, combined with ice margin stratigraphy, enable the identification of ice tunnel melt pathways that exploit the 30-90 degrees dipping basal ice layering. The presence of subglacial meltwater beneath Law Dome during the Holocene to Glacial periods is confirmed by the dendritic drainage pattern in the subglacial morphology and extensive layers of basal regelation ice and subglacial carbonate precipitate deposits found within the Loken Moraines sediments. These subglacial carbonates, including ooid layers, formed from the mixing of glacial meltwater and seawater at 72 ka BP. The combined evidence indicates that the ocean discharge of subglacial meltwater may be variable and/or is periodically blocked by basal freezing events near the ice sheet terminus.</t>
  </si>
  <si>
    <t>[Goodwin, Ian D.; Ribo, Marta] Macquarie Univ, Marine Climate Risk Grp, Dept Environm Sci, Sydney, NSW 2109, Australia; [Roberts, Jason L.; Moy, Andrew D.] Australian Antarctic Div, Kingston, Tas 7050, Australia; [Roberts, Jason L.; Moy, Andrew D.] Univ Tasmania, Antarctic Climate &amp; Ecosyst CRC, Hobart, Tas 7001, Australia; [Etheridge, David M.] CSIRO Oceans &amp; Atmosphere, Climate Sci Ctr, Aspendale, Vic 3195, Australia; [Hellstrom, John] Univ Melbourne, Sch Earth Sci, Melbourne, Vic 3010, Australia; [Smith, Andrew M.] Australian Nucl Sci &amp; Technol Org, Lucas Heights, NSW 2234, Australia</t>
  </si>
  <si>
    <t>Macquarie University; Australian Antarctic Division; University of Tasmania; Commonwealth Scientific &amp; Industrial Research Organisation (CSIRO); University of Melbourne; Melbourne Bioinformatics; Australian Nuclear Science &amp; Technology Organisation</t>
  </si>
  <si>
    <t>Goodwin, ID (corresponding author), Macquarie Univ, Marine Climate Risk Grp, Dept Environm Sci, Sydney, NSW 2109, Australia.</t>
  </si>
  <si>
    <t>Ian.Goodwin@mq.edu.au</t>
  </si>
  <si>
    <t>Etheridge, David M/B-7334-2013; Hellstrom, John C/B-1770-2008; , Andrew/HLX-8550-2023; Ribo, Marta/AAC-7042-2022; Roberts, Jason L/B-2235-2012; Ribó, Marta/KHE-0629-2024</t>
  </si>
  <si>
    <t>Ribo, Marta/0000-0002-6211-7007; Roberts, Jason L/0000-0002-3477-4069; Ribó, Marta/0000-0002-6211-7007; Hellstrom, John/0000-0001-9427-3525; Goodwin, Ian/0000-0001-8682-6409; Smith, Andrew/0000-0002-9193-2617; Etheridge, David/0000-0001-7970-2002</t>
  </si>
  <si>
    <t>10.1144/SP461.16</t>
  </si>
  <si>
    <t>WOS:000431852000016</t>
  </si>
  <si>
    <t>de Vries, MV; Bingham, RG; Hein, AS</t>
  </si>
  <si>
    <t>de Vries, Maximillian van Wyk; Bingham, Robert G.; Hein, Andrew S.</t>
  </si>
  <si>
    <t>A new volcanic province: an inventory of subglacial volcanoes in West Antarctica</t>
  </si>
  <si>
    <t>AMUNDSEN SEA EMBAYMENT; MARIE BYRD LAND; ICE-SHEET; CRUSTAL STRUCTURE; WATER PIRACY; UPPER-MANTLE; RIFT SYSTEM; LEVEL RISE; HEAT-FLUX; BENEATH</t>
  </si>
  <si>
    <t>The West Antarctic Ice Sheet overlies the West Antarctic Rift System about which, due to the comprehensive ice cover, we have only limited and sporadic knowledge of volcanic activity and its extent. Improving our understanding of subglacial volcanic activity across the province is important both for helping to constrain how volcanism and rifting may have influenced ice-sheet growth and decay over previous glacial cycles, and in light of concerns over whether enhanced geothermal heat fluxes and subglacial melting may contribute to instability of the West Antarctic Ice Sheet. Here, we use ice-sheet bed-elevation data to locate individual conical edifices protruding upwards into the ice across West Antarctica, and we propose that these edifices represent subglacial volcanoes. We used aeromagnetic, aerogravity, satellite imagery and databases of confirmed volcanoes to support this interpretation. The overall result presented here constitutes a first inventory of West Antarctica's subglacial volcanism. We identified 138 volcanoes, 91 of which have not previously been identified, and which are widely distributed throughout the deep basins of West Antarctica, but are especially concentrated and orientated along the &gt;3000 km central axis of the West Antarctic Rift System.</t>
  </si>
  <si>
    <t>[de Vries, Maximillian van Wyk; Bingham, Robert G.; Hein, Andrew S.] Univ Edinburgh, Sch GeoSci, Drummond St, Edinburgh EH8 9XP, Midlothian, Scotland</t>
  </si>
  <si>
    <t>University of Edinburgh</t>
  </si>
  <si>
    <t>de Vries, MV (corresponding author), Univ Edinburgh, Sch GeoSci, Drummond St, Edinburgh EH8 9XP, Midlothian, Scotland.</t>
  </si>
  <si>
    <t>gmaxvwdv@gmail.com</t>
  </si>
  <si>
    <t>Hein, Andrew/JWO-3756-2024; Bingham, Robert G/G-3576-2017</t>
  </si>
  <si>
    <t>Bingham, Robert G/0000-0002-0630-2021</t>
  </si>
  <si>
    <t>NERC [NE/S006613/1, NE/J005665/2] Funding Source: UKRI</t>
  </si>
  <si>
    <t>10.1144/SP461.7</t>
  </si>
  <si>
    <t>hybrid, Green Accepted, Green Published</t>
  </si>
  <si>
    <t>WOS:000431852000017</t>
  </si>
  <si>
    <t>Jungblut, AD; Wilbraham, J; Banack, SA; Metcalf, JS; Codd, GA</t>
  </si>
  <si>
    <t>Jungblut, A. D.; Wilbraham, J.; Banack, S. A.; Metcalf, J. S.; Codd, G. A.</t>
  </si>
  <si>
    <t>Microcystins, BMAA and BMAA isomers in 100-year-old Antarctic cyanobacterial mats collected during Captain R.F. Scott's Discovery Expedition (vol 53, pg 115, 2018)</t>
  </si>
  <si>
    <t>EUROPEAN JOURNAL OF PHYCOLOGY</t>
  </si>
  <si>
    <t>Correction</t>
  </si>
  <si>
    <t>0967-0262</t>
  </si>
  <si>
    <t>1469-4433</t>
  </si>
  <si>
    <t>EUR J PHYCOL</t>
  </si>
  <si>
    <t>Eur. J. Phycol.</t>
  </si>
  <si>
    <t>10.1080/09670262.2018.1467118</t>
  </si>
  <si>
    <t>Plant Sciences; Marine &amp; Freshwater Biology</t>
  </si>
  <si>
    <t>GE9JN</t>
  </si>
  <si>
    <t>WOS:000431546100013</t>
  </si>
  <si>
    <t>Mitrovica, JX; Hay, C; Kopp, R; Lickley, M</t>
  </si>
  <si>
    <t>Mitrovica, Jerry X.; Hay, Carling; Kopp, Robert; Lickley, Megan</t>
  </si>
  <si>
    <t>All sea level is local</t>
  </si>
  <si>
    <t>Sea level change; sea level rise; climate change; global warming; ice sheet melting; flooding; projections</t>
  </si>
  <si>
    <t>When people read about climate change and sea level rise in the average mass-market, general-interest publication, they nearly always see references to average global sea level rise - for instance, that the worldwide average sea level rise will be about three feet (or six feet) by the end of this century. But what does that term really mean? And how useful is it for architects, city planners, businesses and local governments planning the latest bridge, highway, airport, seawall, or other infrastructure near the coast? Just how uniformly do the seas rise or fall? What geophysical processes come into play? And what are the consequences for, say, the east and west coasts of the United States, if all the ice melts on the far-away West Antarctic Ice Sheet?</t>
  </si>
  <si>
    <t>[Mitrovica, Jerry X.] Harvard Univ, Dept Earth &amp; Planetary Sci, Sci, 20 Oxford St, Cambridge, MA 02138 USA; [Hay, Carling] Boston Coll, Dept Earth &amp; Environm Sci, Chestnut Hill, MA 02167 USA; [Kopp, Robert] Rutgers Inst Earth Ocean &amp; Atmospher Sci, New Brunswick, NJ USA; [Kopp, Robert] Rutgers State Univ, Dept Earth &amp; Planetary Sci, New Brunswick, NJ USA; [Kopp, Robert] Rutgers Coastal Climate Risk &amp; Resilience C2R2 In, New Brunswick, NJ USA; [Kopp, Robert] Impactlab Org, Climate Impact Lab, Luxembourg, Luxembourg; [Lickley, Megan] MIT, Earth Atmospher &amp; Planetary Sci Dept, Climate Sci program, Cambridge, MA 02139 USA</t>
  </si>
  <si>
    <t>Harvard University; Boston College; Rutgers University System; Rutgers University New Brunswick; Massachusetts Institute of Technology (MIT)</t>
  </si>
  <si>
    <t>Mitrovica, JX (corresponding author), Harvard Univ, Dept Earth &amp; Planetary Sci, Sci, 20 Oxford St, Cambridge, MA 02138 USA.</t>
  </si>
  <si>
    <t>jxm@eps.harvard.edu</t>
  </si>
  <si>
    <t>Kopp, Robert E/B-8822-2008</t>
  </si>
  <si>
    <t>10.1080/00963402.2018.1461935</t>
  </si>
  <si>
    <t>WOS:000431526800002</t>
  </si>
  <si>
    <t>Krummeck, WD; Bordy, EM</t>
  </si>
  <si>
    <t>Krummeck, William D.; Bordy, Emese M.</t>
  </si>
  <si>
    <t>Reniformichnus katikatii (New Ichnogenus and Ichnospecies): Continental Vertebrate Burrows from the Lower Triassic, Main Karoo Basin, South Africa</t>
  </si>
  <si>
    <t>ICHNOS-AN INTERNATIONAL JOURNAL FOR PLANT AND ANIMAL TRACES</t>
  </si>
  <si>
    <t>Possible tetrapod producers; Reniformichnus n; igen; Induan-Olenekian of southern Gondwana; new ichnotaxa; reniform burrow cast</t>
  </si>
  <si>
    <t>PAWNEE CREEK FORMATION; LARGE TETRAPOD BURROWS; KATBERG FORMATION; SEDIMENTARY ENVIRONMENTS; BEAUFORT GROUP; TRACE FOSSILS; RECOVERY; MIOCENE; CLIMATE; EXTINCTION</t>
  </si>
  <si>
    <t>The formal ichnotaxonomic assignment of a new ichnogenus and ichnospecies, Reniformichnus katikatii, is presented based on the holotype and several field specimens from the Lower Triassic Katberg Formation in the main Karoo Basin of South Africa. The holotype is an inclined, burrow cast with bilobate base and reniform cross-section. Its width ranges from 12.6 to 14.7cm, and its height is 5 to 7.4cm resulting in an aspect ratio of 1.89 to 2.74. The surface preserves 70-180mm long ridges running parallel to the long axis of the burrow on the upper parts of the walls and lower parts of the dorsum and shorter ridges (average length approximate to 27mm) are preserved on the more ventral areas in two opposite orientations, cross-cutting each other in a rhomboid pattern. Burrow fills are passive and consist of slightly bedded, laminated, or massive clastic rocks that are coarser than the host mudstones. The burrow casts are isolated, never occurring in clusters. This simple burrow shows no evidence for branching, spiralling, interconnected tunnels, burrow linings, terminal chambers, or entrances. Preserved in fluvial floodplain mudstone units, the burrows were passively filled by layered, laminated, or massive sand and other coarser clastic sediments. The burrow casts are morphologically similar to unnamed Antarctic ichnotaxa that have been attributed to tetrapods (e.g., therapsids, procolophonids), extending the geographic range of the potential producers of Reniformichnus isp. to continental settings in southern Gondwana. Biostratigraphic evidence on the temporal distribution of Reniformichnus isp. suggests that the trace maker emerged in the aftermath of the Permo-Triassic mass extinction event to successfully burrow throughout the Early Triassic.</t>
  </si>
  <si>
    <t>[Krummeck, William D.; Bordy, Emese M.] Univ Cape Town, Dept Geol Sci, Private Bag X3, ZA-7701 Cape Town, South Africa</t>
  </si>
  <si>
    <t>University of Cape Town</t>
  </si>
  <si>
    <t>Bordy, EM (corresponding author), Univ Cape Town, Dept Geol Sci, Private Bag X3, ZA-7701 Cape Town, South Africa.</t>
  </si>
  <si>
    <t>emese_bordy@yahoo.com</t>
  </si>
  <si>
    <t>Bordy, Emese/JPW-9200-2023; Bordy, Emese M/J-1361-2016</t>
  </si>
  <si>
    <t>Bordy, Emese M/0000-0003-4699-0823</t>
  </si>
  <si>
    <t>National Research Foundation of South Africa [82606, 81833]; NRF Free-Standing Masters; KW Johnstone Bursary programs</t>
  </si>
  <si>
    <t>National Research Foundation of South Africa(National Research Foundation - South Africa); NRF Free-Standing Masters; KW Johnstone Bursary programs</t>
  </si>
  <si>
    <t>The financial support of the National Research Foundation of South Africa via its African Origins Platform and Competitive Program for Rated Researches grants (#82606, #81833) to EMB is hereby acknowledged. Scholarship funding provided by the NRF Free-Standing Masters (2011, 2012) and the KW Johnstone Bursary programs to WK are also greatly appreciated.</t>
  </si>
  <si>
    <t>1042-0940</t>
  </si>
  <si>
    <t>1563-5236</t>
  </si>
  <si>
    <t>ICHNOS</t>
  </si>
  <si>
    <t>Ichnos</t>
  </si>
  <si>
    <t>2-3</t>
  </si>
  <si>
    <t>10.1080/10420940.2017.1292909</t>
  </si>
  <si>
    <t>GD9QY</t>
  </si>
  <si>
    <t>WOS:000430848800007</t>
  </si>
  <si>
    <t>Zhukov, MY; Balushkin, AV</t>
  </si>
  <si>
    <t>Zhukov, M. Yu.; Balushkin, A. V.</t>
  </si>
  <si>
    <t>Description of a New Subspecies Zanclorhynchus spinifer heracleus subsp nov from the Ridge of Hercules (Pacific-Antarctic Ridge)</t>
  </si>
  <si>
    <t>JOURNAL OF ICHTHYOLOGY</t>
  </si>
  <si>
    <t>Zanclorhynchus spinifer heracleus subsp nov; taxonomy; Pacific-Antarctic Ridge; Southern Ocean</t>
  </si>
  <si>
    <t>CONGIOPODIDAE; FISH</t>
  </si>
  <si>
    <t>New subspecies of Zanclorhynchus spinifer heracleus subsp. nov. from the Ridge of Hercules (Pacific-Antarctic Ridge) is described. The type series of the new subspecies was caught on both large banks of the ridge (Central Bank and the South Bank) at the depths of 170-380 m. The new subspecies differs from the nominative subspecies in the degree of development of the arming, particularly, by the cranial spines and of the dorsal fin. The key to the Zanclorhynchus species and subspecies is developed and presented.</t>
  </si>
  <si>
    <t>[Zhukov, M. Yu.; Balushkin, A. V.] Russian Acad Sci, Zool Inst, St Petersburg, Russia</t>
  </si>
  <si>
    <t>Zhukov, MY (corresponding author), Russian Acad Sci, Zool Inst, St Petersburg, Russia.</t>
  </si>
  <si>
    <t>mzhukov@zin.ru</t>
  </si>
  <si>
    <t>Balushkin, Arcady/AAM-4225-2020; Zhukov, Mikhail/T-3727-2017</t>
  </si>
  <si>
    <t>Zhukov, Mikhail/0000-0002-1492-2570; Balushkin, Arcady/0000-0002-9422-5133</t>
  </si>
  <si>
    <t>Russian Foundation for Basic Research [15-04-02081a]; [AAAA-A17-117030310197-7]</t>
  </si>
  <si>
    <t>Russian Foundation for Basic Research(Russian Foundation for Basic Research (RFBR)Spanish Government);</t>
  </si>
  <si>
    <t>The study was supported by the Russian Foundation for Basic Research, project no. 15-04-02081a and State Research Program no. AAAA-A17-117030310197-7.</t>
  </si>
  <si>
    <t>PLEIADES PUBLISHING INC</t>
  </si>
  <si>
    <t>PLEIADES PUBLISHING INC, MOSCOW, 00000, RUSSIA</t>
  </si>
  <si>
    <t>0032-9452</t>
  </si>
  <si>
    <t>1555-6425</t>
  </si>
  <si>
    <t>J ICHTHYOL+</t>
  </si>
  <si>
    <t>J. Ichthyol.</t>
  </si>
  <si>
    <t>10.1134/S0032945218010149</t>
  </si>
  <si>
    <t>Fisheries; Zoology</t>
  </si>
  <si>
    <t>GF0CS</t>
  </si>
  <si>
    <t>WOS:000431598100011</t>
  </si>
  <si>
    <t>Batchelor, CL; Dowdeswell, JA; Ottesen, D</t>
  </si>
  <si>
    <t>Micallef, A; Krastel, S; Savini, A</t>
  </si>
  <si>
    <t>Batchelor, Christine L.; Dowdeswell, Julian A.; Ottesen, Dag</t>
  </si>
  <si>
    <t>Submarine Glacial Landforms</t>
  </si>
  <si>
    <t>SUBMARINE GEOMORPHOLOGY</t>
  </si>
  <si>
    <t>Springer Geology</t>
  </si>
  <si>
    <t>ANTARCTIC ICE-SHEET; TROUGH-MOUTH FANS; CONTINENTAL-SLOPE; SEDIMENTARY PROCESSES; TIDEWATER GLACIERS; DEPOSITIONAL PROCESSES; SEISMIC ARCHITECTURE; SVALBARD MARGIN; HIGH-RESOLUTION; MAXIMUM EXTENT</t>
  </si>
  <si>
    <t>The development of a range of geophysical imaging techniques, including multi-beam swath bathymetry and shallow-acoustic profiling, has enabled the identification and interpretation of submarine glacial landforms on and beneath the seafloor of formerly-glaciated continental margins. The analysis of these landforms provides information about past ice-sheet dynamic behaviour and the mechanisms by which sediment is eroded, transported and deposited by ice sheets. Submarine glacial landforms can be categorised into subglacial, ice-marginal and glacimarine features. The majority of subglacially produced landforms, including mega-scale glacial lineations and drumlins, are elongate features that are orientated parallel to the direction of former ice flow. In contrast, ice-marginal landforms, including moraines and grounding-zone wedges, are orientated transverse to the former ice-flow direction. Ice-marginal landforms reveal the positions of still-stands or minor re-advances in the grounding-zone during general ice-sheet retreat. Glacimarine landform associations include ploughmarks that are formed by the grounding of iceberg keels on the seafloor, and smooth basin-fill sediments produced by suspension settling of material derived from meltwater plumes. The typical distribution of glacial landforms on formerly glaciated continental margins is illustrated using the case study of the Norwegian continental shelf and slope. The locations of former fast-flowing ice streams are associated with deep cross-shelf troughs that contain elongate subglacial landforms. Major glacial-sedimentary depocentres or trough-mouth fans are typically present on the continental slope beyond trough mouths. In contrast, relatively shallow inter-ice stream banks on the continental shelf are characterised by transverse moraine ridges and widespread iceberg ploughmarks.</t>
  </si>
  <si>
    <t>[Batchelor, Christine L.; Dowdeswell, Julian A.] Univ Cambridge, Scott Polar Res Inst, Cambridge CB2 1ER, England; [Ottesen, Dag] Geol Survey Norway, Postboks 6315 Sluppen, N-7491 Trondheim, Norway</t>
  </si>
  <si>
    <t>University of Cambridge; Geological Survey of Norway</t>
  </si>
  <si>
    <t>Batchelor, CL (corresponding author), Univ Cambridge, Scott Polar Res Inst, Cambridge CB2 1ER, England.</t>
  </si>
  <si>
    <t>clb70@cam.ac.uk</t>
  </si>
  <si>
    <t>Batchelor, Christine/JCN-7543-2023</t>
  </si>
  <si>
    <t>Dowdeswell, Julian/0000-0003-1369-9482</t>
  </si>
  <si>
    <t>2197-9545</t>
  </si>
  <si>
    <t>978-3-319-57852-1; 978-3-319-57851-4</t>
  </si>
  <si>
    <t>SPR GEOL</t>
  </si>
  <si>
    <t>10.1007/978-3-319-57852-1_12</t>
  </si>
  <si>
    <t>10.1007/978-3-319-57852-1</t>
  </si>
  <si>
    <t>Geography, Physical; Geology; Oceanography</t>
  </si>
  <si>
    <t>Physical Geography; Geology; Oceanography</t>
  </si>
  <si>
    <t>BJ9SH</t>
  </si>
  <si>
    <t>WOS:000429825400013</t>
  </si>
  <si>
    <t>Yin, FW; Zhou, DY; Liu, YF; Zhao, Q; Liu, ZY; Song, L; Zhou, X; Zhang, JR; Zhu, BW</t>
  </si>
  <si>
    <t>Yin, Fa-Wen; Zhou, Da-Yong; Liu, Yan-Fei; Zhao, Qi; Liu, Zhong-Yuan; Song, Liang; Zhou, Xin; Zhang, Jian-Run; Zhu, Bei-Wei</t>
  </si>
  <si>
    <t>Extraction and Characterization of Phospholipid-Enriched Oils from Antarctic Krill (Euphausia Superba) with Different Solvents</t>
  </si>
  <si>
    <t>JOURNAL OF AQUATIC FOOD PRODUCT TECHNOLOGY</t>
  </si>
  <si>
    <t>Krill oil; phospholipid class composition; glycerophosphocholine; glycerophosphoethan-olamine; molecular species; HPLC-ESI-MS/MS</t>
  </si>
  <si>
    <t>LIPID EXTRACTION; FATTY-ACIDS; SUPPLEMENTATION; BIOAVAILABILITY; PURIFICATION</t>
  </si>
  <si>
    <t>Krill oils (KOs) were extracted from Antarctic krill using ethanol, hexane, or their mixture (1: 2, v/v) with yields of 21.32%, 8.50%, and 18.75%, respectively. The total nitrogen content of the aforementioned oils was 2.76%, 1.06%, and 1.87%, respectively, indicating the presence of lipoprotein. All KOs contained a high proportion of phospholipid (PL) (30.20-64.82% of total lipids) and polyunsaturated fatty acids (PUFA) (30.00-34.94% of total FAs). Among PL, phosphatidylcholine was dominant (89.81-90.60 mol %). In contrast, KO extracted with the mixed solvent had the highest amount of glycerophosphocholine species containing eicosapentaenoic acid (EPA) and docosahexaenoic acid (DHA).</t>
  </si>
  <si>
    <t>[Yin, Fa-Wen; Zhou, Da-Yong; Liu, Yan-Fei; Zhao, Qi; Liu, Zhong-Yuan; Song, Liang; Zhou, Xin; Zhang, Jian-Run; Zhu, Bei-Wei] Dalian Polytech Univ, Sch Food Sci &amp; Technol, Dalian, Peoples R China; [Zhou, Da-Yong; Zhao, Qi; Song, Liang; Zhu, Bei-Wei] Natl Engn Res Ctr Seafood, Dalian, Peoples R China; [Zhu, Bei-Wei] China Agr Univ, Beijing Adv Innovat Ctr Food Nutr &amp; Human Hlth, Beijing, Peoples R China; [Zhu, Bei-Wei] Tianjin Food Safety &amp; Low Carbon Mfg Collaborat I, Tianjin, Peoples R China</t>
  </si>
  <si>
    <t>Dalian Polytechnic University; Dalian Polytechnic University; China Agricultural University</t>
  </si>
  <si>
    <t>Zhou, DY; Zhu, BW (corresponding author), Dalian Polytech Univ, Sch Food Sci &amp; Technol, Dalian, Peoples R China.;Zhou, DY; Zhu, BW (corresponding author), Natl Engn Res Ctr Seafood, Dalian, Peoples R China.;Zhu, BW (corresponding author), China Agr Univ, Beijing Adv Innovat Ctr Food Nutr &amp; Human Hlth, Beijing, Peoples R China.;Zhu, BW (corresponding author), Tianjin Food Safety &amp; Low Carbon Mfg Collaborat I, Tianjin, Peoples R China.</t>
  </si>
  <si>
    <t>zdyzf1@163.com; zhubeiwei@163.com</t>
  </si>
  <si>
    <t>Zhang, Jian/K-2595-2019</t>
  </si>
  <si>
    <t>Zhang, Jian/0000-0003-0201-2331</t>
  </si>
  <si>
    <t>National High Technology Research and Development Program of China (863 Program) [2011AA090801]; Program for Liaoning Excellent Talents in University [LR2015006]; Liaoning Provincial Natural Science Foundation of China [2015020781]; Project of Distinguished Professor of Liaoning Province [2015-153]; Organization Project for National Engineering Research Center of Seafood - Ministry of Science and Technology of the People's Republic of China [2012FU125X03]</t>
  </si>
  <si>
    <t>National High Technology Research and Development Program of China (863 Program)(National High Technology Research and Development Program of China); Program for Liaoning Excellent Talents in University; Liaoning Provincial Natural Science Foundation of China; Project of Distinguished Professor of Liaoning Province; Organization Project for National Engineering Research Center of Seafood - Ministry of Science and Technology of the People's Republic of China</t>
  </si>
  <si>
    <t>This work was financially supported by The National High Technology Research and Development Program of China (863 Program) (No. 2011AA090801), Program for Liaoning Excellent Talents in University (LR2015006), Liaoning Provincial Natural Science Foundation of China (2015020781), Project of Distinguished Professor of Liaoning Province (2015-153), and Organization Project for National Engineering Research Center of Seafood funded by Ministry of Science and Technology of the People's Republic of China (No. 2012FU125X03).</t>
  </si>
  <si>
    <t>1049-8850</t>
  </si>
  <si>
    <t>1547-0636</t>
  </si>
  <si>
    <t>J AQUAT FOOD PROD T</t>
  </si>
  <si>
    <t>J. Aquat. Food Prod. Technol.</t>
  </si>
  <si>
    <t>10.1080/10498850.2018.1428706</t>
  </si>
  <si>
    <t>GE2RL</t>
  </si>
  <si>
    <t>WOS:000431062200004</t>
  </si>
  <si>
    <t>Vlcek, V; Pospisilova, L; Uhlik, P</t>
  </si>
  <si>
    <t>Vlcek, Vitezslav; Pospisilova, Lubica; Uhlik, Peter</t>
  </si>
  <si>
    <t>Mineralogy and Chemical Composition of Cryosols and Andosols in Antarctica</t>
  </si>
  <si>
    <t>SOIL AND WATER RESEARCH</t>
  </si>
  <si>
    <t>King George Island; Deception Island; James Ross Island; weathering; mineralogical composition; clay mineral</t>
  </si>
  <si>
    <t>SOUTH-SHETLAND ISLANDS; SOIL ORGANIC-MATTER; KING-GEORGE-ISLAND; CLASSIFICATION; ENVIRONMENT; PENINSULA; SMECTITE</t>
  </si>
  <si>
    <t>Variations in mineralogical and elemental composition of Turbic Cryosol (King George Island and James Ross Island), Skeletic Cryosol (J. Ross Island, the Trinity Peninsula), Leptic Andosols (Deception Island), and Skeletic Andosols (Deception Island) were studied. Significant differences in mineralogical composition in size fraction, vertical and horizontal position were determined by X-ray diffraction quantitative analysis. The differences were attributed to a variable degree of chemical weathering process. As a product of weathering were defined montmorillonite, chlorite, microcrystalline polymorphous silica, Fe oxides, and oxyhydroxides. Their content was increased towards the surface and in a finer fraction. Crystal thickness and size distribution of montmorillonite was measured by the Bertaut-Warren-Averbach technique and the results confirmed higher intensity of chemical weathering in Turbic Cryosols (J. Ross Island and King George Island). Feldspars and volcanic glass were the main phases found in soil samples from Deception Island. They were determined as phases of parent rock and indicated low intensity of chemical weathering. Clinoptilolite was identified in soil samples from J. Ross Island and Deception Islad and its hydrothermal origin was supposed. Soil (sample AP) from Base General Bernardo O'Higgins Riquelme had significantly higher content of phosphate minerals, which was a result of ornithogenic activities. Macro elements content was consistent with mineralogical analyses. Turbic Cryosols were rich in iron, aluminium, magnesium, and manganese (&gt; 2%). Skeletic Cryosols contained also iron, aluminium, magnesium, manganese, calcium, and sulphur (&gt; 1%). Leptic Andosols were rich in iron and aluminium (&gt; 2%). Soil properties and humic substances quality were evaluted. Results of chemical and physical analyses indicated that poorly developed soils of Antarctica varied in acidity, conductivity, humus content, and texture. Humic substances content and quality were low. Mainly mechanical (physical) and chemical weathering processes played major role in the soil development accompanied by low intensity of biological activity.</t>
  </si>
  <si>
    <t>[Vlcek, Vitezslav; Pospisilova, Lubica] Mendel Univ Brno, Dept Agrochem Soil Sci Microbiol &amp; Plant Nutr, Brno, Czech Republic; [Uhlik, Peter] Comenius Univ, Fac Nat Sci, Dept Econ Geol, Bratislava, Slovakia</t>
  </si>
  <si>
    <t>Mendel University in Brno; Comenius University Bratislava</t>
  </si>
  <si>
    <t>Vlcek, V (corresponding author), Mendel Univ Brno, Dept Agrochem Soil Sci Microbiol &amp; Plant Nutr, Brno, Czech Republic.</t>
  </si>
  <si>
    <t>xvlcek1@mendelu.cz</t>
  </si>
  <si>
    <t>Uhlík, Peter/V-4135-2018; Vlcek, Vitezslav/L-9674-2018; Pospisilova, Lubica/G-7090-2017</t>
  </si>
  <si>
    <t>Vlcek, Vitezslav/0000-0002-5431-7164; Pospisilova, Lubica/0000-0001-7883-9138; Uhlik, Peter/0000-0001-6072-6338</t>
  </si>
  <si>
    <t>Ministry of Agriculture of the Czech Republic [QJ 1210263]; Slovak Research and Development Agency [APVV-0339-12]</t>
  </si>
  <si>
    <t>Ministry of Agriculture of the Czech Republic(Ministry of Agriculture, Czech Republic); Slovak Research and Development Agency(Slovak Research and Development Agency)</t>
  </si>
  <si>
    <t>This work was supported by the Ministry of Agriculture of the Czech Republic (Project QJ 1210263) and by Slovak Research and Development Agency (Project APVV-0339-12). The authors are grateful to the research infrastructure of the Johann Gregor Mendel Czech Antarctic Station on James Ross Island; and thankful to J. Madejova for IR measurement.</t>
  </si>
  <si>
    <t>CZECH ACADEMY AGRICULTURAL SCIENCES</t>
  </si>
  <si>
    <t>PRAGUE</t>
  </si>
  <si>
    <t>TESNOV 17, PRAGUE, 117 05, CZECH REPUBLIC</t>
  </si>
  <si>
    <t>1801-5395</t>
  </si>
  <si>
    <t>1805-9384</t>
  </si>
  <si>
    <t>SOIL WATER RES</t>
  </si>
  <si>
    <t>Soil Water Res.</t>
  </si>
  <si>
    <t>10.17221/231/2016-SWR</t>
  </si>
  <si>
    <t>Soil Science; Water Resources</t>
  </si>
  <si>
    <t>Agriculture; Water Resources</t>
  </si>
  <si>
    <t>GD0JE</t>
  </si>
  <si>
    <t>WOS:000430186300001</t>
  </si>
  <si>
    <t>Ametrano, A; Vitale, M; Coscia, MR</t>
  </si>
  <si>
    <t>Ametrano, A.; Vitale, M.; Coscia, M. R.</t>
  </si>
  <si>
    <t>Evolutionary analysis of Immunoglobulin T genes from Antarctic fish</t>
  </si>
  <si>
    <t>ISJ-INVERTEBRATE SURVIVAL JOURNAL</t>
  </si>
  <si>
    <t>[Ametrano, A.; Vitale, M.; Coscia, M. R.] CNR, Inst Prot Biochem, Naples, Italy</t>
  </si>
  <si>
    <t>Consiglio Nazionale delle Ricerche (CNR); Istituto di Biochimica delle Proteine (IBP-CNR)</t>
  </si>
  <si>
    <t>Coscia, Maria Rosaria/AAU-1808-2021</t>
  </si>
  <si>
    <t>INVERTEBRATE SURVIVAL JOURNAL</t>
  </si>
  <si>
    <t>C/O ENZO OTTAVIANI UNIV MODENA &amp; REGGIO EMILIA, DEPT BIOLOGIA ANIMALE, VIA CAMPI, 213-D, MODENA, 41100, ITALY</t>
  </si>
  <si>
    <t>1824-307X</t>
  </si>
  <si>
    <t>ISJ-INVERT SURVIV J</t>
  </si>
  <si>
    <t>ISJ-Invertebr. Surviv. J.</t>
  </si>
  <si>
    <t>Immunology; Zoology</t>
  </si>
  <si>
    <t>GC9KQ</t>
  </si>
  <si>
    <t>WOS:000430116300055</t>
  </si>
  <si>
    <t>Gao, DK; Zhang, XM; Li, WT; Zhang, PD</t>
  </si>
  <si>
    <t>Gao, Dongkui; Zhang, Xiumei; Li, Wentao; Zhang, Peidong</t>
  </si>
  <si>
    <t>Comparative study on the surface ultrastructures of fertilized eggs of three Sebastes species</t>
  </si>
  <si>
    <t>Audrey J; Geffen; Micropyle; morphology; pore; rockfishes; species identification; vestibule</t>
  </si>
  <si>
    <t>ANTARCTIC FISH EGGS; FINE-STRUCTURE; ZONA RADIATA; PELAGIC EGGS; IDENTIFICATION; MICROPYLE; TELEOSTEI; ENVELOPE; CHARACIFORMES; CHARACIDAE</t>
  </si>
  <si>
    <t>Fertilized eggs of Sebastes schlegelii, Sebastes pachycephalus and Sebastes hubbsi are morphologically similar under stereomicroscope. However, under the scanning electron microscope, significant differences in the ultrastructures of the egg surface among the three species were observed, and herein, a taxonomic key was proposed for future applications. A clustering analysis based on the ultrastructures of the egg surface and the diameter of the oil globule suggested that among the three species, S. hubbsi and S. pachycephalus were more genetically similar, while S. schlegelii had diverged earlier. The results agree with the conclusions drawn from morphological and molecular analyses on adult samples of the same species.</t>
  </si>
  <si>
    <t>[Gao, Dongkui; Zhang, Xiumei; Li, Wentao; Zhang, Peidong] Ocean Univ China, Key Lab Mariculture, Minist Educ, Qingdao 266003, Shandong, Peoples R China; [Gao, Dongkui] Dalian Ocean Univ, Sch Marine Sci &amp; Environm Engn, Dalian, Peoples R China; [Zhang, Xiumei] Qingdao Natl Lab Marine Sci &amp; Technol, Lab Marine Fisheries &amp; Aquaculture, Qingdao 266072, Shandong, Peoples R China</t>
  </si>
  <si>
    <t>Ocean University of China; Dalian Ocean University; Laoshan Laboratory</t>
  </si>
  <si>
    <t>Zhang, XM (corresponding author), Ocean Univ China, Key Lab Mariculture, Minist Educ, Qingdao 266003, Shandong, Peoples R China.;Zhang, XM (corresponding author), Qingdao Natl Lab Marine Sci &amp; Technol, Lab Marine Fisheries &amp; Aquaculture, Qingdao 266072, Shandong, Peoples R China.</t>
  </si>
  <si>
    <t>gaozhang@ouc.edu.cn</t>
  </si>
  <si>
    <t>Zhang, Peidong/AAA-7564-2022</t>
  </si>
  <si>
    <t>Zhang, Peidong/0000-0003-3243-691X</t>
  </si>
  <si>
    <t>National Program on Key Basic Research Project (973 Program) [2015CB453302]; National Natural Science Foundation of China [31172447, 41176117, 31272667]</t>
  </si>
  <si>
    <t>National Program on Key Basic Research Project (973 Program)(National Basic Research Program of China); National Natural Science Foundation of China(National Natural Science Foundation of China (NSFC))</t>
  </si>
  <si>
    <t>This work was supported by the National Program on Key Basic Research Project (973 Program) [grant number 2015CB453302]; and the National Natural Science Foundation of China [grant number 31172447, 41176117 and 31272667].</t>
  </si>
  <si>
    <t>10.1080/17451000.2018.1425457</t>
  </si>
  <si>
    <t>GC8WO</t>
  </si>
  <si>
    <t>WOS:000430079400002</t>
  </si>
  <si>
    <t>Cerrone, D; Fusco, G</t>
  </si>
  <si>
    <t>Cerrone, D.; Fusco, G.</t>
  </si>
  <si>
    <t>Low-Frequency Climate Modes and Antarctic Sea Ice Variations, 1982-2013</t>
  </si>
  <si>
    <t>JOURNAL OF CLIMATE</t>
  </si>
  <si>
    <t>SOUTHERN ANNULAR MODE; NOVA BAY POLYNYA; NCEP-NCAR REANALYSIS; SEMIANNUAL OSCILLATION; MANN-KENDALL; LEVEL PRESSURE; AUSTRAL SUMMER; ANNUAL CYCLE; WEDDELL SEA; IN-SITU</t>
  </si>
  <si>
    <t>The NCEP-NCAR composite dataset (comprising sea level pressure, 500-hPa geopotential height, 500-hPa temperature, and meridional wind stress at 10 m above the surface) is used for compiling a set of climate indices describing the most important physical modes of variability in the Southern Hemisphere (SH): the southern annular mode (SAM), semiannual oscillation (SAO), Pacific-South American (PSA), and quasi-stationary zonal wavenumber 3 (ZW3) patterns. Compelling evidence indicates that the large increase in the SH sea ice, recorded over recent years, arises from the impact of climate modes and their long-term trends. The examination of variability ranging from seasonal to interdecadal scales, and of trends within the climate patterns and total Antarctic sea ice concentration (SIC) for the 32-yr period (1982-2013), is the key focus of this paper. The results herein indicate that a progressive cooling has affected the year-to-year climate of the sub-Antarctic since the 1990s. This feature is found in association with increased positive SAM and SAO phases detected in terms of upward annual and seasonal trends (in autumn and summer) and upward decadal trends. In addition, the SIC shows upward annual, spring, and summer trends, indicating the insulation of Antarctica from the warmer flows in the midlatitudes. This picture of variations is also found to be consistent with the upward trends detected for the PSA and ZW3 patterns on the annual scale and during the last two decades. Evidence of a more frequent occurrence of the PSA-ZW3 combination could explain, in part, the significant increase of the regional and total Antarctic sea ice coverages.</t>
  </si>
  <si>
    <t>[Cerrone, D.; Fusco, G.] Univ Naples Parthenope, Sci &amp; Technol Dept DiST, Naples, Italy; [Fusco, G.] Consorzio Nazl Interuniv Sci Mare CoNISMa, Rome, Italy</t>
  </si>
  <si>
    <t>Parthenope University Naples; CoNISMa</t>
  </si>
  <si>
    <t>Cerrone, D (corresponding author), Univ Naples Parthenope, Sci &amp; Technol Dept DiST, Naples, Italy.</t>
  </si>
  <si>
    <t>dario.cerrone@uniparthenope.it</t>
  </si>
  <si>
    <t>Fusco, Giannetta/J-5118-2019</t>
  </si>
  <si>
    <t>Fusco, Giannetta/0000-0003-1769-2456</t>
  </si>
  <si>
    <t>0894-8755</t>
  </si>
  <si>
    <t>1520-0442</t>
  </si>
  <si>
    <t>J CLIMATE</t>
  </si>
  <si>
    <t>J. Clim.</t>
  </si>
  <si>
    <t>10.1175/JCLI-D-17-0184.1</t>
  </si>
  <si>
    <t>GC1GN</t>
  </si>
  <si>
    <t>WOS:000429528800009</t>
  </si>
  <si>
    <t>Bracegirdle, TJ; Hyder, P; Holmes, CR</t>
  </si>
  <si>
    <t>Bracegirdle, Thomas J.; Hyder, Patrick; Holmes, Caroline R.</t>
  </si>
  <si>
    <t>CMIP5 Diversity in Southern Westerly Jet Projections Related to Historical Sea Ice Area: Strong Link to Strengthening and Weak Link to Shift</t>
  </si>
  <si>
    <t>EDDY-DRIVEN JET; ATMOSPHERIC CIRCULATION; CLIMATE-CHANGE; OCEAN; SENSITIVITY; VARIABILITY; MODELS; TRENDS; STREAM; OZONE</t>
  </si>
  <si>
    <t>A major feature of projected changes in Southern Hemisphere climate under future scenarios of increased greenhouse gas concentrations is the poleward shift and strengthening of the main eddy-driven belt of midlatitude, near-surface westerly winds (the westerly jet). However, there is large uncertainty in projected twenty-first-century westerly jet changes across different climate models. Here models from the World Climate Research Programme's phase 5 of the Coupled Model Intercomparison Project (CMIP5) were evaluated to assess linkages between diversity in simulated sea ice area (SIA), Antarctic amplification, and diversity in projected twenty-first-century changes in the westerly jet following the representative concentration pathway 8.5 (RCP8.5) scenario. To help disentangle cause and effect in the coupled model analysis, uncoupled atmosphere-only fixed sea surface experiments from CMIP5 were also evaluated. It is shown that across all seasons, approximately half of the variance in projected RCP8.5 jet strengthening is explained statistically by intermodel differences in simulated historical SIA, whereby CMIP5 models with larger baseline SIA exhibit more ice retreat and less jet strengthening in the future. However, links to jet shift are much weaker and are only statistically significant in austral autumn and winter. It is suggested that a significant cross-model correlation between historical jet strength and projected strength change (r=-0.58) is, at least in part, a result of atmospherically driven historical SIA biases, which then feed back into the atmosphere in future projections. The results emphasize that SIA appears to act in concert with proximal changes in sea surface temperature gradients in relation to model diversity in westerly jet projections.</t>
  </si>
  <si>
    <t>[Bracegirdle, Thomas J.; Holmes, Caroline R.] British Antarctic Survey, Cambridge, England; [Hyder, Patrick] Met Off Hadley Ctr, Exeter, Devon, England</t>
  </si>
  <si>
    <t>UK Research &amp; Innovation (UKRI); Natural Environment Research Council (NERC); NERC British Antarctic Survey; Met Office - UK; Hadley Centre</t>
  </si>
  <si>
    <t>Bracegirdle, TJ (corresponding author), British Antarctic Survey, Cambridge, England.</t>
  </si>
  <si>
    <t>tjbra@bas.ac.uk</t>
  </si>
  <si>
    <t>Bracegirdle, Tom/AAD-6060-2020</t>
  </si>
  <si>
    <t>Natural Environment Research Council [NE/N018486/1]; Research Council of Norway [248803/E10]; NERC [NE/N018486/1, NE/N01829X/1, bas0100032] Funding Source: UKRI; Natural Environment Research Council [NE/N018486/1, bas0100032, NE/N01829X/1] Funding Source: researchfish</t>
  </si>
  <si>
    <t>Natural Environment Research Council(UK Research &amp; Innovation (UKRI)Natural Environment Research Council (NERC)); Research Council of Norway(Research Council of Norway); NERC(UK Research &amp; Innovation (UKRI)Natural Environment Research Council (NERC)); Natural Environment Research Council(UK Research &amp; Innovation (UKRI)Natural Environment Research Council (NERC))</t>
  </si>
  <si>
    <t>Three anonymous reviewers are thanked for their suggested improvements to the manuscript. The World Climate Research Programme's Working Group on Coupled Modelling, which is responsible for CMIP, and the climate modeling groups (listed in the appendix of this paper) are thanked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original CMIP5 data can be accessed through the ESGF data portals (see http://pcmdi-cmip.llnl.gov/cmip5/availability.html). The European Centre for Medium-Range Weather Forecasts is thanked for providing the ERA-Interim dataset. This study was funded partially by the Natural Environment Research Council both as part of the British Antarctic Survey Polar Science for Planet Earth Programme and Grant NE/N018486/1. It was also funded by the Research Council of Norway as a contribution to Project 248803/E10. The Antarctic Climate Change in the 21st Century (AntClim21) Scientific Research Programme of the Scientific Committee on Antarctic Research are thanked for supporting a workshop at which early ideas for this study were initiated. ColorBrewer are acknowledged for providing the color scale used in the figures.</t>
  </si>
  <si>
    <t>10.1175/JCLI-D-17-0320.1</t>
  </si>
  <si>
    <t>Green Accepted, hybrid</t>
  </si>
  <si>
    <t>WOS:000429528800011</t>
  </si>
  <si>
    <t>Smith, KL; Chiodo, G; Previdi, M; Polvani, LM</t>
  </si>
  <si>
    <t>Smith, Karen L.; Chiodo, Gabriel; Previdi, Michael; Polvani, Lorenzo M.</t>
  </si>
  <si>
    <t>No Surface Cooling over Antarctica from the Negative Greenhouse Effect Associated with Instantaneous Quadrupling of CO2 Concentrations</t>
  </si>
  <si>
    <t>TEMPERATURES</t>
  </si>
  <si>
    <t>Over the highest elevations of Antarctica, during many months of the year, air near the surface is colder than in much of the overlying atmosphere. This unique feature of the Antarctic atmosphere has been shown to result in a negative greenhouse effect and a negative instantaneous radiative forcing at the top of the atmosphere (RFTOA:INST), when carbon dioxide (CO2) concentrations are increased, and it has been suggested that this effect might play some role in te recent cooling trends observed over East Antarctica. Here, using fully coupled global climate model integrations, in addition to radiative transfer model calculations, the authors confirm the existence of such a negative RFTOA:INST over parts of Antarctica in response to an instantaneous quadrupling of CO2. However, it is also shown that the instantaneous radiative forcing at the tropopause (RFTP:INST) is positive. Further, the negative RFTOA:INST lasts only a few days following the imposed perturbation, and rapidly disappears as the stratosphere cools in response to increased CO2. As a consequence, like the RFTP:INST, the stratosphere-adjusted radiative forcing at the TOA is positive over all of Antarctica and, in the model presented herein, surface temperatures increase everywhere over that continent in response to quadrupled CO2. The results, therefore, clearly demonstrate that the curious negative instantaneous radiative forcing plays no role in the recently observed East Antarctic cooling.</t>
  </si>
  <si>
    <t>[Smith, Karen L.] Univ Toronto Scarborough, Toronto, ON, Canada; [Smith, Karen L.; Previdi, Michael] Lamont Doherty Earth Observ, Palisades, NY 10964 USA; [Chiodo, Gabriel] Columbia Univ, Dept Appl Phys &amp; Appl Math, New York, NY USA; [Polvani, Lorenzo M.] Columbia Univ, Dept Earth &amp; Environm Sci, Dept Appl Phys &amp; Appl Math, New York, NY USA; [Polvani, Lorenzo M.] Columbia Univ, Lamont Doherty Earth Observ, New York, NY USA</t>
  </si>
  <si>
    <t>University of Toronto; University Toronto Scarborough; Columbia University; Columbia University; Columbia University; Columbia University</t>
  </si>
  <si>
    <t>Smith, KL (corresponding author), Univ Toronto Scarborough, Toronto, ON, Canada.;Smith, KL (corresponding author), Lamont Doherty Earth Observ, Palisades, NY 10964 USA.</t>
  </si>
  <si>
    <t>karen.smith@utoronto.ca</t>
  </si>
  <si>
    <t>Polvani, Lorenzo M/E-5949-2011; Chiodo, Gabriel/AGI-6886-2022; Chiodo, Gabriel/GPX-3646-2022; Chiodo, Gabriel/C-6626-2016</t>
  </si>
  <si>
    <t>Chiodo, Gabriel/0000-0002-8079-6314; Chiodo, Gabriel/0000-0002-8079-6314; Smith, Karen/0000-0002-4652-6310</t>
  </si>
  <si>
    <t>U.S. National Science Foundation [PLR-13-41657, AGS-13-22439]</t>
  </si>
  <si>
    <t>U.S. National Science Foundation(National Science Foundation (NSF))</t>
  </si>
  <si>
    <t>This work is supported by two awards (PLR-13-41657 and AGS-13-22439) from the U.S. National Science Foundation to Columbia University. The authors wish to express their gratitude to Dr. Stephen Warren, of the University of Washington, for bringing to their attention the work of Hanel et al. (1972). It is delightful, and a little humbling, to be able to revisit and expand upon a finding that is nearly half a century old.</t>
  </si>
  <si>
    <t>10.1175/JCLI-D-17-0418.1</t>
  </si>
  <si>
    <t>WOS:000429528800018</t>
  </si>
  <si>
    <t>Oliver, ECJ; Perkins-Kirkpatrick, SE; Holbrook, NJ; Bindoff, NL</t>
  </si>
  <si>
    <t>Oliver, Eric C. J.; Perkins-Kirkpatrick, Sarah E.; Holbrook, Neil J.; Bindoff, Nathaniel L.</t>
  </si>
  <si>
    <t>ANTHROPOGENIC AND NATURAL INFLUENCES ON RECORD 2016 MARINE HEAT WAVES</t>
  </si>
  <si>
    <t>[Oliver, Eric C. J.; Holbrook, Neil J.; Bindoff, Nathaniel L.] Univ Tasmania, Inst Marine &amp; Antarctic Studies, Hobart, Tas, Australia; [Oliver, Eric C. J.; Holbrook, Neil J.; Bindoff, Nathaniel L.] Australian Res Council, Ctr Excellence Climate Syst Sci, Hobart, Tas, Australia; [Oliver, Eric C. J.] Dalhousie Univ, Dept Oceanog, Halifax, NS, Canada; [Perkins-Kirkpatrick, Sarah E.] Univ New South Wales, Climate Change Res Ctr, Sydney, NSW, Australia; [Perkins-Kirkpatrick, Sarah E.] Australian Res Council, Ctr Excellence Climate Syst Sci, Sydney, NSW, Australia; [Bindoff, Nathaniel L.] Univ Tasmania, Antarctic &amp; Climate Ecosyst Cooperat Res Ctr, Hobart, Tas, Australia</t>
  </si>
  <si>
    <t>University of Tasmania; Dalhousie University; University of New South Wales Sydney; University of Tasmania; Antarctic Climate &amp; Ecosystems Cooperative Research Centre (ACE CRC)</t>
  </si>
  <si>
    <t>Oliver, ECJ (corresponding author), Univ Tasmania, Inst Marine &amp; Antarctic Studies, Hobart, Tas, Australia.;Oliver, ECJ (corresponding author), Australian Res Council, Ctr Excellence Climate Syst Sci, Hobart, Tas, Australia.;Oliver, ECJ (corresponding author), Dalhousie Univ, Dept Oceanog, Halifax, NS, Canada.</t>
  </si>
  <si>
    <t>Bindoff, Nathaniel Lee/C-8050-2011; Perkins-Kirkpatrick, Sarah E/O-5042-2015; Bindoff, Nathaniel Lee/IVV-0333-2023; Oliver, Eric/G-5118-2014; Holbrook, Neil/M-7544-2013</t>
  </si>
  <si>
    <t>Bindoff, Nathaniel Lee/0000-0001-5662-9519; Bindoff, Nathaniel Lee/0000-0001-5662-9519; Perkins-Kirkpatrick, Sarah/0000-0001-9443-4915; Oliver, Eric/0000-0002-4006-2826; Holbrook, Neil/0000-0002-3523-6254</t>
  </si>
  <si>
    <t>Australian Research Council (ARC) Centre of Excellence for Climate System Science (ARCCSS) [CE110001028]; ARC [DE140100952]; [B0024391]</t>
  </si>
  <si>
    <t>Australian Research Council (ARC) Centre of Excellence for Climate System Science (ARCCSS)(Australian Research Council); ARC(Australian Research Council);</t>
  </si>
  <si>
    <t>EO was supported by the Australian Research Council (ARC) Centre of Excellence for Climate System Science (ARCCSS) grant number CE110001028, and SPK by ARC grant number DE140100952. This paper makes a contribution to National Environmental Science Programme (NESP) Earth Systems and Climate Change (ESCC) Hub Project 2.3 (B0024391), the International Commission on Climate of IAMAS/IUGG, and ARCCSS.</t>
  </si>
  <si>
    <t>S44</t>
  </si>
  <si>
    <t>S48</t>
  </si>
  <si>
    <t>10.1175/BAMS-D-17-0093.1</t>
  </si>
  <si>
    <t>GB8IG</t>
  </si>
  <si>
    <t>Green Submitted, Green Accepted, Bronze</t>
  </si>
  <si>
    <t>WOS:000429319000009</t>
  </si>
  <si>
    <t>Amano, K; Takahashi, K; Okazaki, E; Osako, K</t>
  </si>
  <si>
    <t>Amano, Kayo; Takahashi, Kigen; Okazaki, Emiko; Osako, Kazufumi</t>
  </si>
  <si>
    <t>Suppression of proteolysis of North Pacific krill Euphausia pacifica meat during protein recovery process to improve the thermal gel-forming ability of the recovered protein by using protease inhibitors</t>
  </si>
  <si>
    <t>NIPPON SUISAN GAKKAISHI</t>
  </si>
  <si>
    <t>Japanese</t>
  </si>
  <si>
    <t>ISOELECTRIC SOLUBILIZATION/PRECIPITATION; MYOFIBRILLAR PROTEIN; ANTARCTIC KRILL; DEGRADATION; AUTOLYSIS; MUSCLE; SALT</t>
  </si>
  <si>
    <t>To utilize North Pacific krill Euphausia pacifica as a raw material of gel products, protease inhibitors were used to suppress proteolysis during the krill protein recovery process to improve the thermal gel-forming ability of the recovered protein. The krill was homogenized with NaClaq (final conc. 4%) and then diluted to 10 times (v/v) to obtain recovered protein. Intense autolysis including myosin heavy chain (MHC) degradation in the recovered protein was observed at the dehydration step and it was effectively suppressed in the presence of serine protease inhibitors such as 50 mmol/kg Benzamidine, 1.0 mg/g SBTI or 5 mmol/kg PMSF. The thermal gel-forming ability of the recovered krill protein was enhanced by using these serine protease inhibitors when heated at 40, 60 and 90 degrees C. Additionally, the gel-forming ability was significantly (p &lt; 0.05) improved by using a mix of serine protease inhibitors (mixture of benzamidine, SBTI and PMSF) compared to single inhibitors. These results suggest that serine proteases involve proteolysis during the krill protein recovery process and the gel forming ability of the recovered protein can be improved by using serine protease inhibitors.</t>
  </si>
  <si>
    <t>[Amano, Kayo; Takahashi, Kigen; Okazaki, Emiko; Osako, Kazufumi] Tokyo Univ Marine Sci &amp; Technol, Grad Sch Marine Sci &amp; Technol, Minato Ku, Tokyo 1088477, Japan</t>
  </si>
  <si>
    <t>Tokyo University of Marine Science &amp; Technology</t>
  </si>
  <si>
    <t>Osako, K (corresponding author), Tokyo Univ Marine Sci &amp; Technol, Grad Sch Marine Sci &amp; Technol, Minato Ku, Tokyo 1088477, Japan.</t>
  </si>
  <si>
    <t>osako@kaiyodai.ac.jp</t>
  </si>
  <si>
    <t>TAKAHASHI, Kigen/0000-0003-3102-9730</t>
  </si>
  <si>
    <t>JAPANESE SOC FISHERIES SCIENCE</t>
  </si>
  <si>
    <t>C/O TOKYO UNIV FISHERIES, KONAN 4, MINATO, TOKYO, 108-8477, JAPAN</t>
  </si>
  <si>
    <t>0021-5392</t>
  </si>
  <si>
    <t>1349-998X</t>
  </si>
  <si>
    <t>NIPPON SUISAN GAKK</t>
  </si>
  <si>
    <t>Nippon Suisan Gakkaishi</t>
  </si>
  <si>
    <t>10.2331/suisan.17-00051</t>
  </si>
  <si>
    <t>GB6VG</t>
  </si>
  <si>
    <t>WOS:000429211800009</t>
  </si>
  <si>
    <t>Mcclelland, GTW; Altwegg, R; van Aarde, RJ; Ferreira, S; Burger, AE; Chown, SL</t>
  </si>
  <si>
    <t>Mcclelland, Gregory T. W.; Altwegg, Res; van Aarde, Rudi J.; Ferreira, Sam; Burger, Alan E.; Chown, Steven L.</t>
  </si>
  <si>
    <t>Climate change leads to increasing population density and impacts of a key island invader</t>
  </si>
  <si>
    <t>ECOLOGICAL APPLICATIONS</t>
  </si>
  <si>
    <t>biological invasions; climate warming; insect conservation; islands; Mus musculus; rodents</t>
  </si>
  <si>
    <t>SUB-ANTARCTIC MARION; MICE MUS-MUSCULUS; HOUSE MOUSE-POPULATIONS; FERAL CATS; INTRODUCED RATS; LOW-TEMPERATURE; HABITAT USE; BODY-SIZE; DIET; REPRODUCTION</t>
  </si>
  <si>
    <t>The considerable threats of invasive rodents to island biodiversity are likely to be compounded by climate change. Forecasts for such interactions have been most pronounced for the Southern Ocean islands where ameliorating conditions are expected to decrease thermal and resource restrictions on rodents. Firm evidence for changing rodent populations in response to climate change, and demonstrations of associated impacts on the terrestrial environment, are nonetheless entirely absent for the region. Using data collected over three decades on sub-Antarctic Marion Island, we tested empirically whether mouse populations have changed through time and whether these changes can be associated significantly with changing abiotic conditions. Changes in invertebrate populations, which have previously been attributed to mouse predation, but with little explicit demographic analysis, were also examined to determine whether they can be associated with changing mouse populations. The total number of mice on the island at annual peak density increased by 430.0% between 1979-1980 and 2008-2011. This increase was due to an advanced breeding season, which was robustly related to the number of precipitation-free days during the non-breeding season. Mice directly reduced invertebrate densities, with biomass losses of up to two orders of magnitude in some habitats. Such invertebrate declines are expected to have significant consequences for ecosystem processes over the long term. Our results demonstrate that as climate change continues to create ameliorating conditions for invasive rodents on sub-Antarctic islands, the severity of their impacts will increase. They also emphasize the importance of rodent eradication for the restoration of invaded islands.</t>
  </si>
  <si>
    <t>[Mcclelland, Gregory T. W.] Stellenbosch Univ, Ctr Invas Biol, Dept Bot &amp; Zool, Matieland, South Africa; [Altwegg, Res] Univ Cape Town, Ctr Stat Ecol Environm &amp; Conservat, Dept Stat Sci, Private Bag X3, ZA-7701 Rondebosch, South Africa; [Altwegg, Res] Univ Cape Town, African Climate &amp; Dev Initiat, Private Bag X3, ZA-7701 Rondebosch, South Africa; [van Aarde, Rudi J.; Ferreira, Sam] Univ Pretoria, Dept Zool &amp; Entomol, Conservat Ecol Res Unit, ZA-0083 Pretoria, South Africa; [Ferreira, Sam] SANParks, Sci Serv, Kruger Natl Pk, South Africa; [Burger, Alan E.] Univ Victoria, Dept Biol, Victoria, BC V8W 3N5, Canada; [Chown, Steven L.] Monash Univ, Sch Biol Sci, Clayton, Vic 3800, Australia</t>
  </si>
  <si>
    <t>Stellenbosch University; University of Cape Town; University of Cape Town; University of Pretoria; University of Victoria; Monash University</t>
  </si>
  <si>
    <t>Mcclelland, GTW (corresponding author), Stellenbosch Univ, Ctr Invas Biol, Dept Bot &amp; Zool, Matieland, South Africa.</t>
  </si>
  <si>
    <t>mcclellandgreg@gmail.com</t>
  </si>
  <si>
    <t>Chown, Steven/0000-0001-6069-5105</t>
  </si>
  <si>
    <t>South African National Antarctic Programme (SANAP); South African National Research Foundation (NRF) [SNA2011110700005]; SANAP bursary; NRF [85802]</t>
  </si>
  <si>
    <t>South African National Antarctic Programme (SANAP); South African National Research Foundation (NRF)(National Research Foundation - South Africa); SANAP bursary; NRF</t>
  </si>
  <si>
    <t>We thank all members of the Marion Island overwintering teams that contributed to the data collection and the South African National Antarctic Programme (SANAP) for logistic and funding support over many years. The South African Weather Service kindly provided weather data. The manuscript was greatly improved by two anonymous reviewers. This integrated study was funded by South African National Research Foundation (NRF) grant SNA2011110700005 to S. L. Chown and by a SANAP bursary to G. T. W. McClelland. R. Altwegg was supported by NRF grant no. 85802.</t>
  </si>
  <si>
    <t>1051-0761</t>
  </si>
  <si>
    <t>1939-5582</t>
  </si>
  <si>
    <t>ECOL APPL</t>
  </si>
  <si>
    <t>Ecol. Appl.</t>
  </si>
  <si>
    <t>10.1002/eap.1642</t>
  </si>
  <si>
    <t>GB4BJ</t>
  </si>
  <si>
    <t>WOS:000429004700016</t>
  </si>
  <si>
    <t>Xu, ZQ; Liu, XY; Shen, ZX</t>
  </si>
  <si>
    <t>Tao, CW</t>
  </si>
  <si>
    <t>Xu, Zhi-Qiang; Liu, Xiang-Yong; Shen, Zhi-Xin</t>
  </si>
  <si>
    <t>A Kind of Wave Passive Compensation Device's Pressure Research</t>
  </si>
  <si>
    <t>MECHANICS AND MATERIALS SCIENCE</t>
  </si>
  <si>
    <t>International Conference on Mechanics and Materials Science (MMS)</t>
  </si>
  <si>
    <t>OCT 15-16, 2016</t>
  </si>
  <si>
    <t>Guangzhou, PEOPLES R CHINA</t>
  </si>
  <si>
    <t>Wave Compensation; Accumulator's Pressure; Mathematical Model; Experimental Evidence</t>
  </si>
  <si>
    <t>In the large water trawlers system work process, trawlers are influenced by the marine environment, and can produce significant movement, which seriously affect the drag efficiency. This study is based on the design of wave passive compensation device, establish a mathematical model for the simulation analysis, design the test process, extract and analyze the test data, finally compared with the theoretical analysis results and found that: Pressure of the accumulator change in cycle according to hoist's cycle (caused by external disturbances), hoist's displacement has different trend with the accumulator pressure. When the displacement amplitude is in less than 50 mm, pressure keep stable; Suffered the effect of inertia force, the speeds of pressure change in different stages. By the simulation analysis, the greater the charge pressure of accumulator in the equilibrium position, the greater pressure; the larger the accumulator's area, the smaller the pressure.</t>
  </si>
  <si>
    <t>[Xu, Zhi-Qiang; Shen, Zhi-Xin] Minist Agr, Key Lab Fishery Equipment &amp; Engn, Shanghai 200092, Peoples R China; [Xu, Zhi-Qiang; Shen, Zhi-Xin] Chinese Acad Fishery Sci, Fishery Machinery &amp; Instrument Res Inst, Shanghai 20092, Peoples R China; [Liu, Xiang-Yong] Tongji Univ, Sch Machinery, Shanghai 201804, Peoples R China; [Liu, Xiang-Yong] Tongji Univ, Energy Fac, Shanghai 201804, Peoples R China</t>
  </si>
  <si>
    <t>Ministry of Agriculture &amp; Rural Affairs; Chinese Academy of Fishery Sciences; Fishery Machinery &amp; Instrument Research Institute, CAFS; Tongji University; Tongji University</t>
  </si>
  <si>
    <t>Xu, ZQ (corresponding author), Minist Agr, Key Lab Fishery Equipment &amp; Engn, Shanghai 200092, Peoples R China.;Xu, ZQ (corresponding author), Chinese Acad Fishery Sci, Fishery Machinery &amp; Instrument Res Inst, Shanghai 20092, Peoples R China.</t>
  </si>
  <si>
    <t>710885278@qq.com; tjlxy2016@163.com; 1749280335@qq.com</t>
  </si>
  <si>
    <t>Agriculture ministry's science and technology research project: the Antarctic krill trawl drag steel tension balance's control technology research [201203018]; uangdong Marine economic innovation development demonstration area's special project [GD2013 - D01-001]</t>
  </si>
  <si>
    <t>Agriculture ministry's science and technology research project: the Antarctic krill trawl drag steel tension balance's control technology research; uangdong Marine economic innovation development demonstration area's special project</t>
  </si>
  <si>
    <t>This research was financially supported by Foundation:(1) Agriculture ministry's science and technology research project: the Antarctic krill trawl drag steel tension balance's control technology research (201203018); uangdong Marine economic innovation development demonstration area's special project (GD2013 - D01-001)</t>
  </si>
  <si>
    <t>WORLD SCIENTIFIC PUBL CO PTE LTD</t>
  </si>
  <si>
    <t>SINGAPORE</t>
  </si>
  <si>
    <t>PO BOX 128 FARRER RD, SINGAPORE 9128, SINGAPORE</t>
  </si>
  <si>
    <t>978-981-3228-16-0; 978-981-3228-16-0</t>
  </si>
  <si>
    <t>Engineering, Mechanical; Materials Science, Multidisciplinary; Mechanics</t>
  </si>
  <si>
    <t>Engineering; Materials Science; Mechanics</t>
  </si>
  <si>
    <t>BJ8HG</t>
  </si>
  <si>
    <t>WOS:000428201900012</t>
  </si>
  <si>
    <t>Volonterio, O; de León, RP</t>
  </si>
  <si>
    <t>Volonterio, Odile; Ponce de Leon, Rodrigo</t>
  </si>
  <si>
    <t>A new species of Austrorhynchus (Platyhelminthes: Kalyptorhynchia) from King George Island (Maritime Antarctic)</t>
  </si>
  <si>
    <t>JOURNAL OF NATURAL HISTORY</t>
  </si>
  <si>
    <t>Antarctica; Austrorhynchus; meiobenthos; Polycystididae; taxonomy; zoogeography</t>
  </si>
  <si>
    <t>PRIMARY HOMOLOGY ASSESSMENT; ATRIAL SYSTEM; POLYCYSTIDIDAE; EUKALYPTORHYNCHIA; RHABDOCOELA; TURBELLARIA; EVOLUTION; TAXONOMY; COASTAL; ANATOMY</t>
  </si>
  <si>
    <t>A new species of the turbellarian genus Austrorhynchus (Kalyptorhynchia: Polycystididae) was found in King George Island (South Shetland Islands, Maritime Antarctic). The new species has eyes and white to greyish parenchyma. The type II prostate stylet has a funnel and a slightly bent tube with an inner stylet extending throughout its length; a strongly bent hook of about the same size as the tube is present. The type III prostate stylet has a foot and a style connected by a bridge, defining a broad window; the style expands to a comb-bearing plate with large teeth; the foot continues into a narrow flagellum with a distal expansion and a row of fine teeth. The species is oviparous. It can be distinguished from the other known Austrorhynchus species by the shape and size of the type II and type III prostate stylets. Out of the five known species of Austrorhynchus presenting a window in the type III stylet, the four more similar ones are found in the northern arm of the Scotia Arc and the Weddell Sea area. This is the first report of Kalyptorhynchia from the Antarctic portion of the Scotia Sea, and it confirms previous observations that the true number of Austrorhynchus species in the area must be higher than what is currently known.http://www.zoobank.org/urn:lsid:zoobank.org:pub:098ADF23-763B-41F6-A2F5-54F6AA8620E8</t>
  </si>
  <si>
    <t>[Volonterio, Odile; Ponce de Leon, Rodrigo] Univ Republica, Fac Ciencias, Secc Zool Invertebrados, Montevideo, Uruguay</t>
  </si>
  <si>
    <t>Universidad de la Republica, Uruguay</t>
  </si>
  <si>
    <t>Volonterio, O (corresponding author), Univ Republica, Fac Ciencias, Secc Zool Invertebrados, Montevideo, Uruguay.</t>
  </si>
  <si>
    <t>o.volonterio@outlook.com</t>
  </si>
  <si>
    <t>Volonterio, Odile/GOK-2869-2022</t>
  </si>
  <si>
    <t>Scientific Committee on Antarctic Research (SCAR) under a SCAR Fellowship</t>
  </si>
  <si>
    <t>This work was supported by the Scientific Committee on Antarctic Research (SCAR) under a SCAR Fellowship 2009-2010.</t>
  </si>
  <si>
    <t>0022-2933</t>
  </si>
  <si>
    <t>1464-5262</t>
  </si>
  <si>
    <t>J NAT HIST</t>
  </si>
  <si>
    <t>J. Nat. Hist.</t>
  </si>
  <si>
    <t>11-12</t>
  </si>
  <si>
    <t>10.1080/00222933.2018.1444212</t>
  </si>
  <si>
    <t>Biodiversity Conservation; Ecology; Zoology</t>
  </si>
  <si>
    <t>Biodiversity &amp; Conservation; Environmental Sciences &amp; Ecology; Zoology</t>
  </si>
  <si>
    <t>GB1WM</t>
  </si>
  <si>
    <t>WOS:000428841800001</t>
  </si>
  <si>
    <t>Dandapath, S; Menezes, A; Chakraborty, B; Kurian, J; Raju, KNP</t>
  </si>
  <si>
    <t>Dandapath, Sumanta; Menezes, Andrew; Chakraborty, Bishwajit; Kurian, John; Raju, Koppella N. Prudhvi</t>
  </si>
  <si>
    <t>Seafloor Geomorphology and Processes on the Western Continental Margin of India based on Multibeam Acoustic Backscatter Data Analysis</t>
  </si>
  <si>
    <t>Arabian sea; continental margin landforms; fractal dimension; geomorphic processes; multibeam sonar; mapping; seafloor geomorphology; sediment movement</t>
  </si>
  <si>
    <t>OXYGEN MINIMUM ZONE; EASTERN ARABIAN SEA; ORGANIC-CARBON; GALICIA BANK; SHELF; SLOPE; TOPOGRAPHY; POCKMARKS; SEDIMENTS; ROUGHNESS</t>
  </si>
  <si>
    <t>An assessment of the multibeam sonar data of the central Western Continental Margins of India has been carried out to evaluate the seafloor geomorphology and processes by examining the geomorphological attributes e.g., slope, sediments, structures, etc. associated with geomorphic features. The variation in relief and the features located in the region have been mapped and interpreted collectively by utilizing several geospatial mapping tools. The backscatter strength across the area, apparently congruent with the local relief, has helped to examine the sediment movement on the seafloor. The prominent features found in the region include faults, pockmarks, mounds, submarine terraces, and submerged fossil reefs. Several areas with varying topography engender comparable fractal dimension at short scale breaks, and the probability density functions (PDFs) utilizing backscatter data depicting overlapping classes. The present study highlights how fractals and scale break parameters can be utilized to determine the seafloor processes and associated sedimentological dynamics in a complex geographical environment with strong bottom currents, seasonal upwelling, and faulted structure. The role and impact of the various geomorphic processes on the reworking of sediment movement and the overall progression of the seafloor morphology has been revealed for the first time in this part of the ocean bottom.</t>
  </si>
  <si>
    <t>[Dandapath, Sumanta; Menezes, Andrew; Chakraborty, Bishwajit] Natl Inst Oceanog Geol &amp; Geophys Oceanog, CSIR, Panaji, Goa, India; [Dandapath, Sumanta] Shivaji Univ, Dept Geog, Kolhapur 416004, Maharashtra, India; [Dandapath, Sumanta; Raju, Koppella N. Prudhvi] Banaras Hindu Univ, Dept Geog, Varanasi, Uttar Pradesh, India; [Kurian, John] Natl Ctr Antarctic &amp; Ocean Res, Vasco Da Gama, Goa, India</t>
  </si>
  <si>
    <t>Council of Scientific &amp; Industrial Research (CSIR) - India; CSIR - National Institute of Oceanography (NIO); Shivaji University; Banaras Hindu University (BHU); Ministry of Earth Sciences (MoES) - India; National Centre for Polar and Ocean Research (NCPOR)</t>
  </si>
  <si>
    <t>Dandapath, S (corresponding author), Shivaji Univ, Dept Geog, Kolhapur 416004, Maharashtra, India.</t>
  </si>
  <si>
    <t>sdandapath@gmail.com</t>
  </si>
  <si>
    <t>Dandapath, Sumanta/AAF-1502-2019</t>
  </si>
  <si>
    <t>Dandapath, Sumanta/0000-0002-2053-0346</t>
  </si>
  <si>
    <t>10.1080/01490419.2017.1367340</t>
  </si>
  <si>
    <t>GB2ET</t>
  </si>
  <si>
    <t>WOS:000428864800005</t>
  </si>
  <si>
    <t>Liu, Q; Wei, P; Shang, ZH; Ma, M; Hu, Y</t>
  </si>
  <si>
    <t>Liu, Qiang; Wei, Peng; Shang, Zhao-Hui; Ma, Bin; Hu, Yi</t>
  </si>
  <si>
    <t>Research on scheduling of robotic transient survey for Antarctic Survey Telescopes (AST3)</t>
  </si>
  <si>
    <t>RESEARCH IN ASTRONOMY AND ASTROPHYSICS</t>
  </si>
  <si>
    <t>telescope; survey; methods: observational; techniques: miscellaneous</t>
  </si>
  <si>
    <t>DIGITAL SKY SURVEY; DOME; BRIGHTNESS; SYSTEM; SITE</t>
  </si>
  <si>
    <t>Antarctic Survey Telescopes (AST3) are designed to be fully robotic telescopes at Dome A, Antarctica, which aim for highly efficient time-domain sky surveys as well as rapid response to special transient events (e.g., gamma-ray bursts, near-Earth asteroids, supernovae, etc.). Unlike traditional observations, a well-designed real-time survey scheduler is needed in order to implement an automatic survey in a very efficient, reliable and flexible way for the unattended telescopes. We present a study of the survey strategy for AST3 and implementation of its survey scheduler, which is also useful for other survey projects.</t>
  </si>
  <si>
    <t>[Liu, Qiang; Wei, Peng; Shang, Zhao-Hui; Ma, Bin; Hu, Yi] Chinese Acad Sci, Natl Astron Observ, Beijing 100012, Peoples R China; [Shang, Zhao-Hui] Tianjin Normal Univ, Tianjin 300387, Peoples R China</t>
  </si>
  <si>
    <t>Chinese Academy of Sciences; National Astronomical Observatory, CAS; Tianjin Normal University</t>
  </si>
  <si>
    <t>Shang, ZH (corresponding author), Chinese Acad Sci, Natl Astron Observ, Beijing 100012, Peoples R China.;Shang, ZH (corresponding author), Tianjin Normal Univ, Tianjin 300387, Peoples R China.</t>
  </si>
  <si>
    <t>wei, peng/IVH-1711-2023</t>
  </si>
  <si>
    <t>Chinese Polar Environment Comprehensive Investigation AMP; Assessment Programmes [CHINARE2017-02-04]; National Natural Science Foundation of China [11003027, 11403057, 11403048, 11203039, 11273019]; National Basic Research Program of China (973 Program) [2013CB834900]; Science and Technology Facilities Council [ST/P002218/1] Funding Source: researchfish; STFC [ST/P002218/1] Funding Source: UKRI</t>
  </si>
  <si>
    <t>Chinese Polar Environment Comprehensive Investigation AMP; Assessment Programmes; National Natural Science Foundation of China(National Natural Science Foundation of China (NSFC)); National Basic Research Program of China (973 Program)(National Basic Research Program of China); Science and Technology Facilities Council(UK Research &amp; Innovation (UKRI)Science &amp; Technology Facilities Council (STFC)); STFC(UK Research &amp; Innovation (UKRI)Science &amp; Technology Facilities Council (STFC))</t>
  </si>
  <si>
    <t>This work has been supported by the Chinese Polar Environment Comprehensive Investigation &amp; Assessment Programmes (Grant No. CHINARE2017-02-04), the National Natural Science Foundation of China (Grant Nos. 11003027, 11403057, 11403048, 11203039 and 11273019), and the National Basic Research Program of China (973 Program, Grant No. 2013CB834900).</t>
  </si>
  <si>
    <t>NATL ASTRONOMICAL OBSERVATORIES, CHIN ACAD SCIENCES</t>
  </si>
  <si>
    <t>20A DATUN RD, CHAOYANG, BEIJING, 100012, PEOPLES R CHINA</t>
  </si>
  <si>
    <t>1674-4527</t>
  </si>
  <si>
    <t>2397-6209</t>
  </si>
  <si>
    <t>RES ASTRON ASTROPHYS</t>
  </si>
  <si>
    <t>Res. Astron. Astrophys.</t>
  </si>
  <si>
    <t>10.1088/1674-4527/18/1/5</t>
  </si>
  <si>
    <t>GA3YS</t>
  </si>
  <si>
    <t>WOS:000428267100005</t>
  </si>
  <si>
    <t>Pretzel, J; Lisker, F; Monsees, N; Balestrieri, ML; Läufer, A; Spiegel, C</t>
  </si>
  <si>
    <t>Pretzel, J.; Lisker, F.; Monsees, N.; Balestrieri, M. L.; Laeufer, A.; Spiegel, C.</t>
  </si>
  <si>
    <t>Development and inversion of the Mesozoic Victoria Basin in the Terra Nova Bay (Transantarctic Mountains) derived from thermochronological data</t>
  </si>
  <si>
    <t>GONDWANA RESEARCH</t>
  </si>
  <si>
    <t>Thermochronology; Apatite fission track (AFT); U-Th-Sm/He (AHe); Transantarctic Basin; Mesozoic Victoria Basin; West Antarctic Rift System</t>
  </si>
  <si>
    <t>FISSION-TRACK ANALYSIS; ROSS SEA; BEACON SUPERGROUP; TECTONIC EVOLUTION; RADIATION-DAMAGE; LAND ANTARCTICA; APATITE; AUSTRALIA; REGION; MARGIN</t>
  </si>
  <si>
    <t>The Terra Nova Bay region of the Transantarctic Mountains hosts three N-S to NNW-SSE extending mountain ranges, Deep Freeze Range, Eisenhower Range and northern Prince Albert Mountains. All ranges consist of basement rocks locally overlain by Permo-Triassic sediments and Jurassic volcanic rocks. Recent thermochronological studies recognized that the Eisenhower Range was originally covered by a kilometre-thick Jurassic-Eocene sedimentary sequence. Here we present a comprehensive apatite fission track (AFT) and U-Th-Sm/He (AHe) data set of vertical sample profiles from the Terra Nova Bay to reconstruct architecture, extension and geometry of this depocentre and place its evolution in the context of supraregional geodynamic processes. The study comprises new data and thermal history models from the Deep Freeze Range and new thermal history models of published data from the northern Prince Albert Mountains. New AFT and AHe ages of 25-275 Ma from the Deep Freeze Range correlate tightly with sample elevations. Thermal history modelling of these data and complementary proxies detects common heating of the Jurassic surface and rapid late Eocene cooling. Regression of vertical paleotemperature profiles reveals an increased Jurassic and a moderate Cretaceous-Eocene geothermal gradient of 45 degrees and 25 degrees C/km, respectively. Paleotemperatures and gradients used in tandem infer basement burial increasing from similar to 2 km in Deep Freeze and Eisenhower Ranges to similar to 3.4 km in the Prince Albert Mountains. Such a varying overburden probably reflects regional differences in the Jurassic basement topography. Subsequently, sediment thickness uniformly increased in the order of 1 km until late Eocene. Mid-Jurassic basin initiation and subsequent sediment accumulation is explained by extension of a Mesozoic Victoria Basin during Gondwana breakup between Antarctica and Australia. Late Eocene/early Oligocene basin inversion is associated with the formation of the West Antarctic Rift System while differential final exhumation represents the change from downwearing to backstepping incision. (C) 2017 International Association for Gondwana Research. Published by Elsevier B.V. All rights reserved.</t>
  </si>
  <si>
    <t>[Pretzel, J.; Lisker, F.; Monsees, N.; Spiegel, C.] Univ Bremen, Geosci FB5, Klagenfurter Str, D-28359 Bremen, Germany; [Balestrieri, M. L.] CNR, Inst Earth Sci &amp; Earth Resources, Via La Pira 4, I-50121 Florence, Italy; [Laeufer, A.] Bundesanstalt Geowissensch &amp; Rohstoffe, Stilleweg 2, D-30655 Hannover, Germany</t>
  </si>
  <si>
    <t>University of Bremen; Consiglio Nazionale delle Ricerche (CNR)</t>
  </si>
  <si>
    <t>Lisker, F (corresponding author), Univ Bremen, Dept Geosci, PF 330440, D-28334 Bremen, Germany.</t>
  </si>
  <si>
    <t>flisker@uni-bremen.de</t>
  </si>
  <si>
    <t>Läufer, Andreas/ABC-1465-2020; Balestrieri, Maria Laura/AAX-3560-2020</t>
  </si>
  <si>
    <t>Läufer, Andreas/0000-0003-2219-0450; Lisker, Frank/0000-0002-1615-7315; Spiegel, Cornelia/0000-0002-1432-3447</t>
  </si>
  <si>
    <t>DFG grants of the Deutsche Forschungsgemeinschaft (DFG) [LI745/12-1, LA1080/7-1, SPP 1158]</t>
  </si>
  <si>
    <t>DFG grants of the Deutsche Forschungsgemeinschaft (DFG)(German Research Foundation (DFG))</t>
  </si>
  <si>
    <t>This study was funded by DFG grants LI745/12-1 (F.L.) and LA1080/7-1 (AL) of the Deutsche Forschungsgemeinschaft (DFG) within priority program SPP 1158 Antarctic Research with comparative investigations in Arctic ice areas. F. Lisker and J. Prenzel thank the Bundesanstalt fur Geowissenschaften and Rohstoffe, Hannover, for the invitation to participate in the Antarctic GANOVEX X expedition. We wish to thank the crews of MS Italica and Helicopters New Zealand, and the staff of Base Mario Zucchelli for logistic support, and the members of the GANOVEX team for cooperative fieldwork and stimulating discussions. F. Balsamo, G. Di Vincenzo, M. Elsner, J. Lindow, S. Rocchi, F. Rossetti, R. Schoner and F. Storti are acknowledged for helpful comments. The paper benefitted substantially from the constructive reviews of two anonymous reviewers. H.P. Bunge is thanked for editorial handling of the paper.</t>
  </si>
  <si>
    <t>1342-937X</t>
  </si>
  <si>
    <t>1878-0571</t>
  </si>
  <si>
    <t>GONDWANA RES</t>
  </si>
  <si>
    <t>Gondwana Res.</t>
  </si>
  <si>
    <t>10.1016/j.gr.2017.04.025</t>
  </si>
  <si>
    <t>GA6SL</t>
  </si>
  <si>
    <t>WOS:000428464200008</t>
  </si>
  <si>
    <t>Caddell, R</t>
  </si>
  <si>
    <t>Caddell, Richard</t>
  </si>
  <si>
    <t>Precautionary Management and the Development of Future Fishing Opportunities: The International Regulation of New and Exploratory Fisheries</t>
  </si>
  <si>
    <t>INTERNATIONAL JOURNAL OF MARINE AND COASTAL LAW</t>
  </si>
  <si>
    <t>new fisheries; exploratory fisheries; precautionary approach; UN Fish Stocks Agreement 1995; Commission for the Conservation of Antarctic Marine Living Resources (CCAMLR); vulnerable marine ecosystems</t>
  </si>
  <si>
    <t>The extensive pressures upon current commercial fisheries, compounded by the projected impacts of climate change and associated processes on marine ecosystems, will increasingly displace elements of future fishing effort towards new locations, target species and techniques. For transboundary stocks, where a new or exploratory fishery is contemplated, Article 6(6) of the UN Fish Stocks Agreement 1995 mandates cautious conservation measures to acquire sufficient catch data to assess the impacts of fishing on the stock and surrounding ecosystem. Thereafter, if appropriate, measures may be adopted to facilitate the gradual development of the fishery and its eventual transition to commercial management. However, there has been minimal analysis of the regulatory requirements for emergent fisheries during this interim stage. This article accordingly collates and evaluates the current international law and practice towards new and exploratory fisheries, with particular reference to Antarctic developments and the protection of vulnerable marine ecosystems from proliferating deep-sea fisheries.</t>
  </si>
  <si>
    <t>[Caddell, Richard] Univ Utrecht, Netherlands Inst Law Sea, Utrecht, Netherlands; [Caddell, Richard] Cardiff Univ, Law, Cardiff, S Glam, Wales</t>
  </si>
  <si>
    <t>Utrecht University; Cardiff University</t>
  </si>
  <si>
    <t>Caddell, R (corresponding author), Univ Utrecht, Netherlands Inst Law Sea, Utrecht, Netherlands.;Caddell, R (corresponding author), Cardiff Univ, Law, Cardiff, S Glam, Wales.</t>
  </si>
  <si>
    <t>j.r.caddell@uu.nl</t>
  </si>
  <si>
    <t>Caddell, Richard/0000-0002-9293-2467</t>
  </si>
  <si>
    <t>MARTINUS NIJHOFF PUBL</t>
  </si>
  <si>
    <t>PO BOX 9000, LEIDEN, 2300 PA, NETHERLANDS</t>
  </si>
  <si>
    <t>0927-3522</t>
  </si>
  <si>
    <t>1571-8085</t>
  </si>
  <si>
    <t>INT J MAR COAST LAW</t>
  </si>
  <si>
    <t>Int. J. Mar. Coast. Law</t>
  </si>
  <si>
    <t>10.1163/15718085-13310013</t>
  </si>
  <si>
    <t>FZ9ZX</t>
  </si>
  <si>
    <t>hybrid, Green Submitted, Green Accepted</t>
  </si>
  <si>
    <t>WOS:000427972800006</t>
  </si>
  <si>
    <t>Mernild, SH; Beckerman, AP; Knudsen, NT; Hasholt, B; Yde, JC</t>
  </si>
  <si>
    <t>Mernild, Sebastian H.; Beckerman, Andrew P.; Knudsen, Niels Tvis; Hasholt, Bent; Yde, Jacob C.</t>
  </si>
  <si>
    <t>Statistical EOF analysis of spatiotemporal glacier mass-balance variability: a case study of Mittivakkat Gletscher, SE Greenland</t>
  </si>
  <si>
    <t>GEOGRAFISK TIDSSKRIFT-DANISH JOURNAL OF GEOGRAPHY</t>
  </si>
  <si>
    <t>Empirical Orthogonal Function analysis; Greenland; observations; mass-balance stakes; Mittivakkat Gletscher</t>
  </si>
  <si>
    <t>AMMASSALIK ISLAND; COMPLETE INVENTORY; ICE CAP; FLUCTUATIONS; VOLUME</t>
  </si>
  <si>
    <t>An Empirical Orthogonal Function (EOF) variance analysis was performed to map in detail the spatiotemporal variability in individual stake mass-balances (ba) on Mittivakkat Gletscher (MG) - in a region where at present five out of 20.000 glaciers have mass-balance observations. The EOF analysis suggested that observed ba was summarized by two modes: EOF1 and EOF2 represented 80% (significant) and 6% (insignificant) of the explained variance, respectively. EOF1 captured a decline in ba that was uniformly distributed in space at all stakes. The decline was correlated with albedo observations and air temperature observations from nearby stations. EOF2, however, described variations in ba that were heterogeneously distributed among stakes and associated with local slope and aspect. Low elevation stakes (&lt;400 m a.s.l.) showed relatively negative (out of phase) correlation and higher elevated stakes relatively positive (in phase) eigenvector correlation values with EOF2. Such relatively negative and positive eigenvector correlation values were present where the constituted of exposed glacier ice or snow cover, respectively. The results from this study show how EOF analyses can provide information on spatiotemporal patterns of glacier mass-balance. Understanding such detailed variabilities in mass-balance on a Greenlandic glacier is of interest because a fifth of the Arctic contribution from glaciers and ice caps to sea-level rise originates from Greenland.</t>
  </si>
  <si>
    <t>[Mernild, Sebastian H.] Nansen Environm &amp; Remote Sensing Ctr, Bergen, Norway; [Mernild, Sebastian H.; Yde, Jacob C.] Western Norway Univ Appl Sci, Fac Sci &amp; Engn, Sogndal, Norway; [Mernild, Sebastian H.] Univ Magallanes, Antarctic &amp; Subantarctic Program, Punta Arenas, Chile; [Beckerman, Andrew P.] Univ Sheffield, Dept Anim &amp; Plant Sci, Sheffield, S Yorkshire, England; [Knudsen, Niels Tvis] Aarhus Univ, Dept Geosci, Aarhus, Denmark; [Hasholt, Bent] Univ Copenhagen, Dept Geosci &amp; Nat Resource Management, Copenhagen, Denmark</t>
  </si>
  <si>
    <t>Nansen Environmental &amp; Remote Sensing Center (NERSC); Western Norway University of Applied Sciences; Universidad de Magallanes; University of Sheffield; Aarhus University; University of Copenhagen</t>
  </si>
  <si>
    <t>Mernild, SH (corresponding author), Nansen Environm &amp; Remote Sensing Ctr, Bergen, Norway.;Mernild, SH (corresponding author), Western Norway Univ Appl Sci, Fac Sci &amp; Engn, Sogndal, Norway.;Mernild, SH (corresponding author), Univ Magallanes, Antarctic &amp; Subantarctic Program, Punta Arenas, Chile.</t>
  </si>
  <si>
    <t>sebastian.mernild@nersc.no</t>
  </si>
  <si>
    <t>Beckerman, Andrew P/D-3020-2011; Knudsen, Niels Tvis/A-2461-2014; Mernild, Sebastian H./M-5516-2013</t>
  </si>
  <si>
    <t>Beckerman, Andrew P/0000-0002-4797-9143; Yde, Jacob Clement/0000-0002-6211-2601; Mernild, Sebastian H./0000-0003-0797-3975</t>
  </si>
  <si>
    <t>Japan Society for Promote Science (JSPS) [S17096]; European Union's Horizon project INTERACT [730938]</t>
  </si>
  <si>
    <t>Japan Society for Promote Science (JSPS)(Ministry of Education, Culture, Sports, Science and Technology, Japan (MEXT)Japan Society for the Promotion of Science); European Union's Horizon project INTERACT</t>
  </si>
  <si>
    <t>This work was supported by Japan Society for Promote Science (JSPS) under [grant agreement number S17096], from the European Union's Horizon 2020 project INTERACT, under the project ALBICE [grant agreement number 730938].</t>
  </si>
  <si>
    <t>ROYAL DANISH GEOGRAPHICAL SOC</t>
  </si>
  <si>
    <t>COPENHAGEN K</t>
  </si>
  <si>
    <t>OSTER VOLDGADE 10, COPENHAGEN K, DK 1350, DENMARK</t>
  </si>
  <si>
    <t>0016-7223</t>
  </si>
  <si>
    <t>1903-2471</t>
  </si>
  <si>
    <t>GEOGR TIDSSKR-DEN</t>
  </si>
  <si>
    <t>Geogr. Tidsskr.</t>
  </si>
  <si>
    <t>10.1080/00167223.2017.1386581</t>
  </si>
  <si>
    <t>Environmental Studies; Geography</t>
  </si>
  <si>
    <t>Environmental Sciences &amp; Ecology; Geography</t>
  </si>
  <si>
    <t>FZ6JX</t>
  </si>
  <si>
    <t>WOS:000427705200001</t>
  </si>
  <si>
    <t>Law, CS; Bell, JJ; Bostock, HC; Cornwall, CE; Cummings, VJ; Currie, K; Davy, SK; Gammon, M; Hepburn, CD; Hurd, CL; Lamare, M; Mikaloff-Fletcher, SE; Nelson, WA; Parsons, DM; Ragg, NLC; Sewell, MA; Smith, AM; Tracey, DM</t>
  </si>
  <si>
    <t>Law, Cliff S.; Bell, James J.; Bostock, Helen C.; Cornwall, Chris E.; Cummings, Vonda J.; Currie, Kim; Davy, Simon K.; Gammon, Malindi; Hepburn, Christopher D.; Hurd, Catriona L.; Lamare, Miles; Mikaloff-Fletcher, Sara E.; Nelson, Wendy A.; Parsons, Darren M.; Ragg, Norman L. C.; Sewell, Mary A.; Smith, Abigail M.; Tracey, Dianne M.</t>
  </si>
  <si>
    <t>Ocean acidification in New Zealand waters: trends and impacts</t>
  </si>
  <si>
    <t>Ocean acidification; New Zealand; climate change; marine ecosystems; monitoring; carbonate; pH</t>
  </si>
  <si>
    <t>MACROCYSTIS-PYRIFERA LAMINARIALES; SKELETAL CARBONATE MINERALOGY; SUB-ANTARCTIC WATERS; CLIMATE-CHANGE; SEAWATER ACIDIFICATION; PARASITIC INFECTION; MARINE CALCIFIERS; EMILIANIA-HUXLEYI; CORALLINE ALGAE; ELEVATED CO2</t>
  </si>
  <si>
    <t>The threat posed by ocean acidification (OA) to the diversity and productivity of New Zealand marine ecosystems is assessed in a synthesis of published trends and impacts. A 20-year time series in Subantarctic water, and a national coastal monitoring programme, provide insight into pH variability, and context for experimental design, modelling and projections. A review of the potential impact of changes in the carbonate system on the major phyla in New Zealand waters confirms international observations that calcifying organisms, and particularly their early life-history stages, are vulnerable. The synthesis considers ecosystem and socio-economic impacts, and identifies current knowledge gaps and future research directions, including mechanistic studies of OA sensitivity. Advanced ecosystem models of OA, that incorporate the indirect effects of OA and interactions with other climate stressors, are required for robust projection of the future status of New Zealand marine ecosystems.</t>
  </si>
  <si>
    <t>[Law, Cliff S.; Bostock, Helen C.; Cummings, Vonda J.; Mikaloff-Fletcher, Sara E.; Nelson, Wendy A.; Tracey, Dianne M.] Natl Inst Water &amp; Atmospher Res Ltd, Wellington, New Zealand; [Law, Cliff S.] Univ Otago, Dept Chem, Dunedin, New Zealand; [Bell, James J.; Davy, Simon K.; Gammon, Malindi] Victoria Univ Wellington, Sch Biol Sci, Wellington, New Zealand; [Cornwall, Chris E.] Univ Western Australia, Oceans Inst, Sch Earth Sci, ARC Ctr Excellence Coral Reef Studies, Perth, WA, Australia; [Currie, Kim] Univ Otago, Ctr Oceanog, NIWA, Dunedin, New Zealand; [Hepburn, Christopher D.; Lamare, Miles; Smith, Abigail M.] Univ Otago, Dept Marine Sci, Dunedin, New Zealand; [Hurd, Catriona L.] Univ Otago, Dept Bot, Dunedin, New Zealand; [Hurd, Catriona L.] Univ Tasmania, Inst Marine &amp; Antarctic Studies, Hobart, Tasmania, Australia; [Parsons, Darren M.] Natl Inst Water &amp; Atmospher Res Ltd, Auckland, New Zealand; [Nelson, Wendy A.; Parsons, Darren M.] Univ Auckland, Inst Marine Sci, Auckland, New Zealand; [Ragg, Norman L. C.] Cawthron Inst, Nelson, New Zealand; [Sewell, Mary A.] Univ Auckland, Sch Biol Sci, Auckland, New Zealand</t>
  </si>
  <si>
    <t>National Institute of Water &amp; Atmospheric Research (NIWA) - New Zealand; University of Otago; Victoria University Wellington; University of Western Australia; University of Otago; University of Otago; University of Otago; University of Tasmania; National Institute of Water &amp; Atmospheric Research (NIWA) - New Zealand; University of Auckland; Cawthron Institute; University of Auckland</t>
  </si>
  <si>
    <t>Law, CS (corresponding author), Natl Inst Water &amp; Atmospher Res Ltd, Wellington, New Zealand.;Law, CS (corresponding author), Univ Otago, Dept Chem, Dunedin, New Zealand.</t>
  </si>
  <si>
    <t>Sewell, Mary A/C-9017-2009; Smith, Abigail M/F-7714-2011; Bostock, Helen/A-6834-2013; Ragg, Norman/AAJ-8055-2020; Cornwall, Christopher Edward/J-3982-2012; Hurd, Catriona/J-2411-2013</t>
  </si>
  <si>
    <t>Sewell, Mary A/0000-0002-1595-7951; Bostock, Helen/0000-0002-8903-8958; Cornwall, Christopher Edward/0000-0002-6154-4082; Parsons, Darren/0000-0002-4030-512X; Davy, Simon/0000-0003-3584-5356; Law, Cliff/0000-0002-7669-2475; Ragg, Norman/0000-0002-5466-4617; Gammon, Malindi Jane/0000-0002-7884-1489; Cummings, Vonda/0000-0003-1076-3995; nelson, wendy/0000-0003-0014-5560; Hurd, Catriona/0000-0001-9965-4917</t>
  </si>
  <si>
    <t>New Zealand Ministry of Primary Industries (MPI); New Zealand Ministry of Business, Industry and Employment (MBIE); Department of Conservation (DoC); Royal Society of New Zealand Marsden Fund; NIWA; University of Otago; University of Auckland</t>
  </si>
  <si>
    <t>New Zealand Ministry of Primary Industries (MPI); New Zealand Ministry of Business, Industry and Employment (MBIE)(New Zealand Ministry of Business, Innovation and Employment (MBIE)); Department of Conservation (DoC); Royal Society of New Zealand Marsden Fund(Royal Society of New ZealandMarsden Fund (NZ)); NIWA; University of Otago; University of Auckland</t>
  </si>
  <si>
    <t>We acknowledge funding and support for New Zealand Ocean Acidification research from the New Zealand Ministries of Primary Industries (MPI) and Business, Industry and Employment (MBIE), the Department of Conservation (DoC); the Royal Society of New Zealand Marsden Fund, NIWA, the University of Otago and the University of Auckland. This synthesis was supported by the Coastal Acidification: Rate, Impacts and Management (CARIM) project.</t>
  </si>
  <si>
    <t>10.1080/00288330.2017.1374983</t>
  </si>
  <si>
    <t>FZ9AC</t>
  </si>
  <si>
    <t>WOS:000427901000002</t>
  </si>
  <si>
    <t>Montes, RM; Quiñones, RA</t>
  </si>
  <si>
    <t>Montes, Rodrigo M.; Quinones, Renato A.</t>
  </si>
  <si>
    <t>Long-range dependence in the runoff time series of the most important Patagonian river draining to the Pacific Ocean</t>
  </si>
  <si>
    <t>Long-range dependence; multifractality; Hurst coefficient; Baker River; Patagonia; Antarctic Oscillation Index; Chile</t>
  </si>
  <si>
    <t>SOUTHERN-HEMISPHERE; NORTHERN PATAGONIA; MULTIFRACTAL ANALYSIS; FLUCTUATION ANALYSIS; TERM PERSISTENCE; CHILE; VARIABILITY; MEMORY; FLOWS; ICEFIELD</t>
  </si>
  <si>
    <t>The Baker River is the largest free-flowing river in Chilean Patagonia. Long-range dependence (LRD), a recognised hydrological property of river runoff worldwide, was detected for the Baker River runoff time series. Analyses were conducted on a monthly scale between 1961 and 2015 using the fractal and multifractal detrended fluctuation analysis methodology. A long-range-dependent Hurst coefficient (H) equal to 0.94 was obtained. A scaling range, which is the signature of LRD, was detected for the Baker River runoff time series between 1 and 5.25 years. Baker River runoff showed a strong correlation (r=0.96) with the Antarctic Oscillation (AAO) Index during the 2007-2015 period. The high storage capacity of Lake General Carrera, the size of the Baker River basin area and the dynamics of AAO are proposed as main factors that contribute to the emergence of LRD in the Baker River runoff time series.</t>
  </si>
  <si>
    <t>[Montes, Rodrigo M.; Quinones, Renato A.] Univ Concepcion, Interdisciplinary Ctr Aquaculture Res INCAR, Concepcion, Chile; [Montes, Rodrigo M.] Univ Concepcion, COPAS Sur Austral, Concepcion, Chile</t>
  </si>
  <si>
    <t>Universidad de Concepcion; Universidad de Concepcion</t>
  </si>
  <si>
    <t>Montes, RM (corresponding author), Univ Concepcion, Interdisciplinary Ctr Aquaculture Res INCAR, Concepcion, Chile.;Montes, RM (corresponding author), Univ Concepcion, COPAS Sur Austral, Concepcion, Chile.</t>
  </si>
  <si>
    <t>rmontes@udec.cl</t>
  </si>
  <si>
    <t>Interdisciplinary Center for Aquaculture Research, INCAR; FONDAP Project [15110027]; CONICYT, Chile; COPAS Sur-Austral (CONICYT PIA, University of Concepcion, Chile) [PFB31]</t>
  </si>
  <si>
    <t>Interdisciplinary Center for Aquaculture Research, INCAR; FONDAP Project(Comision Nacional de Investigacion Cientifica y Tecnologica (CONICYT)CONICYT FONDAP); CONICYT, Chile(Comision Nacional de Investigacion Cientifica y Tecnologica (CONICYT)); COPAS Sur-Austral (CONICYT PIA, University of Concepcion, Chile)</t>
  </si>
  <si>
    <t>This research was funded by the Interdisciplinary Center for Aquaculture Research, INCAR; FONDAP Project no 15110027; CONICYT, Chile. R. Montes received additional support from COPAS Sur-Austral (CONICYT PIA PFB31, University of Concepcion, Chile).</t>
  </si>
  <si>
    <t>10.1080/00288330.2017.1383278</t>
  </si>
  <si>
    <t>WOS:000427901000006</t>
  </si>
  <si>
    <t>Zhao, HB; Cai, CE; Liu, XY; Jiao, BH; Chen, B; Cai, MH; He, PM</t>
  </si>
  <si>
    <t>Zhao, Huibin; Cai, Chuner; Liu, Xiaoyu; Jiao, Binghua; Chen, Bo; Cai, Menghao; He, Peimin</t>
  </si>
  <si>
    <t>Secondary metabolites of Antarctic fungi antagonistic to aquatic pathogenic bacteria</t>
  </si>
  <si>
    <t>OPEN LIFE SCIENCES</t>
  </si>
  <si>
    <t>fungus; Streptococcus agalactiae; Vibrio anguillarum; Aeromonashydrophila; secondary metabolites</t>
  </si>
  <si>
    <t>CORIOLUS-VERSICOLOR POLYSACCHARIDES; RESISTANT AEROMONAS-HYDROPHILA; SACCHAROMYCES-CEREVISIAE; OREOCHROMIS-NILOTICUS; NILE-TILAPIA; R-PLASMIDS; STREPTOCOCCUS-AGALACTIAE; ANTIBIOTIC-RESISTANCE; VIBRIO-ANGUILLARUM; EDWARDSIELLA-TARDA</t>
  </si>
  <si>
    <t>Polar microbial derived antibiotics have potential as alternatives to traditional antibiotics in treating fish against pathogenic bacteria. In this paper, 23 strains of polar fungi were fermented to detect bacteriostatic products on three aquatic pathogenic bacteria, subsequently the active fungus was identified. It was indicated that secondary metabolites of 23 strains weredistinct; of these, the extract of strain B-7 (belonging to Bjerkandera according to molecular identification) demonstrated a strong antibacterial activity to Streptococcus agalactiae, Vibrio anguillarum and Aeromonas hydrophila ATCC7966 by Kirby-Bauerpaper strip method. During one fermentation cycle, the pH curve of the fermentation liquor became lowest (4.0) on the 4th day and rose back to 7.6 finally after 5 days, The residual sugar curve was decreased before stablising on the 6th day. It is presumed that a large amount of alkaline secondary metabolites might have been produced during fermentation. This study focuses on antagonism between aquatic pathogenic bacteria and fermentation metabolites from Antarctic fungi for the first time, which may provide data on research of antibiotics against aquatic pathogenic bacteria.</t>
  </si>
  <si>
    <t>[Cai, Chuner; Liu, Xiaoyu; Jiao, Binghua] Second Mil Med Univ, Coll Preclin Med, Dept Biochem &amp; Mol Biol, 800 Xiangyin Rd, Shanghai 200433, Peoples R China; [Zhao, Huibin; Cai, Chuner; He, Peimin] Shanghai Ocean Univ, Coll Marine Ecol &amp; Environm, Shanghai 201306, Peoples R China; [Zhao, Huibin; Cai, Chuner; He, Peimin] Shanghai Ocean Univ, Natl Demonstrat Ctr Expt Fisheries Sci Educ, Shanghai 201306, Peoples R China; [Cai, Chuner; Liu, Xiaoyu; Jiao, Binghua] Second Mil Med Univ, Marine Biomed Inst, Shanghai 200433, Peoples R China; [Chen, Bo] Polar Res Inst China, Shanghai 200136, Peoples R China; [Cai, Menghao] East China Univ Sci &amp; Technol, Sch Biotechnol, Shanghai 200237, Peoples R China</t>
  </si>
  <si>
    <t>Naval Medical University; Shanghai Ocean University; Shanghai Ocean University; Naval Medical University; Polar Research Institute of China; East China University of Science &amp; Technology</t>
  </si>
  <si>
    <t>Liu, XY; Jiao, BH (corresponding author), Second Mil Med Univ, Coll Preclin Med, Dept Biochem &amp; Mol Biol, 800 Xiangyin Rd, Shanghai 200433, Peoples R China.;Liu, XY; Jiao, BH (corresponding author), Second Mil Med Univ, Marine Biomed Inst, Shanghai 200433, Peoples R China.</t>
  </si>
  <si>
    <t>363259635@qq.com; cecai@shou.edu.cn; biolxy@163.com; jiaobh@yeah.net</t>
  </si>
  <si>
    <t>he, peimin/ABG-4220-2021; Liu, Xiaoyu/HJH-8805-2023</t>
  </si>
  <si>
    <t>Cai, Chuner/0000-0001-9265-6602; He, Peimin/0000-0003-3704-7905</t>
  </si>
  <si>
    <t>China Postdoctoral Science Foundation [2015M572743]; Second Military Medical University; Ocean Public Welfare Scientific Research Project; Guangdong Oceanic Administration [GD2012-D01-001]; National Nature Science Foundation of China [41306197, 41606173]; Key Laboratory of Integrated Marine Monitoring and Applied Technologies for Harmful Algal Blooms, S.O.A. [MATHAB2017010]</t>
  </si>
  <si>
    <t>China Postdoctoral Science Foundation(China Postdoctoral Science Foundation); Second Military Medical University; Ocean Public Welfare Scientific Research Project; Guangdong Oceanic Administration; National Nature Science Foundation of China(National Natural Science Foundation of China (NSFC)); Key Laboratory of Integrated Marine Monitoring and Applied Technologies for Harmful Algal Blooms, S.O.A.</t>
  </si>
  <si>
    <t>This work was supported by General Financial Grant from the China Postdoctoral Science Foundation (2015M572743), Postdoctoral Start-up Fund of Second Military Medical University, Ocean Public Welfare Scientific Research Project, Guangdong Oceanic Administration (GD2012-D01-001), National Nature Science Foundation of China (Grant No. 41306197, 41606173) and Key Laboratory of Integrated Marine Monitoring and Applied Technologies for Harmful Algal Blooms, S.O.A. (MATHAB2017010). The funders did not play a role in the study design, data collection and analysis, decision to publish, or manuscript preparation.</t>
  </si>
  <si>
    <t>DE GRUYTER POLAND SP Z O O</t>
  </si>
  <si>
    <t>BOGUMILA ZUGA 32A STR, 01-811 WARSAW, MAZOVIA, POLAND</t>
  </si>
  <si>
    <t>2391-5412</t>
  </si>
  <si>
    <t>OPEN LIFE SCI</t>
  </si>
  <si>
    <t>Open Life Sci.</t>
  </si>
  <si>
    <t>10.1515/biol-2018-0002</t>
  </si>
  <si>
    <t>Biology</t>
  </si>
  <si>
    <t>Life Sciences &amp; Biomedicine - Other Topics</t>
  </si>
  <si>
    <t>GA0IS</t>
  </si>
  <si>
    <t>WOS:000427997300002</t>
  </si>
  <si>
    <t>Green, JC; Rahman, F; Saxton, MA; Williamson, KE</t>
  </si>
  <si>
    <t>Green, Jasmin C.; Rahman, Faraz; Saxton, Matthew A.; Williamson, Kurt E.</t>
  </si>
  <si>
    <t>Quantifying aquatic viral community change associated with stormwater runoff in a wet retention pond using metagenomic time series data</t>
  </si>
  <si>
    <t>AQUATIC MICROBIAL ECOLOGY</t>
  </si>
  <si>
    <t>Virome; Time series; Best management practice; Microbe; Mitigation; Freshwater; Viral community composition</t>
  </si>
  <si>
    <t>ANTARCTIC LAKE; MARINE VIRUSES; DNA VIRUSES; DIVERSITY; ABUNDANCE; BACTERIAL</t>
  </si>
  <si>
    <t>In the United States, wet retention ponds are a common best management practice for controlling peak stormwater flows from impervious surfaces. Currently, studies evaluating the microbial component of these landscape features exclude community response to natural disturbances. We conducted a series of metagenomic analyses to quantify viral community change in a wet re te-ntion pond over the course of a storm event, and to explore 2 potential sources and reservoirs of water column viral diversity: soil in the surrounding pond watershed and pond sediments. Our results indicate that the viral communities of different sample types (soil, sediment, and water) are distinct, and that watershed soils and sediments do not appear to be primary sources of novel viral genotypes detected in the pond water column following a storm event. Though it is apparent that rapid and dramatic change in viral community composition occurs in response to the input of stormwater runoff-as evidenced by a sharp rise in richness, an increase in functional diversity, and increasing dissimilarity of water column viromes over time-the source of this change could not be determined. This study demonstrates the need for additional time-series metagenomic explorations to gain a complete picture of viral community dynamics in aquatic environments.</t>
  </si>
  <si>
    <t>[Green, Jasmin C.; Rahman, Faraz; Williamson, Kurt E.] Coll William &amp; Mary, Dept Biol, Williamsburg, VA 23185 USA; [Saxton, Matthew A.] Coll William &amp; Mary, Environm Sci &amp; Policy Program, Williamsburg, VA 23185 USA; [Saxton, Matthew A.] Univ Georgia, Dept Marine Sci, Athens, GA 30602 USA</t>
  </si>
  <si>
    <t>William &amp; Mary; William &amp; Mary; University System of Georgia; University of Georgia</t>
  </si>
  <si>
    <t>Williamson, KE (corresponding author), Coll William &amp; Mary, Dept Biol, Williamsburg, VA 23185 USA.</t>
  </si>
  <si>
    <t>kewilliamson@wm.edu</t>
  </si>
  <si>
    <t>Green, Jasmin/IST-3614-2023; Saxton, Matthew A/A-4426-2012</t>
  </si>
  <si>
    <t>Virginia Environmental Endowment</t>
  </si>
  <si>
    <t>This work was supported by a grant from the Virginia Environmental Endowment to KEW. This work was performed in part using computing facilities at the College of William and Mary which were provided by contributions from the National Science Foundation, the Commonwealth of Virginia Equipment Trust Fund, and the Office of Naval Research. In particular, we thank Eric Walter in the High Performance Computing cluster at William &amp; Mary; Dr. Randolph Chambers and Adrianna Gorsky in the Keck Environmental Field Laboratory at William &amp; Mary for their assistance with water chemistry and nutrient analysis; and Joe Jones, Director of Genomic Services at Selah Genomics, for assistance with library construction, sequencing, and troubleshooting.</t>
  </si>
  <si>
    <t>0948-3055</t>
  </si>
  <si>
    <t>1616-1564</t>
  </si>
  <si>
    <t>AQUAT MICROB ECOL</t>
  </si>
  <si>
    <t>Aquat. Microb. Ecol.</t>
  </si>
  <si>
    <t>10.3354/ame01856</t>
  </si>
  <si>
    <t>FZ6AI</t>
  </si>
  <si>
    <t>WOS:000427677800002</t>
  </si>
  <si>
    <t>Purvis, OW; Fernández-Brime, S; Westberg, M; Wedin, M</t>
  </si>
  <si>
    <t>Purvis, O. W.; Fernandez-Brime, S.; Westberg, M.; Wedin, M.</t>
  </si>
  <si>
    <t>Myriospora, a genus newly reported for Antarctica with a worldwide key to the species</t>
  </si>
  <si>
    <t>LICHENOLOGIST</t>
  </si>
  <si>
    <t>Acarosporaceae; lichenized fungus; refugia; taxonomy</t>
  </si>
  <si>
    <t>SOUTH ORKNEY; ASCOMYCOTA; PHYLOGENY; EVOLUTION; FUNGI</t>
  </si>
  <si>
    <t>Myriospora signyensis Purvis, Fdez-Brime, M. Westb. &amp; Wedin is described from Signy Island, South Orkney Islands, Antarctica, where it occurs predominantly on quartz mica schist. This represents the first record of the genus for Antarctica. The distinctive interrupted photobiont arrangement places it within the genus Myriospora (formerly known as the 'Acarospora' smaragdula group, or Silobia). The new species is characterized by having large, distinctly elevated, sessile apothecia with a prominent margin and a thallus that is usually lobed at the margins and variously orange-red, rust- coloured or brown-pigmented. Molecular phylogenetic analyses inferred with strong support that M. signyensis is closely related to M. scabrida which is similar in having a lobed, imbricate thallus with large and frequently somewhat raised apothecia, but which differs in never being rusty red, by frequently having a larger number of apothecia per areole/squamule and by having a thick and distinctive thalline epinecral layer. Myriospora signyensis is otherwise most similar to M. dilatata but the thallus of M. dilatata is never imbricate-lobate and the ascomata of M. signyensis have larger and more distinctly raised and sessile apothecia. A worldwide key to the 10 species currently recognized in the genus is presented.</t>
  </si>
  <si>
    <t>[Purvis, O. W.] Univ Exeter, Camborne Sch Mines, Penryn TR10 9EZ, England; [Fernandez-Brime, S.; Wedin, M.] Swedish Museum Nat Hist, Dept Bot, POB 50007, SE-10405 Stockholm, Sweden; [Westberg, M.] Uppsala Univ, Museum Evolut, Norbyvagen 16, SE-75236 Uppsala, Sweden</t>
  </si>
  <si>
    <t>University of Exeter; Swedish Museum of Natural History; Uppsala University</t>
  </si>
  <si>
    <t>Purvis, OW (corresponding author), Univ Exeter, Camborne Sch Mines, Penryn TR10 9EZ, England.</t>
  </si>
  <si>
    <t>owpurvis@gmail.com</t>
  </si>
  <si>
    <t>Wedin, Mats/0000-0002-8295-5198</t>
  </si>
  <si>
    <t>Synthesys project within the European Union's Seventh Framework Funding [226506]; NERC Antarctic Funding Initiative Collaborative Gearing Scheme [CGS11/57]; Swedish Research Council [VR 621-2012-3990, VR 2016-03589]; SNIC through Uppsala Multidisciplinary Center for Advanced Computational Science [UPPNEX b2014033]</t>
  </si>
  <si>
    <t>Synthesys project within the European Union's Seventh Framework Funding(European Union (EU)); NERC Antarctic Funding Initiative Collaborative Gearing Scheme; Swedish Research Council(Swedish Research Council); SNIC through Uppsala Multidisciplinary Center for Advanced Computational Science</t>
  </si>
  <si>
    <t>OWP gratefully acknowledges the Swedish Museum of Natural History and financial support through the Synthesys project (grant agreement no. 226506) within the European Union's Seventh Framework Funding and also from the NERC Antarctic Funding Initiative Collaborative Gearing Scheme (ref. CGS11/57). Nicholas J.P. Owens is thanked for his helpful assistance. Vladimir Blagoderov is thanked for assistance with photomicroscopy, NHM Image Resources for macro photography (Fig. 3F) and useful advice, and Mike Flowerdew for kindly suggesting the visit to Manhaul Rock. We are grateful to Per Magnus Jorgensen for his helpful assistance with literature. MW acknowledges support from the Swedish Research Council (grants VR 621-2012-3990 and VR 2016-03589). The analyses were performed using resources provided by SNIC through Uppsala Multidisciplinary Center for Advanced Computational Science under project UPPNEX b2014033. Special thanks to two anonymous reviewers and Alan Fryday for helpful advice and editorial assistance.</t>
  </si>
  <si>
    <t>CAMBRIDGE</t>
  </si>
  <si>
    <t>EDINBURGH BLDG, SHAFTESBURY RD, CB2 8RU CAMBRIDGE, ENGLAND</t>
  </si>
  <si>
    <t>0024-2829</t>
  </si>
  <si>
    <t>1096-1135</t>
  </si>
  <si>
    <t>Lichenologist</t>
  </si>
  <si>
    <t>10.1017/S0024282917000652</t>
  </si>
  <si>
    <t>Plant Sciences; Mycology</t>
  </si>
  <si>
    <t>FZ6TZ</t>
  </si>
  <si>
    <t>WOS:000427733800007</t>
  </si>
  <si>
    <t>Kohut, JT; Hunter-Thomson, K; McDonnell, J; Clark, H; Florio, K; Gardner, K; Linder, C; Powell, H; Lichtenwalner, CS; Ferraro, C</t>
  </si>
  <si>
    <t>Kohut, Josh T.; Hunter-Thomson, Kristin; McDonnell, Janice; Clark, Harold; Florio, Kate; Gardner, Katie; Linder, Chris; Powell, Hugh; Lichtenwalner, C. Sage; Ferraro, Carrie</t>
  </si>
  <si>
    <t>Project CONVERGE: A Broader Impact Plan That Engaged Educators and Students in the Process of Polar Ocean Science Campaigns</t>
  </si>
  <si>
    <t>MARINE TECHNOLOGY SOCIETY JOURNAL</t>
  </si>
  <si>
    <t>ocean observing; polar ecosystems; physical oceanography; data literacy; process of science</t>
  </si>
  <si>
    <t>WESTERN ANTARCTIC PENINSULA; CONTINENTAL-SHELF; TRANSPORT; ECOLOGY</t>
  </si>
  <si>
    <t>CONVERGE, with National Science Foundation support, was a fully integrated scientific and broader impact program focused on a biological hotspot along the Western Antarctic Peninsula. The objective of our approach was to connect field deployed Science Teams and our target audiences, middle and high school educators and students, through real-world data to elevate our audiences' experience from science-aware spectator to working scientist. Based on experience gained from prior work and a documented need to elevate the student experience in science, we applied a multitiered program that integrated existing methods of known success (educator professional development, daily Expedition Diary blogs, live videoconferences between the deployed Science Team and classrooms back in the United States) with new tools that enabled our student audience to participate in and conduct their own peer-reviewed science (data primers, proposal review, and a science symposium). Through a comprehensive evaluation program, educators reported a change in their teaching practice to increase students' data collection and analytical skills and provided more opportunities to authentically emulate the process of science and better understand the impacts of climate change in this Antarctic ecosystem. Additionally, the educators and students both reported personal connections to the data, which motivated the students to push their comfort zones when analyzing real-time data.</t>
  </si>
  <si>
    <t>[Kohut, Josh T.; Hunter-Thomson, Kristin; McDonnell, Janice; Lichtenwalner, C. Sage; Ferraro, Carrie] Rutgers State Univ, 71 Dudley Rd, New Brunswick, NJ 08901 USA; [Clark, Harold; Florio, Kate; Gardner, Katie] Liberty Sci Ctr, Jersey City, NJ USA; [Linder, Chris] Chris Linder Photog, Potomac, MD USA; [Powell, Hugh] Cornell Univ, Ornithol Lab, Ithaca, NY 14853 USA</t>
  </si>
  <si>
    <t>Rutgers University System; Rutgers University New Brunswick; Cornell University</t>
  </si>
  <si>
    <t>Kohut, JT (corresponding author), Rutgers State Univ, 71 Dudley Rd, New Brunswick, NJ 08901 USA.</t>
  </si>
  <si>
    <t>kohut@marine.rutgers.edu</t>
  </si>
  <si>
    <t>Ferraro, Carrie/AAE-6693-2020</t>
  </si>
  <si>
    <t>Office of Polar Programs (OPP); Directorate For Geosciences [1326541] Funding Source: National Science Foundation</t>
  </si>
  <si>
    <t>MARINE TECHNOLOGY SOC INC</t>
  </si>
  <si>
    <t>COLUMBIA</t>
  </si>
  <si>
    <t>5565 STERRETT PLACE, STE 108, COLUMBIA, MD 21044 USA</t>
  </si>
  <si>
    <t>0025-3324</t>
  </si>
  <si>
    <t>1948-1209</t>
  </si>
  <si>
    <t>MAR TECHNOL SOC J</t>
  </si>
  <si>
    <t>Mar. Technol. Soc. J.</t>
  </si>
  <si>
    <t>JAN-FEB</t>
  </si>
  <si>
    <t>10.4031/MTSJ.52.1.9</t>
  </si>
  <si>
    <t>Engineering, Ocean; Oceanography</t>
  </si>
  <si>
    <t>Engineering; Oceanography</t>
  </si>
  <si>
    <t>FZ2XZ</t>
  </si>
  <si>
    <t>WOS:000427448300009</t>
  </si>
  <si>
    <t>Hardy, A; McDonald, J; Guijt, R; Leane, E; Martin, A; James, A; Jones, M; Corban, M; Green, B</t>
  </si>
  <si>
    <t>Hardy, Anne; McDonald, Jan; Guijt, Rosanne; Leane, Elizabeth; Martin, Angela; James, Allison; Jones, Menna; Corban, Monica; Green, Bridget</t>
  </si>
  <si>
    <t>Academic parenting: work-family conflict and strategies across child age, disciplines and career level</t>
  </si>
  <si>
    <t>STUDIES IN HIGHER EDUCATION</t>
  </si>
  <si>
    <t>academic careers; parenting; impacts; primary carer</t>
  </si>
  <si>
    <t>SOCIAL-SCIENCES; WOMEN; GENDER; HUMANITIES; FACULTY; MOTHERS; TENURE</t>
  </si>
  <si>
    <t>The research underpinning this article explores the impacts that parenting and primary caring responsibilities have upon academic careers. It takes an innovative approach by exploring three under-researched aspects of this issue: the longitudinal impacts that extend past the years immediately following the birth or adoption of a child; the differences and similarities that occur as a result of primary carer parenting across academic disciplines; and the impacts that primary carer parenting has upon the careers of those who are employed in senior academic levels. With these three aspects in mind, the research explores the strategies employed to cope with the impacts that birth or adoption has upon academic careers. In doing so, it broadens conceptual understandings of the career impacts of parenting, while offering recommendations for university administrators and leaders.</t>
  </si>
  <si>
    <t>[Hardy, Anne; Martin, Angela] Univ Tasmania, Tasmanian Sch Business &amp; Econ, Private Bag 84, Hobart, Tas 7001, Australia; [McDonald, Jan] Univ Tasmania, Fac Law, Private Bag 89, Hobart, Tas 7001, Australia; [Guijt, Rosanne; Corban, Monica] Univ Tasmania, Fac Hlth, Private Bag 26, Hobart, Tas 7001, Australia; [Leane, Elizabeth] Univ Tasmania, Sch Humanities, Private Bag 41, Hobart, Tas 7001, Australia; [James, Allison] Univ Tasmania, Australian Maritime Coll, Locked Bag 1399, Launceston, Tas 7250, Australia; [Jones, Menna] Univ Tasmania, Fac Sci, Private Bag 50, Hobart, Tas 7001, Australia; [Green, Bridget] Univ Tasmania, Inst Marine &amp; Antarctic Studies, Private Bag 49, Hobart, Tas 7001, Australia</t>
  </si>
  <si>
    <t>University of Tasmania; University of Tasmania; University of Tasmania; University of Tasmania; University of Tasmania; Australian Maritime College; University of Tasmania; University of Tasmania</t>
  </si>
  <si>
    <t>Hardy, A (corresponding author), Univ Tasmania, Tasmanian Sch Business &amp; Econ, Private Bag 84, Hobart, Tas 7001, Australia.</t>
  </si>
  <si>
    <t>anne.hardy@utas.edu.au</t>
  </si>
  <si>
    <t>Leane, Elizabeth M/J-7138-2014; Guijt, Rosanne/R-2428-2017; Martin, Angela/J-7183-2014; McDonald, Jan/J-7204-2014</t>
  </si>
  <si>
    <t>Guijt, Rosanne/0000-0003-0011-5708; Hardy, Anne/0000-0003-1461-2967; Martin, Angela/0000-0003-0109-1218; Leane, Elizabeth/0000-0002-7954-6529; Jones, Menna/0000-0001-7558-9022; McDonald, Jan/0000-0002-7953-1458; James, Allison/0000-0001-8860-2767</t>
  </si>
  <si>
    <t>0307-5079</t>
  </si>
  <si>
    <t>1470-174X</t>
  </si>
  <si>
    <t>STUD HIGH EDUC</t>
  </si>
  <si>
    <t>Stud. High. Educ.</t>
  </si>
  <si>
    <t>10.1080/03075079.2016.1185777</t>
  </si>
  <si>
    <t>Education &amp; Educational Research</t>
  </si>
  <si>
    <t>FZ4KK</t>
  </si>
  <si>
    <t>WOS:000427560900003</t>
  </si>
  <si>
    <t>Li, WT; Luo, D; Huang, JN; Wang, LL; Zhang, FG; Xi, T; Liao, JM; Lu, YY</t>
  </si>
  <si>
    <t>Li, Wen-ting; Luo, Dan; Huang, Jia-ning; Wang, Lin-lin; Zhang, Feng-guo; Xi, Tao; Liao, Jian-min; Lu, Yuan-yuan</t>
  </si>
  <si>
    <t>Antibacterial constituents from Antarctic fungus, Aspergillus sydowii SP-1</t>
  </si>
  <si>
    <t>NATURAL PRODUCT RESEARCH</t>
  </si>
  <si>
    <t>Aspergillus sydowii; antibacterial activities; MRSA; MRSE; alkaloid</t>
  </si>
  <si>
    <t>MARINE-DERIVED FUNGUS; ENDOPHYTIC FUNGUS; INDOLE ALKALOIDS; DERIVATIVES</t>
  </si>
  <si>
    <t>One new alkaloid, named as acremolin C (1), was isolated from static culture of Antarctic fungus, Aspergillus sydowii SP-1, in an investigation of the antimicrobial constituents of this Antarctic microorganism, and its structure was determined by spectroscopic methods. Additionally, four known compounds, cyclo-(L-Trp-L-Phe) (2), 4-hydroxyphenylacetic acid (3), (7S)-(+)-hydroxysydonic acid (4) and (7S, 11S)-(+)-12-hydroxysydonic acid (5), were isolated and identified. Biological studies disclosed that compounds 2, 4 and 5 showed moderate inhibitions against methicillin-resistant Staphylococcus aureus (MRSA) and methicillin-resistant Staphylococcus epidermidis (MRSE) as comparing to tigecycline, while compound 1 displayed weak inhibition activities against MRSA and MRSE.</t>
  </si>
  <si>
    <t>[Li, Wen-ting; Luo, Dan; Huang, Jia-ning; Wang, Lin-lin; Zhang, Feng-guo; Xi, Tao; Liao, Jian-min; Lu, Yuan-yuan] China Pharmaceut Univ, Dept Marine Pharm, Nanjing, Nanjing Shi, Peoples R China</t>
  </si>
  <si>
    <t>China Pharmaceutical University</t>
  </si>
  <si>
    <t>Liao, JM; Lu, YY (corresponding author), China Pharmaceut Univ, Dept Marine Pharm, Nanjing, Nanjing Shi, Peoples R China.</t>
  </si>
  <si>
    <t>liaojianmin_cn@163.com; luyy@cpu.edu.cn</t>
  </si>
  <si>
    <t>Li, Zilong/JEZ-8642-2023; Zheng, Lufeng/ABJ-3416-2022; Zhang, Han/JMR-0670-2023; Wang, Xuezhen/IUN-6267-2023; wang, lin/HHM-2225-2022; wang, lin/HZK-4145-2023; Zhang, Yonghui/AGY-9072-2022</t>
  </si>
  <si>
    <t>Zheng, Lufeng/0000-0002-2183-4974; Xi, Tao/0000-0001-8065-2639</t>
  </si>
  <si>
    <t>Fundamental Research Funds for the Central Universities [JKZD2013017]; Project Program of National Natural Science Foundation of China for Young Scientists [81001395]; Priority Academic Program Development of Jiangsu Higher Education Institutions; Qing Lan Project</t>
  </si>
  <si>
    <t>Fundamental Research Funds for the Central Universities(Fundamental Research Funds for the Central Universities); Project Program of National Natural Science Foundation of China for Young Scientists; Priority Academic Program Development of Jiangsu Higher Education Institutions; Qing Lan Project(Jiangsu Polytech Institute)</t>
  </si>
  <si>
    <t>This work was supported by the Fundamental Research Funds for the Central Universities [grant number JKZD2013017]; the Project Program of National Natural Science Foundation of China for Young Scientists [grant number 81001395]; the Priority Academic Program Development of Jiangsu Higher Education Institutions and Qing Lan Project.</t>
  </si>
  <si>
    <t>1478-6419</t>
  </si>
  <si>
    <t>1478-6427</t>
  </si>
  <si>
    <t>NAT PROD RES</t>
  </si>
  <si>
    <t>Nat. Prod. Res.</t>
  </si>
  <si>
    <t>10.1080/14786419.2017.1335730</t>
  </si>
  <si>
    <t>Chemistry, Applied; Chemistry, Medicinal</t>
  </si>
  <si>
    <t>Chemistry; Pharmacology &amp; Pharmacy</t>
  </si>
  <si>
    <t>FY6GT</t>
  </si>
  <si>
    <t>WOS:000426942800006</t>
  </si>
  <si>
    <t>Spooner, PT; Thornalley, DJR; Ellis, P</t>
  </si>
  <si>
    <t>Spooner, Peter T.; Thornalley, David J. R.; Ellis, Philip</t>
  </si>
  <si>
    <t>Grain Size Constraints on Glacial Circulation in the Southwest Atlantic</t>
  </si>
  <si>
    <t>sortable silt; AABW; Vema</t>
  </si>
  <si>
    <t>ANTARCTIC BOTTOM WATER; VEMA CHANNEL; DEEP-WATER; OVERTURNING CIRCULATION; SOUTHERN-OCEAN; SORTABLE SILT; CURRENT SPEED; FLOW; VENTILATION; EVOLUTION</t>
  </si>
  <si>
    <t>Knowledge of past deep-ocean current speeds has the potential to inform our understanding of changes in the climate system on glacial-interglacial timescales, because they may be used to help constrain changes in deep-ocean circulation rates and pathways. Of particular interest is the paleo-flow speed of southern-sourced deep water, which may have acted as a carbon store during the last glacial period. A location of importance in the northward transport of southern-sourced bottom water is the Vema Channel, which divides the Argentine and Brazil basins in the South Atlantic. We revisit previous studies of paleo-flow in Vema Channel using updated techniques in grain size analysis (i.e., mean sortable silt grain size), in Vema Channel cores and cores from the Brazil margin. Furthermore, we update the interpretation of the previous grain size studies in the light of many years further research into the glacial circulation of the deep Atlantic. Our results are broadly consistent with the existing data and suggest that during the last glacial period there was slightly more vigorous intermediate to middepth (shallower than 2,600m) circulation in the South Atlantic Ocean than during the Holocene, whereas around 3,500m the circulation was generally more sluggish. Increased glacial flow speed on the eastern side of the Vema Channel was likely related to an increase in northward velocity of AABW in the channel. An increase in Antarctic Bottom Water flow through the Vema Channel may have helped to sustain the large volume of southern-sourced deep water in the Atlantic during the glacial period.</t>
  </si>
  <si>
    <t>[Spooner, Peter T.; Thornalley, David J. R.; Ellis, Philip] UCL, Dept Geog, London, England</t>
  </si>
  <si>
    <t>University of London; University College London</t>
  </si>
  <si>
    <t>Spooner, PT (corresponding author), UCL, Dept Geog, London, England.</t>
  </si>
  <si>
    <t>p.spooner@ucl.ac.uk</t>
  </si>
  <si>
    <t>Thornalley, David/0000-0001-5885-5499; Spooner, Peter/0000-0003-1147-081X</t>
  </si>
  <si>
    <t>UCL</t>
  </si>
  <si>
    <t>We would like to thank Ellen Roosen (WHOI) and Nichole Anest (LDEO) for providing samples, Janet Hope (UCL) and Lindsey Owen (Cardiff) for laboratory assistance, and Ian Hall for facilitating grain size analyses at Cardiff University. We thank Andrea Burke for useful discussion on initial results. The project was designed by DJRT and conducted by PTS and PE. All authors contributed to the discussion and interpretation of results. The manuscript was written by PTS, with contributions from DJRT. Funding was provided as part of the MSc program at UCL for P.E., and a Philip Leverhulme Prize to D.J.R.T. from the Leverhulme Trust. All data are included as one table in the supporting information.</t>
  </si>
  <si>
    <t>2572-4517</t>
  </si>
  <si>
    <t>10.1002/2017PA003232</t>
  </si>
  <si>
    <t>WOS:000426654000002</t>
  </si>
  <si>
    <t>Taylor-Silva, BI; Riesselman, CR</t>
  </si>
  <si>
    <t>Taylor-Silva, B. I.; Riesselman, C. R.</t>
  </si>
  <si>
    <t>Polar Frontal Migration in the Warm Late Pliocene: Diatom Evidence From the Wilkes Land Margin, East Antarctica</t>
  </si>
  <si>
    <t>Pliocene; East Antarctic Ice Sheet; Southern Ocean; diatom micropaleontology; Antarctic polar front; International Ocean Discovery Program</t>
  </si>
  <si>
    <t>SOUTHERN-OCEAN SEDIMENTS; ICE-SHEET; SEA-LEVEL; AND-1B DRILLCORE; TOTTEN GLACIER; MCMURDO SOUND; SURFACE; BIOGEOGRAPHY; CONSTRAINTS; SENSITIVITY</t>
  </si>
  <si>
    <t>The late Pliocene is the most recent interval in Earth's history to sustain global temperatures within the range of warming predicted for the 21st century, providing an appealing analog for the changes we might encounter in the coming century. Published global reconstructions and climate models find an average +2 degrees summer sea surface temperature anomaly relative to modern during the 3.3-3.0Ma interval of the late Pliocene, when atmospheric CO2 concentrations last reached 400 ppm. Here we present a new diatom-based reconstruction of Pliocene interglacial sea surface conditions from IODP Site U1361, on the East Antarctic continental rise. We find that open ocean conditions in the mid-Pliocene became increasingly influenced by sea ice from 3.6-3.2 Ma, prior to the onset of Northern Hemisphere glaciation. This cooling trend was interrupted by a temporary southward migration of the Antarctic Polar Front, bathing U1361 in subantarctic waters during a single interglacial-marine isotope stage KM3 (3.17-3.15 Ma)after which sea ice returned. Building on the identification of this single outlier interglacial, we have revisited earlier reconstructions to explore the response of the Southern Ocean/cryosphere system to peak late Pliocene warmth. By applying a modern chronostratigraphic framework to those low-resolution reconstructions, we identify the same frontal migration in four other cores in the Pacific sector of the Southern Ocean, documenting a major migration of the polar front during a key interval of warm climate. These new results suggest that KM3 is a crucial interval to test ice sheet stability in the context of anthropogenic warming.</t>
  </si>
  <si>
    <t>[Taylor-Silva, B. I.; Riesselman, C. R.] Univ Otago, Dept Geol, Dunedin, New Zealand; [Riesselman, C. R.] Univ Otago, Dept Marine Sci, Dunedin, New Zealand</t>
  </si>
  <si>
    <t>Riesselman, CR (corresponding author), Univ Otago, Dept Geol, Dunedin, New Zealand.;Riesselman, CR (corresponding author), Univ Otago, Dept Marine Sci, Dunedin, New Zealand.</t>
  </si>
  <si>
    <t>christina.riesselman@otago.ac.nz</t>
  </si>
  <si>
    <t>Riesselman, Christina R/H-5037-2012</t>
  </si>
  <si>
    <t>Riesselman, Christina/0000-0002-2436-4306</t>
  </si>
  <si>
    <t>Royal Society of New Zealand Marsden FastStart grant [UOO-1315]; IODP U.S. Science Support Program</t>
  </si>
  <si>
    <t>Royal Society of New Zealand Marsden FastStart grant(Royal Society of New ZealandMarsden Fund (NZ)); IODP U.S. Science Support Program</t>
  </si>
  <si>
    <t>This research used samples and data provided by the International Ocean Discovery Program (IODP). We are grateful for financial support through a Royal Society of New Zealand Marsden FastStart grant UOO-1315 to Riesselman and for seed funding from the IODP U.S. Science Support Program. The authors also gratefully acknowledge the IODP Expedition 318 science party, technical support, and platform operators, whose hard work enabled this investigation, and Luke Easterbrook, Brent Pooley, and Damian Walls for technical, equipment, and facility support. Finally, we thank John Barron and an anonymous reviewer for recommendations that have significantly improved our manuscript, and editors Helen Bostock and Ellen Thomas for facilitating the review process and providing additional feedback. All new data can be found in the supporting information of this manuscript.</t>
  </si>
  <si>
    <t>10.1002/2017PA003225</t>
  </si>
  <si>
    <t>WOS:000426654000006</t>
  </si>
  <si>
    <t>Tarling, GA; Ward, P; Thorpe, SE</t>
  </si>
  <si>
    <t>Tarling, Geraint A.; Ward, Peter; Thorpe, Sally E.</t>
  </si>
  <si>
    <t>Spatial distributions of Southern Ocean mesozooplankton communities have been resilient to long-term surface warming</t>
  </si>
  <si>
    <t>GLOBAL CHANGE BIOLOGY</t>
  </si>
  <si>
    <t>adaptation; Antarctic; copepods; ocean warming; pelagic; polar</t>
  </si>
  <si>
    <t>ANTARCTIC POLAR FRONT; SCOTIA SEA; NORTH-ATLANTIC; CLIMATE-CHANGE; TEMPERATURE; CALANOIDA; DYNAMICS; COPEPODS; GEORGIA; MACROZOOPLANKTON</t>
  </si>
  <si>
    <t>The biogeographic response of oceanic planktonic communities to climatic change has a large influence on the future stability of marine food webs and the functioning of global biogeochemical cycles. Temperature plays a pivotal role in determining the distribution of these communities and ocean warming has the potential to cause major distributional shifts, particularly in polar regions where the thermal envelope is narrow. We considered the impact of long-term ocean warming on the spatial distribution of Southern Ocean mesozooplankton communities through examining plankton abundance in relation to sea surface temperature between two distinct periods, separated by around 60 years. Analyses considered 16 dominant mesozooplankton taxa (in terms of biomass and abundance) in the southwest Atlantic sector of the Southern Ocean, from net samples and in situ temperature records collected during the Discovery Investigations (1926-1938) and contemporary campaigns (1996-2013). Sea surface temperature was found to have increased significantly by 0.74 degrees C between the two eras. The corresponding sea surface temperature at which community abundance peaked was also significantly higher in contemporary times, by 0.98 degrees C. Spatial projections indicated that the geographical location of community peak abundance had remained the same between the two eras despite the poleward advance of sea surface isotherms. If the community had remained within the same thermal envelope as in the 1920s-1930s, community peak abundance would be 500 km further south in the contemporary era. Studies in the northern hemisphere have found that dominant taxa, such as calanoid copepods, have conserved their thermal niches and tracked surface isotherms polewards. The fact that this has not occurred in the Southern Ocean suggests that other selective pressures, particularly food availability and the properties of underlying water masses, place greater constraints on spatial distributions in this region. It further demonstrates that this community is thermally resilient to present levels of sea surface warming.</t>
  </si>
  <si>
    <t>[Tarling, Geraint A.; Ward, Peter; Thorpe, Sally E.] British Antarctic Survey, Nat Environm Res Council, Cambridge, England</t>
  </si>
  <si>
    <t>Tarling, GA (corresponding author), British Antarctic Survey, Nat Environm Res Council, Cambridge, England.</t>
  </si>
  <si>
    <t>gant@bas.ac.uk</t>
  </si>
  <si>
    <t>Tarling, Geraint/0000-0002-3753-5899; Thorpe, Sally/0000-0002-5193-6955</t>
  </si>
  <si>
    <t>British Antarctic Survey; Natural Environment Research Council; Ecosystems; NERC [bas0100035] Funding Source: UKRI</t>
  </si>
  <si>
    <t>British Antarctic Survey; Natural Environment Research Council(UK Research &amp; Innovation (UKRI)Natural Environment Research Council (NERC)); Ecosystems; NERC(UK Research &amp; Innovation (UKRI)Natural Environment Research Council (NERC))</t>
  </si>
  <si>
    <t>British Antarctic Survey, Grant/Award Number: Ecosystems; Natural Environment Research Council</t>
  </si>
  <si>
    <t>1354-1013</t>
  </si>
  <si>
    <t>1365-2486</t>
  </si>
  <si>
    <t>GLOBAL CHANGE BIOL</t>
  </si>
  <si>
    <t>Glob. Change Biol.</t>
  </si>
  <si>
    <t>10.1111/gcb.13834</t>
  </si>
  <si>
    <t>Biodiversity Conservation; Ecology; Environmental Sciences</t>
  </si>
  <si>
    <t>FY0MR</t>
  </si>
  <si>
    <t>WOS:000426506100040</t>
  </si>
  <si>
    <t>Wongpan, P; Hughes, KG; Langhorne, PJ; Smith, IJ</t>
  </si>
  <si>
    <t>Wongpan, P.; Hughes, K. G.; Langhorne, P. J.; Smith, I. J.</t>
  </si>
  <si>
    <t>Brine Convection, Temperature Fluctuations, and Permeability in Winter Antarctic Land-Fast Sea Ice</t>
  </si>
  <si>
    <t>JOURNAL OF GEOPHYSICAL RESEARCH-OCEANS</t>
  </si>
  <si>
    <t>Antarctic sea ice; permeability; temperature fluctuations; platelet ice; mushy layer; brine convection</t>
  </si>
  <si>
    <t>MCMURDO SOUND; EVOLUTION; SOLIDIFICATION; DESALINATION; SALINITY; DRAINAGE; GROWTH</t>
  </si>
  <si>
    <t>Vertical temperature strings are used in sea ice research to study heat flow, ice growth rate, and ocean-ice-atmosphere interaction. We demonstrate the feasibility of using temperature fluctuations as a proxy for fluid movement, a key process for supplying nutrients to Antarctic sea ice algal communities. Four strings were deployed in growing, land-fast sea ice in McMurdo Sound, Antarctica. By smoothing temperature data with the robust LOESS method, we obtain temperature fluctuations that cannot be explained by insolation or atmospheric heat loss. Statistical distributions of these temperature fluctuations are investigated with sensitivities to the distance from the ice-ocean interface, average ice temperature, and sea ice structure. Fluctuations are greatest close to the base (&lt;50 mm) at temperatures &gt;-3 degrees C, and are discrete events with an average active period of 43% compared to 11% when the ice is colder (-3 degrees C to -5 degrees C). Assuming fluctuations occur when the Rayleigh number, derived from mushy layer theory, exceeds a critical value of 10 we approximate the harmonic mean permeability of this thick (&gt;1 m) sea ice in terms of distance from the ice-ocean interface. Near the base, we obtain values in the same range as those measured by others in Arctic spring and summer. The permeability between the ice-ocean interface and 0.050.04 m above it is of order 10(-9) m(2). Columnar and incorporated platelet ice permeability distributions in the bottom 0.1 m of winter Antarctic sea ice are statistically significantly different although their arithmetic means are indistinguishable.</t>
  </si>
  <si>
    <t>[Wongpan, P.; Hughes, K. G.; Langhorne, P. J.; Smith, I. J.] Univ Otago, Dept Phys, Dunedin, New Zealand; [Hughes, K. G.] Univ Victoria, Sch Earth &amp; Ocean Sci, Victoria, BC, Canada</t>
  </si>
  <si>
    <t>University of Otago; University of Victoria</t>
  </si>
  <si>
    <t>Wongpan, P (corresponding author), Univ Otago, Dept Phys, Dunedin, New Zealand.</t>
  </si>
  <si>
    <t>pat.wongpan@postgrad.otago.ac.nz</t>
  </si>
  <si>
    <t>Wongpan, Pat/AAX-6946-2020; Langhorne, Pat/C-3539-2018</t>
  </si>
  <si>
    <t>Wongpan, Pat/0000-0002-7113-8221; Langhorne, Pat/0000-0003-0239-7657; Hughes, Kenneth/0000-0001-5066-3310</t>
  </si>
  <si>
    <t>University of Otago Postgraduate Scholarship; University of Otago; New Zealand Foundation for Research Science and Technology [IPY UOOX0705]; Ministry of Business, Innovation and Employment [C01X1226]; [CAOA1703]; New Zealand Ministry of Business, Innovation &amp; Employment (MBIE) [C01X1226] Funding Source: New Zealand Ministry of Business, Innovation &amp; Employment (MBIE)</t>
  </si>
  <si>
    <t>University of Otago Postgraduate Scholarship; University of Otago; New Zealand Foundation for Research Science and Technology(New Zealand Foundation for Research, Science and Technology); Ministry of Business, Innovation and Employment(New Zealand Ministry of Business, Innovation and Employment (MBIE)); ; New Zealand Ministry of Business, Innovation &amp; Employment (MBIE)(New Zealand Ministry of Business, Innovation and Employment (MBIE))</t>
  </si>
  <si>
    <t>We gratefully acknowledge the logistical support of Antarctica New Zealand, Tim Haskell of Callaghan Innovation Ltd. and the winter-over crews of 2009, 2010, and 2013, who deployed temperature strings. We particularly thank Dr. Greg Leonard, Dr. Alex Gough, and Dr. Andy Mahoney for access to temperature and supporting data. Jono Everts assisted with calibration of 2010 and 2013 temperature data, and we are grateful to Grae Worster for useful discussions regarding mushy layer physics. P.W. was supported by a University of Otago Postgraduate Scholarship, and I.J.S.'s continued involvement in this project was supported by a number of University of Otago Research Grants. The study was also financially supported by New Zealand Foundation for Research Science and Technology contract IPY UOOX0705, and by subcontracts to National Institute of Water and Atmospheric Research (NIWA): project C01X1226 funded by Ministry of Business, Innovation and Employment; and numerous core funding projects, most recently CAOA1703. We acknowledge two anonymous reviewers and the editors, whose suggestions and comments helped improve the earlier version of the manuscript. The temperature data used in this study from 2009A, 2009B, 2010, and 2013 can be obtained from https://doi.pangaea.de/10.1594/PANGAEA.880162, https://doi.pangaea.de/10.1594/PANGAEA.880163, https://doi.pangaea.de/10.1594/PANGAEA.880164, and https://doi.pangaea.de/10.1594/PANGAEA.880165, respectively.</t>
  </si>
  <si>
    <t>2169-9275</t>
  </si>
  <si>
    <t>2169-9291</t>
  </si>
  <si>
    <t>J GEOPHYS RES-OCEANS</t>
  </si>
  <si>
    <t>J. Geophys. Res.-Oceans</t>
  </si>
  <si>
    <t>10.1002/2017JC012999</t>
  </si>
  <si>
    <t>FW8MU</t>
  </si>
  <si>
    <t>WOS:000425589800014</t>
  </si>
  <si>
    <t>Buffo, JJ; Schmidt, BE; Huber, C</t>
  </si>
  <si>
    <t>Buffo, J. J.; Schmidt, B. E.; Huber, C.</t>
  </si>
  <si>
    <t>Multiphase Reactive Transport and Platelet Ice Accretion in the Sea Ice of McMurdo Sound, Antarctica</t>
  </si>
  <si>
    <t>sea ice; platelet ice; mushy layer theory; cryosphere modeling</t>
  </si>
  <si>
    <t>SHELF WATER PLUME; FRAZIL ICE; NATURAL-CONVECTION; GRAVITY DRAINAGE; WEDDELL SEA; MODEL; SOLIDIFICATION; DYNAMICS; PARAMETERIZATION; THERMODYNAMICS</t>
  </si>
  <si>
    <t>Sea ice seasonally to interannually forms a thermal, chemical, and physical boundary between the atmosphere and hydrosphere over tens of millions of square kilometers of ocean. Its presence affects both local and global climate and ocean dynamics, ice shelf processes, and biological communities. Accurate incorporation of sea ice growth and decay, and its associated thermal and physiochemical processes, is underrepresented in large-scale models due to the complex physics that dictate oceanic ice formation and evolution. Two phenomena complicate sea ice simulation, particularly in the Antarctic: the multiphase physics of reactive transport brought about by the inhomogeneous solidification of seawater, and the buoyancy driven accretion of platelet ice formed by supercooled ice shelf water onto the basal surface of the overlying ice. Here a one-dimensional finite difference model capable of simulating both processes is developed and tested against ice core data. Temperature, salinity, liquid fraction, fluid velocity, total salt content, and ice structure are computed during model runs. The model results agree well with empirical observations and simulations highlight the effect platelet ice accretion has on overall ice thickness and characteristics. Results from sensitivity studies emphasize the need to further constrain sea ice microstructure and the associated physics, particularly permeability-porosity relationships, if a complete model of sea ice evolution is to be obtained. Additionally, implications for terrestrial ice shelves and icy moons in the solar system are discussed.</t>
  </si>
  <si>
    <t>[Buffo, J. J.; Schmidt, B. E.; Huber, C.] Georgia Inst Technol, Sch Earth &amp; Atmospher Sci, Atlanta, GA 30332 USA; [Huber, C.] Brown Univ, Dept Earth Environm &amp; Planetary Sci, Providence, RI 02912 USA</t>
  </si>
  <si>
    <t>University System of Georgia; Georgia Institute of Technology; Brown University</t>
  </si>
  <si>
    <t>Buffo, JJ (corresponding author), Georgia Inst Technol, Sch Earth &amp; Atmospher Sci, Atlanta, GA 30332 USA.</t>
  </si>
  <si>
    <t>jacob.buffo@eas.gatech.edu</t>
  </si>
  <si>
    <t>Schmidt, Britney Elyce/0000-0001-7376-8510; Buffo, Jacob/0000-0002-5451-7940</t>
  </si>
  <si>
    <t>NASA Earth and Space Science fellowship [NNX16AP43H]; Georgia Institute of Technology; NASA [897348, NNX16AP43H] Funding Source: Federal RePORTER</t>
  </si>
  <si>
    <t>NASA Earth and Space Science fellowship; Georgia Institute of Technology; NASA(National Aeronautics &amp; Space Administration (NASA))</t>
  </si>
  <si>
    <t>This study was supported by the NASA Earth and Space Science fellowship, grant NNX16AP43H and coauthor Schmidt's startup funds from the Georgia Institute of Technology. The authors thank the reviewers for their valuable comments and suggestions to improve the manuscript. Additionally, the authors thank Natalie Robinson and Mike Williams of the National Institute of Water and Atmospheric Research for helpful discussions during the course of this research. All scripts used in this publication are publicly available at schmidt.eas.gatech.edu/jacob-buffo/.</t>
  </si>
  <si>
    <t>10.1002/2017JC013345</t>
  </si>
  <si>
    <t>WOS:000425589800020</t>
  </si>
  <si>
    <t>Hutter, N; Losch, M; Menemenlis, D</t>
  </si>
  <si>
    <t>Hutter, Nils; Losch, Martin; Menemenlis, Dimitris</t>
  </si>
  <si>
    <t>Scaling Properties of Arctic Sea Ice Deformation in a High-Resolution Viscous-Plastic Sea Ice Model and in Satellite Observations</t>
  </si>
  <si>
    <t>sea ice deformation; scaling; Arctic Ocean; sea ice rheology; high-resolution modeling</t>
  </si>
  <si>
    <t>ELASTO-BRITTLE RHEOLOGY; PACK ICE; OCEAN; PERFORMANCE; FRAMEWORK; NEXTSIM; SYSTEM; RATES; LEADS</t>
  </si>
  <si>
    <t>Sea ice models with the traditional viscous-plastic (VP) rheology and very small horizontal grid spacing can resolve leads and deformation rates localized along Linear Kinematic Features (LKF). In a 1 km pan-Arctic sea ice-ocean simulation, the small-scale sea ice deformations are evaluated with a scaling analysis in relation to satellite observations of the Envisat Geophysical Processor System (EGPS) in the Central Arctic. A new coupled scaling analysis for data on Eulerian grids is used to determine the spatial and temporal scaling and the coupling between temporal and spatial scales. The spatial scaling of the modeled sea ice deformation implies multifractality. It is also coupled to temporal scales and varies realistically by region and season. The agreement of the spatial scaling with satellite observations challenges previous results with VP models at coarser resolution, which did not reproduce the observed scaling. The temporal scaling analysis shows that the VP model, as configured in this 1 km simulation, does not fully resolve the intermittency of sea ice deformation that is observed in satellite data.</t>
  </si>
  <si>
    <t>[Hutter, Nils; Losch, Martin] Alfred Wegener Inst Polar &amp; Marine Res, Bremerhaven, Germany; [Menemenlis, Dimitris] CALTECH, Jet Prop Lab, Pasadena, CA USA</t>
  </si>
  <si>
    <t>Helmholtz Association; Alfred Wegener Institute, Helmholtz Centre for Polar &amp; Marine Research; National Aeronautics &amp; Space Administration (NASA); NASA Jet Propulsion Laboratory (JPL); California Institute of Technology</t>
  </si>
  <si>
    <t>Hutter, N (corresponding author), Alfred Wegener Inst Polar &amp; Marine Res, Bremerhaven, Germany.</t>
  </si>
  <si>
    <t>nils.hutter@awi.de</t>
  </si>
  <si>
    <t>Hutter, Nils/AAL-5556-2020; Menemenlis, Dimitris/G-8091-2017; Losch, Martin/S-5896-2016</t>
  </si>
  <si>
    <t>Hutter, Nils/0000-0003-3450-9422; Menemenlis, Dimitris/0000-0001-9940-8409; Losch, Martin/0000-0002-3824-5244</t>
  </si>
  <si>
    <t>National Aeronautics and Space Administration (NASA); NASAs MEaSUREs program</t>
  </si>
  <si>
    <t>National Aeronautics and Space Administration (NASA)(National Aeronautics &amp; Space Administration (NASA)); NASAs MEaSUREs program</t>
  </si>
  <si>
    <t>D.M. worked on modeling component of this study at the Jet Propulsion Laboratory (JPL), California Institute of Technology, under a contract with the National Aeronautics and Space Administration (NASA). High-end computing resources were provided by the NASA Advanced Supercomputing (NAS) Division of the Ames Research Center. The Arctic and Antarctic ice drift from Envisat is available at http://rkwok.jpl.nasa.gov/envisat/index.html and the derivation of the data set is funded by NASAs MEaSUREs program. We thank Jerome Weiss for stimulating discussions.</t>
  </si>
  <si>
    <t>10.1002/2017JC013119</t>
  </si>
  <si>
    <t>WOS:000425589800038</t>
  </si>
  <si>
    <t>Zhao, J; Thurnherr, AM</t>
  </si>
  <si>
    <t>Zhao, Jian; Thurnherr, Andreas M.</t>
  </si>
  <si>
    <t>Changes in Bottom Water Physical Properties Above the Mid-Atlantic Ridge Flank in the Brazil Basin</t>
  </si>
  <si>
    <t>AABW; decadal change; abyssal stratification</t>
  </si>
  <si>
    <t>WESTERN SOUTH-ATLANTIC; ROUGH TOPOGRAPHY; ABYSSAL OCEAN; VEMA CHANNEL; DEEP; VARIABILITY; CIRCULATION; DISSIPATION; SECTIONS; BOUNDARY</t>
  </si>
  <si>
    <t>Warming of abyssal waters in recent decades has been widely documented around the global ocean. Here repeat hydrographic data collected in 1997 and 2014 near a deep fracture zone canyon in the eastern Brazil Basin are used to quantify the long-term change. Significant changes are found in the Antarctic Bottom Water (AABW) within the canyon. The AABW in 2014 was warmer (0.08 +/- 0.06 degrees C), saltier (0.01 +/- 0.005), and less dense (0.005 +/- 0.004 kg m(-3)) than in 1997. In contrast, the change in the North Atlantic Deep Water has complicated spatial structure and is almost indistinguishable from zero at 95% confidence. The resulting divergence in vertical displacement of the isopycnals modifies the local density stratification. At its peak, the local squared buoyancy frequency (N-2) near the canyon is reduced by about 20% from 1997 to 2014. Similar reduction is found in the basinwide averaged profiles over the Mid-Atlantic Ridge flank along 25 degrees W in years 1989, 2005, and 2014. The observed changes in density stratification have important implications for internal tide generation and dissipation.</t>
  </si>
  <si>
    <t>[Zhao, Jian; Thurnherr, Andreas M.] Columbia Univ, Lamont Doherty Earth Observ, Palisades, NY 10964 USA; [Zhao, Jian] Woods Hole Oceanog Inst, Dept Phys Oceanog, Woods Hole, MA 02543 USA</t>
  </si>
  <si>
    <t>Columbia University; Woods Hole Oceanographic Institution</t>
  </si>
  <si>
    <t>Zhao, J (corresponding author), Columbia Univ, Lamont Doherty Earth Observ, Palisades, NY 10964 USA.;Zhao, J (corresponding author), Woods Hole Oceanog Inst, Dept Phys Oceanog, Woods Hole, MA 02543 USA.</t>
  </si>
  <si>
    <t>jzhao@whoi.edu</t>
  </si>
  <si>
    <t>Zhao, Jian/AFP-3644-2022</t>
  </si>
  <si>
    <t>Thurnherr, Andreas/0000-0002-1977-7122; zhao, jian/0000-0002-6458-5146</t>
  </si>
  <si>
    <t>NSF [OCE-1235094]; Division Of Ocean Sciences; Directorate For Geosciences [1235094] Funding Source: National Science Foundation</t>
  </si>
  <si>
    <t>NSF(National Science Foundation (NSF)); Division Of Ocean Sciences; Directorate For Geosciences(National Science Foundation (NSF)NSF - Directorate for Geosciences (GEO))</t>
  </si>
  <si>
    <t>The DoMORE project was supported by NSF under the grant OCE-1235094. The efforts of colleagues from LDEO, WHOI, and of the officers and crew of the R/V Nathaniel B. Palmer are greatly appreciated. The hydrographic data from the A09 and A16S sections were downloaded from the Clivar &amp; Carbon Hydrographic Data Office (CCHDO) website http://cchdo.ucsd.edu. The BBTRE data used here can be obtained from https://microstructure.ucsd.edu. The DoMore data are available from http://www.marine-geo.org</t>
  </si>
  <si>
    <t>10.1002/2017JC013375</t>
  </si>
  <si>
    <t>WOS:000425589800040</t>
  </si>
  <si>
    <t>McAllister, JD; Barnett, A; Lyle, JM; Stehfest, KM; Semmens, JM</t>
  </si>
  <si>
    <t>McAllister, Jaime D.; Barnett, Adam; Lyle, Jeremy M.; Stehfest, Kilian M.; Semmens, Jayson M.</t>
  </si>
  <si>
    <t>Examining trends in abundance of an overexploited elasmobranch species in a nursery area closure</t>
  </si>
  <si>
    <t>catch per unit effort; catch rate; Galeorhinus galeus; prerecruit abundance; recovery; school shark; shark fishery</t>
  </si>
  <si>
    <t>STOCK ASSESSMENT; SOAK TIME; RECRUITMENT; FISHERIES; VARIABILITY; MANAGEMENT; DYNAMICS; CATCH; RISK</t>
  </si>
  <si>
    <t>Determining the dynamics of ecological communities following periods of anthropogenic change is critical to assessing the effectiveness of management strategies. Several coastal areas in south-eastern Australia were proclaimed shark refuge areas (SRAs) following overfishing of the school shark (Galeorhinus galeus) during the 1940s and 1950s. In conjunction with catch reduction measures, these areas provide spatial protection for juvenile G. galeus. In the present study, we compared recent (2012-14) and historic (1991-97) longline catch rates to determine whether young-of-year (YOY) and juvenile G. galeus continue to use these nursery areas (42 degrees 47'60,00''S, 147 degrees 30'0.0.00''E). Our data suggest that YOY abundances in the SRAs may have increased, or at least have remained stable, since the 1990s. Data from research fishing conducted from 1947 to 1956 showed that YOY abundance in the SRA correlated well with overall stock abundance in the past. If this relationship still holds, our longline data indicate that the stock may be showing signs of recovery. However, the present-day importance of the SRA to overall stock recruitment, as well as the relationship between YOY abundance in the SRA and stock health, need to be resolved before monitoring of YOY abundance in the SRA can be used as a fisheries-independent stock-assessment tool.</t>
  </si>
  <si>
    <t>[McAllister, Jaime D.; Lyle, Jeremy M.; Stehfest, Kilian M.; Semmens, Jayson M.] Inst Marine &amp; Antarctic Studies, Fisheries &amp; Aquaculture Ctr, Private Bag 49, Hobart, Tas 7001, Australia; [Barnett, Adam] Deakin Univ, Sch Life &amp; Environm Sci, 221 Burwood Highway, Burwood, Vic 3125, Australia; [Barnett, Adam] James Cook Univ, Coll Marine &amp; Environm Sci, Townsville, Qld 4811, Australia</t>
  </si>
  <si>
    <t>University of Tasmania; Deakin University; James Cook University</t>
  </si>
  <si>
    <t>Stehfest, KM (corresponding author), Inst Marine &amp; Antarctic Studies, Fisheries &amp; Aquaculture Ctr, Private Bag 49, Hobart, Tas 7001, Australia.</t>
  </si>
  <si>
    <t>kilian.stehfest@utas.edu.au</t>
  </si>
  <si>
    <t>Lyle, Jeremy M/J-7170-2014</t>
  </si>
  <si>
    <t>, Adam/0000-0001-7430-8428; Semmens, Jayson/0000-0003-1742-6692</t>
  </si>
  <si>
    <t>Winifred Violet Scott Foundation; Save Our Seas Foundation; Holsworth Wildlife Research Endowment</t>
  </si>
  <si>
    <t>The authors thank R. French, D. Faloon, L. Forbes and C. Awruch for their dedicated assistance with fieldwork. The authors also thank J. Stevens and R. Thompson from CSIRO Marine and Atmospheric Research for providing data and advice on the school shark stock assessment model respectively, along with the Australian Fisheries Management Authority (AFMA) for providing the stock assessment data. This study was supported by grants from the Winifred Violet Scott Foundation, Save Our Seas Foundation and the Holsworth Wildlife Research Endowment.</t>
  </si>
  <si>
    <t>10.1071/MF17130</t>
  </si>
  <si>
    <t>FX4LS</t>
  </si>
  <si>
    <t>WOS:000426049200004</t>
  </si>
  <si>
    <t>Philpott, C</t>
  </si>
  <si>
    <t>Philpott, Carolyn</t>
  </si>
  <si>
    <t>Composing Connections between Continents: Tracing the History of Australia's Engagement with Antarctica through Music</t>
  </si>
  <si>
    <t>SONGS</t>
  </si>
  <si>
    <t>This article explores the history of Australia's engagement with Antarctica through music, from the earliest songs and an opera created by the first Australian explorers to Antarctica, to the popular Antarctic-related classical music of Australian composer Nigel Westlake and the soundscape-based compositions of Australia-based sound artists Philip Samartzis and Lawrence English. Drawing on the field of musicology, but also the scholarly turn to the senses as part of the broadening reach of cultural history, the article argues that Australia's musical engagement with Antarctica constitutes a significant, though understudied, aspect of our aural heritage. Further, deeper and critical appreciation of this music as cultural and aural heritage enhances our ability to reflect on the full extent of Australia's relationship with, and contribution to knowledge about, its Great Frozen Neighbour' and its identity as a gateway' to the Antarctic region.</t>
  </si>
  <si>
    <t>[Philpott, Carolyn] Univ Tasmania, Conservatorium Music, Hobart, Tas, Australia; [Philpott, Carolyn] Univ Tasmania, Inst Marine &amp; Antarct Studies, Hobart, Tas, Australia</t>
  </si>
  <si>
    <t>Philpott, C (corresponding author), Univ Tasmania, Conservatorium Music, Hobart, Tas, Australia.;Philpott, C (corresponding author), Univ Tasmania, Inst Marine &amp; Antarct Studies, Hobart, Tas, Australia.</t>
  </si>
  <si>
    <t>Carolyn.Philpott@utas.edu.au</t>
  </si>
  <si>
    <t>Philpott, Carolyn/0000-0002-5778-5748</t>
  </si>
  <si>
    <t>10.1080/1031461X.2017.1417456</t>
  </si>
  <si>
    <t>FW9RH</t>
  </si>
  <si>
    <t>WOS:000425673500005</t>
  </si>
  <si>
    <t>[Anonymous]</t>
  </si>
  <si>
    <t>Drone photos offer faster, cheaper data on key Antarctic species</t>
  </si>
  <si>
    <t>MARINE POLLUTION BULLETIN</t>
  </si>
  <si>
    <t>0025-326X</t>
  </si>
  <si>
    <t>1879-3363</t>
  </si>
  <si>
    <t>MAR POLLUT BULL</t>
  </si>
  <si>
    <t>Mar. Pollut. Bull.</t>
  </si>
  <si>
    <t>FW8GQ</t>
  </si>
  <si>
    <t>WOS:000425569400082</t>
  </si>
  <si>
    <t>Zhang, R; Yuen, AKL; Magnusson, M; Wright, JT; de Nys, R; Masters, AF; Maschmeyer, T</t>
  </si>
  <si>
    <t>Zhang, Rui; Yuen, Alexander K. L.; Magnusson, Marie; Wright, Jeffrey T.; de Nys, Rocky; Masters, Anthony F.; Maschmeyer, Thomas</t>
  </si>
  <si>
    <t>A comparative assessment of the activity and structure of phlorotannins from the brown seaweed Carpophyllum flexuosum</t>
  </si>
  <si>
    <t>ALGAL RESEARCH-BIOMASS BIOFUELS AND BIOPRODUCTS</t>
  </si>
  <si>
    <t>Brown seaweed; Phlorotannins; Antioxidant activity; Microwave assisted extraction; Ecklonia radiata; Carpophyllum plumosum</t>
  </si>
  <si>
    <t>ULTRASOUND-ASSISTED EXTRACTION; ECKLONIA-CAVA; ANTIOXIDANT PROPERTIES; ASCOPHYLLUM-NODOSUM; ALGAL PHLOROTANNINS; PRESSURIZED LIQUID; PHENOLIC-COMPOUNDS; FUCUS-VESICULOSUS; MOLECULAR-WEIGHT; EDIBLE SEAWEEDS</t>
  </si>
  <si>
    <t>The extraction and antioxidant activity of phlorotannins from the brown seaweeds Carpophyllum flexuosum, Carpophyllum plumosum and Ecklonia radiata was investigated to identify an optimised extraction process for novel anti-oxidant extracts. Subsequently, the composition of the most active phlorotannin extracts was determined. Microwave assisted extraction (MAE) using water was the most efficient extraction process with shorter processing times and a higher purity product than obtained with any of the other methods tested. MAE resulted in the fast, effective decomposition of the cellular structure, as identified through scanning electron microscopy (SEM), and this related directly to the efficiency of extraction. Phlorotannins extracted from C. flexuosum by MAE had the strongest antioxidant activity (62.1 mg gallic acid equivalents (GAE)/g dw of seaweed) and more than 5.5-fold greater 2, 2-diphenyl-1-picrylhydrazyl (DPPH) radical scavenging ability than ascorbic acid after 7-day incubation periods at 30 degrees C and at 60 degrees C. Six major chemical species of phlorotannin, belonging to the fuhalol group, were identified within the MAE extract using NMR and HPLC-MS. The results confirm phlorotannins from C. flexuosum to be promising natural, bio-derived and bio-compatible antioxidants, while identifying the most effective method to extract the constituents and retain antioxidant activity.</t>
  </si>
  <si>
    <t>[Zhang, Rui; Yuen, Alexander K. L.; Masters, Anthony F.; Maschmeyer, Thomas] Univ Sydney, Sch Chem F11, Lab Adv Catalysis Sustainabil, Sydney, NSW 2006, Australia; [Magnusson, Marie; de Nys, Rocky] James Cook Univ, Ctr Macroalgal Resources &amp; Biotechnol, MACRO, Townsville, Qld 4811, Australia; [Magnusson, Marie; de Nys, Rocky] James Cook Univ, Coll Sci &amp; Engn, Townsville, Qld 4811, Australia; [Wright, Jeffrey T.] Univ Tasmania, Inst Marine &amp; Antarctic Studies, Hobart, Tas 7001, Australia</t>
  </si>
  <si>
    <t>University of Sydney; James Cook University; James Cook University; University of Tasmania</t>
  </si>
  <si>
    <t>Maschmeyer, T (corresponding author), Univ Sydney, Sch Chem F11, Lab Adv Catalysis Sustainabil, Sydney, NSW 2006, Australia.</t>
  </si>
  <si>
    <t>thomas.maschmeyer@sydney.edu.au</t>
  </si>
  <si>
    <t>Yuen, Alexander K L/R-1119-2016; Wright, Jeffrey/J-7536-2014; de Nys, Rocky/D-6741-2012; Magnusson, Marie/D-8996-2012</t>
  </si>
  <si>
    <t>Yuen, Alexander/0000-0002-6908-8851; Wright, Jeffrey/0000-0002-1085-4582; de Nys, Rocky/0000-0003-3869-4928; Masters, Anthony/0000-0001-7857-8759; Magnusson, Marie/0000-0002-3141-8544</t>
  </si>
  <si>
    <t>University of Sydney; Australian Government through the Advanced Manufacturing Cooperative Research Centre (AM-CRC) through the Australian Government's Cooperative Research Centre Scheme [DP109602]; Science and Industry Endowment Fund [SIEF RP03-028]</t>
  </si>
  <si>
    <t>University of Sydney(University of Sydney); Australian Government through the Advanced Manufacturing Cooperative Research Centre (AM-CRC) through the Australian Government's Cooperative Research Centre Scheme; Science and Industry Endowment Fund</t>
  </si>
  <si>
    <t>The authors acknowledge the University of Sydney for providing a PhD scholarship for R. Zhang; the scientific and technical assistance, of the Australian Centre for Microscopy &amp; Microanalysis (ACMM) Research Facility at the University of Sydney. We thank Dr. Marco Noe for his assistance with HPLC-MS method development. Seaweed biomass was kindly provided by Dr. Richard B. Taylor. This research is part of the MBD Energy Research and Development program for the integrated production of macroalgae. The project is supported by the Australian Government through the Advanced Manufacturing Cooperative Research Centre (AM-CRC), funded through the Australian Government's Cooperative Research Centre Scheme (DP109602). This research was also funded by the Science and Industry Endowment Fund (SIEF RP03-028).</t>
  </si>
  <si>
    <t>2211-9264</t>
  </si>
  <si>
    <t>ALGAL RES</t>
  </si>
  <si>
    <t>Algal Res.</t>
  </si>
  <si>
    <t>10.1016/j.algal.2017.11.027</t>
  </si>
  <si>
    <t>FW8BR</t>
  </si>
  <si>
    <t>WOS:000425552500014</t>
  </si>
  <si>
    <t>Vignon, E; Hourdin, F; Genthon, C; van de Wiel, BJH; Gallée, H; Madeleine, JB; Beaumet, J</t>
  </si>
  <si>
    <t>Vignon, Etienne; Hourdin, Frederic; Genthon, Christophe; van de Wiel, Bas J. H.; Gallee, Hubert; Madeleine, Jean-Baptiste; Beaumet, Julien</t>
  </si>
  <si>
    <t>Modeling the Dynamics of the Atmospheric Boundary Layer Over the Antarctic Plateau With a General Circulation Model</t>
  </si>
  <si>
    <t>JOURNAL OF ADVANCES IN MODELING EARTH SYSTEMS</t>
  </si>
  <si>
    <t>ROSS ICE SHELF; NEAR-SURFACE ATMOSPHERE; DOME-C; BLOWING SNOW; RADIATIVE PROPERTIES; LONGWAVE RADIATION; KATABATIC WINDS; CLIMATE-CHANGE; MASS-BALANCE; WATER-VAPOR</t>
  </si>
  <si>
    <t>Observations evidence extremely stable boundary layers (SBL) over the Antarctic Plateau and sharp regime transitions between weakly and very stable conditions. Representing such features is a challenge for climate models. This study assesses the modeling of the dynamics of the boundary layer over the Antarctic Plateau in the LMDZ general circulation model. It uses 1 year simulations with a stretched-grid over Dome C. The model is nudged with reanalyses outside of the Dome C region such as simulations can be directly compared to in situ observations. We underline the critical role of the downward longwave radiation for modeling the surface temperature. LMDZ reasonably represents the near-surface seasonal profiles of wind and temperature but strong temperature inversions are degraded by enhanced turbulent mixing formulations. Unlike ERA-Interim reanalyses, LMDZ reproduces two SBL regimes and the regime transition, with a sudden increase in the near-surface inversion with decreasing wind speed. The sharpness of the transition depends on the stability function used for calculating the surface drag coefficient. Moreover, using a refined vertical grid leads to a better reversed S-shaped'' relationship between the inversion and the wind. Sudden warming events associated to synoptic advections of warm and moist air are also well reproduced. Near-surface supersaturation with respect to ice is not allowed in LMDZ but the impact on the SBL structure is moderate. Finally, climate simulations with the free model show that the recommended configuration leads to stronger inversions and winds over the ice-sheet. However, the near-surface wind remains underestimated over the slopes of East-Antarctica.</t>
  </si>
  <si>
    <t>[Vignon, Etienne; Genthon, Christophe; Gallee, Hubert; Beaumet, Julien] Univ Grenoble Alpes, CNRS, IRD, IGE, Grenoble, France; [Hourdin, Frederic] CNRS, Lab Meorol Dynam IPSL, UMR 8539, Paris, France; [van de Wiel, Bas J. H.] Delft Univ Technol, Fac Civil Engn &amp; Geosci, Geosci &amp; Remote Sensing, Delft, Netherlands; [Madeleine, Jean-Baptiste] UPMC Univ Paris 06, Sorbonne Univ, Lab Meorol Dynam IPSL, UMR 8539, Paris, France</t>
  </si>
  <si>
    <t>Communaute Universite Grenoble Alpes; Universite Grenoble Alpes (UGA); Institut de Recherche pour le Developpement (IRD); Centre National de la Recherche Scientifique (CNRS); Sorbonne Universite; Centre National de la Recherche Scientifique (CNRS); CNRS - National Institute for Earth Sciences &amp; Astronomy (INSU); Delft University of Technology; Centre National de la Recherche Scientifique (CNRS); CNRS - National Institute for Earth Sciences &amp; Astronomy (INSU); Sorbonne Universite</t>
  </si>
  <si>
    <t>Vignon, E (corresponding author), Univ Grenoble Alpes, CNRS, IRD, IGE, Grenoble, France.</t>
  </si>
  <si>
    <t>etienne.vignon@univ-grenoble-alpes.fr</t>
  </si>
  <si>
    <t>VIGNON, Etienne/0000-0003-3801-9367</t>
  </si>
  <si>
    <t>INSU (program LEFE GABLS4); INSU (program DEPHY); OSUG (GLACIOCLIM observatory); French (IPEV) polar agency through program CALVA'' [1013]; NSF [ANT-1543305]; INSU; IPEV; Meteo-France; CNES; GENCI-CCRT [gen2212, gencmip6]</t>
  </si>
  <si>
    <t>INSU (program LEFE GABLS4); INSU (program DEPHY); OSUG (GLACIOCLIM observatory); French (IPEV) polar agency through program CALVA''; NSF(National Science Foundation (NSF)); INSU(Centre National de la Recherche Scientifique (CNRS)); IPEV; Meteo-France; CNES(Centre National D'etudes Spatiales); GENCI-CCRT</t>
  </si>
  <si>
    <t>Frederique Cheruy, Quentin Libois, Peter Baas, and Steven van der Linden are gratefully acknowledged for insightful discussions. C. Reverchon is thanked for her help in the analysis of the sudden warming event. This research was supported by INSU (programs LEFE GABLS4 and DEPHY), OSUG (GLACIOCLIM observatory) with the logistical support by the French (IPEV) polar agency through program CALVA'' (1013). Meteorological data obtained in the framework of CALVA are made available on the website pp.ige-grenoble/pageparso/genthonc/SiteCALVA or on request to the authors. We acknowledge the WCRP-BSRN network, Christian Lanconelli and Angelo Lupi for the dissemination of radiation data. Radiosoundings data were provided by Paolo Grigioni in the framework of the IPEV/PNRA Project Routine Meteorological Observation at Station Concordia''-www.climantartide.it. The authors appreciate the support of the University of Wisconsin-Madison Automatic Weather Station Program for the data set, data display, and information, NSF grant ANT-1543305. We also thank P. Ricaud for providing the HAMSTRAD radiometer data. The HAMSTRAD programme has been funded by INSU, IPEV, Meteo-France, and CNES and C. Amory for providing and processing the D17 data. The modeling work was performed using HPC resources from GENCI-CCRT, projects gen2212 and gencmip6. Comments and suggestions by two anonymous reviewer contributed to significantly improving the manuscript.</t>
  </si>
  <si>
    <t>1942-2466</t>
  </si>
  <si>
    <t>J ADV MODEL EARTH SY</t>
  </si>
  <si>
    <t>J. Adv. Model. Earth Syst.</t>
  </si>
  <si>
    <t>10.1002/2017MS001184</t>
  </si>
  <si>
    <t>FW6DZ</t>
  </si>
  <si>
    <t>WOS:000425409700006</t>
  </si>
  <si>
    <t>Shore, RM; Freeman, MP; Gjerloev, JW</t>
  </si>
  <si>
    <t>Shore, R. M.; Freeman, M. P.; Gjerloev, J. W.</t>
  </si>
  <si>
    <t>An Empirical Orthogonal Function Reanalysis of the Northern Polar External and Induced Magnetic Field During Solar Cycle 23</t>
  </si>
  <si>
    <t>JOURNAL OF GEOPHYSICAL RESEARCH-SPACE PHYSICS</t>
  </si>
  <si>
    <t>LATITUDE IONOSPHERIC ELECTRODYNAMICS; ELECTRIC-FIELDS; CURRENTS; SATELLITE; MODEL; FLUCTUATIONS; CONVECTION; SUPERDARN; SUNLIGHT</t>
  </si>
  <si>
    <t>We apply the method of data-interpolating empirical orthogonal functions (EOFs) to ground-based magnetic vector data from the SuperMAG archive to produce a series of month length reanalyses of the surface external and induced magnetic field (SEIMF) in 110,000 km(2) equal-area bins over the entire northern polar region at 5 min cadence over solar cycle 23, from 1997.0 to 2009.0. Each EOF reanalysis also decomposes the measured SEIMF variation into a hierarchy of spatiotemporal patterns which are ordered by their contribution to the monthly magnetic field variance. We find that the leading EOF patterns can each be (subjectively) interpreted as well-known SEIMF systems or their equivalent current systems. The relationship of the equivalent currents to the true current flow is not investigated. We track the leading SEIMF or equivalent current systems of similar type by intermonthly spatial correlation and apply graph theory to (objectively) group their appearance and relative importance throughout a solar cycle, revealing seasonal and solar cycle variation. In this way, we identify the spatiotemporal patterns that maximally contribute to SEIMF variability over a solar cycle. We propose this combination of EOF and graph theory as a powerful method for objectively defining and investigating the structure and variability of the SEIMF or their equivalent ionospheric currents for use in both geomagnetism and space weather applications. It is demonstrated here on solar cycle 23 but is extendable to any epoch with sufficient data coverage. Plain Language Summary This study processes over a decade of ground-based magnetometer data at 5 min resolution to arrive at a new model for the magnetic field external to the Earth's surface. The purpose of the model is threefold: (1) Infill the gaps in the available data using meteorological methods. These produce infill solutions that depend on the data alone, rather than on modeling assumptions, thus improving the infill accuracy. (2) Decompose the infilled data into independent spatial and temporal patterns, each of which describe the maximum possible data variance of any possible pattern. We need these because the structure of the patterns-which is unknown prior to doing the analysis-provides insight into the geomagnetic perturbations at ground level. For instance, we resolve spatiotemporal patterns that we interpret as well-known ionospheric equivalent electrical current systems, thus we can describe the variation of these systems in time. (3) We wanted to approach the classification of the spatiotemporal patterns in a systematic manner, so we applied a cluster analysis to 12 years of monthly models. This provides a clear overview of geomagnetic variations spanning an 11 year solar cycle.</t>
  </si>
  <si>
    <t>[Shore, R. M.; Freeman, M. P.] British Antarctic Survey, Cambridge, England; [Gjerloev, J. W.] Johns Hopkins Univ, Appl Phys Lab, Laurel, MD USA; [Gjerloev, J. W.] Univ Bergen, Dept Phys &amp; Technol, Birkeland Ctr Excellence, Bergen, Norway</t>
  </si>
  <si>
    <t>UK Research &amp; Innovation (UKRI); Natural Environment Research Council (NERC); NERC British Antarctic Survey; Johns Hopkins University; Johns Hopkins University Applied Physics Laboratory; University of Bergen</t>
  </si>
  <si>
    <t>Shore, RM (corresponding author), British Antarctic Survey, Cambridge, England.</t>
  </si>
  <si>
    <t>robore@bas.ac.uk</t>
  </si>
  <si>
    <t>Gjerloev, Jesper/C-2116-2016; Freeman, Mervyn/E-5687-2019</t>
  </si>
  <si>
    <t>Freeman, Mervyn/0000-0002-8653-8279; Shore, Robert/0000-0002-8386-1425</t>
  </si>
  <si>
    <t>Natural Environment Research Council [NE/J020796/1]; British Antarctic Survey (BAS); Natural Environment Research Council [NE/J020796/1, NE/N01099X/1] Funding Source: researchfish; NERC [NE/N01099X/1, NE/J020796/1, bas0100031] Funding Source: UKRI</t>
  </si>
  <si>
    <t>Natural Environment Research Council(UK Research &amp; Innovation (UKRI)Natural Environment Research Council (NERC)); British Antarctic Survey (BAS); Natural Environment Research Council(UK Research &amp; Innovation (UKRI)Natural Environment Research Council (NERC)); NERC(UK Research &amp; Innovation (UKRI)Natural Environment Research Council (NERC))</t>
  </si>
  <si>
    <t>This work was funded by the Natural Environment Research Council under grant NE/J020796/1. The work was performed using hardware and support at the British Antarctic Survey (BAS). The SuperMAG data were obtained directly from Jesper Gjerloev, but can be accessed at http://supermag.jhuapl.edu/. The ACE data (IMF Bz and By) were obtained from ftp://spdf.gsfc.nasa.gov/pub/data/omni/high_res_omni/monthly_1min/ on 6 March 2014. F10.7 data were obtained from ftp://ftp.ngdc.noaa.gov/STP/GEOMAGNETIC_DATA/INDICES/KP_AP/ on 19 December 2012. The EOF reanalysis and group vertex data are provided in the supporting information. In addition, we provide the binned data used in this study at https://doi.org/10.5285/4013dcb3-5151-44ae-9bae-885943139600. We would like to thank Claudia Stolle, Nick Watkins, Sandra Chapman, Jonathan Rae, Colin Forsyth, Mike Lockwood, and an anonymous reviewer for discussions which improved the paper. Matlab code to rotate to quasi dipole coordinates was provided by Nils Olsen. For the ground magnetometer data we gratefully acknowledge INTERMAGNET (we thank the national institutes that support its contributing magnetic observatories, and INTERMAGNET for promoting high standards of magnetic observatory practice (www.intermagnet.org)); USGS, Jeffrey J. Love; CARISMA,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that maintain the IMAGE magnetometer array, Eija Tanskanen; PENGUIN; AUTUMN, Martin Connors; DTU Space, Juergen Matzka; South Pole and McMurdo Magnetometer, Louis J. Lanzarotti and Alan T. Weatherwax; ICESTAR; RAPIDMAG; PENGUIn; British Artarctic Survey; McMac, Peter Chi; BGS, Susan Macmillan; Pushkov Institute of Terrestrial Magnetism, Ionosphere and Radio Wave Propagation (IZMIRAN); GFZ, Juergen Matzka; MFGI, B. Heilig; IGFPAS, J. Reda; University of L'Aquila, M. Vellante; and SuperMAG, Jesper W. Gjerloev.</t>
  </si>
  <si>
    <t>2169-9380</t>
  </si>
  <si>
    <t>2169-9402</t>
  </si>
  <si>
    <t>J GEOPHYS RES-SPACE</t>
  </si>
  <si>
    <t>J. Geophys. Res-Space Phys.</t>
  </si>
  <si>
    <t>10.1002/2017JA024420</t>
  </si>
  <si>
    <t>FW9ED</t>
  </si>
  <si>
    <t>Green Accepted, Green Submitted, hybrid</t>
  </si>
  <si>
    <t>WOS:000425637600055</t>
  </si>
  <si>
    <t>Noguchi, S; Kobayashi, C</t>
  </si>
  <si>
    <t>Noguchi, Shunsuke; Kobayashi, Chiaki</t>
  </si>
  <si>
    <t>On the reproducibility of the September 2002 vortex splitting event in the Antarctic stratosphere achieved without satellite observations</t>
  </si>
  <si>
    <t>QUARTERLY JOURNAL OF THE ROYAL METEOROLOGICAL SOCIETY</t>
  </si>
  <si>
    <t>stratospheric sudden warming; polar vortex splitting; reanalysis; satellite observation; conventional observation; data assimilation</t>
  </si>
  <si>
    <t>NUMERICAL WEATHER PREDICTION; SOUTHERN-HEMISPHERE; POLAR VORTEX; ROSSBY WAVES; REANALYSIS; WINTER; PREDICTABILITY; WARMINGS; IMPACTS; TEMPERATURE</t>
  </si>
  <si>
    <t>To highlight the impact of satellite measurements, a comparison between the Japanese 55-year reanalysis (JRA-55) and its equivalent without the assimilation of satellite observations (JRA-55C; C stands for conventional' observations) was conducted. As an illustrative example of the detectability problem of extreme events, we report on the reproducibility of a stratospheric sudden warming (SSW) event that occurred in late September 2002; this event represents the first observed unique vortex splitting event in the Antarctic stratosphere. Through the data assimilation system of JRA-55, the initial tendency of this warming event and the following recovery process were well captured even when no satellite observations were used. However, the warming in JRA-55C does not satisfy the criteria for a major SSW event besides the lack of splitting behaviour in the polar vortex. A prominent difference between JRA-55 and JRA-55C during the SSW event, which was characterized by the sudden appearance of a nearly barotropic structure from the upper stratosphere to the troposphere, was found over the Western Hemisphere reflecting the geographic distribution of observational sites. Moreover, several differences in the precursory state of the polar vortex and the observational anchoring effect are consistent with the proposal that this SSW was caused by the catastrophic breakdown of a highly deformed polar vortex as suggested by some recent works.</t>
  </si>
  <si>
    <t>[Noguchi, Shunsuke; Kobayashi, Chiaki] Meteorol Res Inst, Tsukuba, Ibaraki, Japan</t>
  </si>
  <si>
    <t>Meteorological Research Institute - Japan</t>
  </si>
  <si>
    <t>Noguchi, S (corresponding author), 1-1 Nagamine, Tsukuba, Ibaraki 3050052, Japan.</t>
  </si>
  <si>
    <t>noguchi@mri-jma.go.jp</t>
  </si>
  <si>
    <t>Noguchi, Shunsuke/0000-0002-1810-3425</t>
  </si>
  <si>
    <t>Japan Society for the Promotion of Science [16J09665]; Grants-in-Aid for Scientific Research [16J09665]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</si>
  <si>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</si>
  <si>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would like to thank Y. Kuroda and H. Mukougawa for their constant encouragement. Thanks are also extended to members in the 5th Laboratory of the Climate Research Department at the Meteorological Research Institute (H. Kamahori, Y. Harada, and H. Endo) for helpful conversations and to two anonymous reviewers for their thoughtful comments. This work was partly supported by Grants-in-Aid for JSPS Fellows (16J09665) from the Japan Society for the Promotion of Science. The GFD-DENNOU Library was used for graphics.</t>
  </si>
  <si>
    <t>0035-9009</t>
  </si>
  <si>
    <t>1477-870X</t>
  </si>
  <si>
    <t>Q J ROY METEOR SOC</t>
  </si>
  <si>
    <t>Q. J. R. Meteorol. Soc.</t>
  </si>
  <si>
    <t>A</t>
  </si>
  <si>
    <t>10.1002/qj.3193</t>
  </si>
  <si>
    <t>FW9HB</t>
  </si>
  <si>
    <t>WOS:000425645200014</t>
  </si>
  <si>
    <t>Matéo-Vélez, JC; Sicard, A; Payan, D; Ganushkina, N; Meredith, NP; Sillanpäa, I</t>
  </si>
  <si>
    <t>Mateo-Velez, J. -C.; Sicard, A.; Payan, D.; Ganushkina, N.; Meredith, N. P.; Sillanpaa, I.</t>
  </si>
  <si>
    <t>Spacecraft surface charging induced by severe environments at geosynchronous orbit</t>
  </si>
  <si>
    <t>SPACE WEATHER-THE INTERNATIONAL JOURNAL OF RESEARCH AND APPLICATIONS</t>
  </si>
  <si>
    <t>spacecraft charging; worst-case environment; geosynchronous orbit; LANL sensors; plasma</t>
  </si>
  <si>
    <t>MAGNETOSPHERIC PLASMA; SOLAR-ARRAY; ANOMALIES; SIMULATION; PARTICLES; SATELLITE</t>
  </si>
  <si>
    <t>Severe and extreme surface charging on geosynchronous spacecraft is examined through the analysis of 16 years of data from particles detectors on-board the Los Alamos National Laboratory spacecraft. Analysis shows that high spacecraft frame potentials are correlated with 10 to 50 keV electron fluxes, especially when these fluxes exceed 1 x 10(8) cm(-2) s(-1) sr(-1). Four criteria have been used to select severe environments: 1) large flux of electrons with energies above 10 keV, 2) large fluxes of electrons with energies below 50 keV and above 200 keV, 3) large flux of electrons with energies below 50 keV and low flux with energies above 200 keV, and 4) long periods of time with a spacecraft potential below - 5 kV. They occur preferentially during either geomagnetic storms or intense isolated substorms, during the declining phase of the solar cycle, during equinox seasons and close to midnight local time. The set of anomalies reported in Choi et al. (2011) is concomitant with a new database constructed from these events. The worst-case environments exceed the spacecraft design guidelines by up to a factor of 10 for energies below 10 keV. They are fitted with triple Maxwellian distributions in order to facilitate their use by spacecraft designers as alternative conditions for the assessment of worst-case surface charging.</t>
  </si>
  <si>
    <t>[Mateo-Velez, J. -C.; Sicard, A.] Off Natl Etud &amp; Rech Aerosp, Toulouse, France; [Payan, D.] Ctr Natl Etud Spatiales, Toulouse, France; [Ganushkina, N.; Sillanpaa, I.] Finnish Meteorol Inst, Helsinki, Finland; [Ganushkina, N.] Univ Michigan, Ann Arbor, MI 48109 USA; [Meredith, N. P.] British Antarctic Survey, Cambridge, England</t>
  </si>
  <si>
    <t>National Office for Aerospace Studies &amp; Research (ONERA); Finnish Meteorological Institute; University of Michigan System; University of Michigan; UK Research &amp; Innovation (UKRI); Natural Environment Research Council (NERC); NERC British Antarctic Survey</t>
  </si>
  <si>
    <t>Matéo-Vélez, JC (corresponding author), Off Natl Etud &amp; Rech Aerosp, Toulouse, France.</t>
  </si>
  <si>
    <t>jean-charles.mateo_velez@onera.fr</t>
  </si>
  <si>
    <t>Meredith, Nigel P/C-5806-2018; Ganushkina, Natalia/K-6314-2013</t>
  </si>
  <si>
    <t>Sicard, Angelica/0000-0001-7810-1432; Horne, Richard/0000-0002-0412-6407; Ganushkina, Natalia/0000-0002-9259-850X; Meredith, Nigel/0000-0001-5032-3463</t>
  </si>
  <si>
    <t>CNES RD program; European Union Seventh Framework Programme [606716]; Natural Environment Research Council [NE/P10738X/1]; NERC [NE/P01738X/1, NE/R016445/1, bas0100031] Funding Source: UKRI; Natural Environment Research Council [NE/P01738X/1, NE/R016445/1, bas0100031] Funding Source: researchfish</t>
  </si>
  <si>
    <t>CNES RD program; European Union Seventh Framework Programme(European Union (EU));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</si>
  <si>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David Rodgers, Keith Ryden, Henry Garrett and Richard Horne for their useful discussions. We also thank the reviewers for their helpful comments and suggestions. We acknowledge R. Friedel, G. Reeves, M. Thomsen and M. Henderson from the Los Alamos National Laboratory for the provision of the LANL data used in this study. The LANL data up until 2007 are publicly available on demand from Mike Henderson. The POES data used in this study are available from: https://www.ngdc.noaa.gov/stp/satellite/poes/dataaccess.html. The Kp index is available from https://omniweb.gsfc.nasa.gov/html/ow_data.html. The solar wind and IMF parameters and the AE and Dst indices were obtained from the OMNIWeb service of the Space Physics Data Facility at the Goddard Space Flight Center (http://omniweb.gsfc.nasa.gov/). This research has been funded by 2015-2017 CNES R&amp;D program. Part of the research leading to these results has received funding from the European Union Seventh Framework Programme (FP7/2007-2013) under grant agreement 606716 (SPACESTORM) and the Natural Environment Research Council Highlight Topic grant NE/P10738X/1 (Rad-Sat).</t>
  </si>
  <si>
    <t>1542-7390</t>
  </si>
  <si>
    <t>SPACE WEATHER</t>
  </si>
  <si>
    <t>Space Weather</t>
  </si>
  <si>
    <t>10.1002/2017SW001689</t>
  </si>
  <si>
    <t>Astronomy &amp; Astrophysics; Geochemistry &amp; Geophysics; Meteorology &amp; Atmospheric Sciences</t>
  </si>
  <si>
    <t>FW6VF</t>
  </si>
  <si>
    <t>WOS:000425456500008</t>
  </si>
  <si>
    <t>Palmer, JG; Turney, CSM; Fogwill, C; Fenwick, P; Thomas, Z; Lipson, M; Jones, RT; Beaven, B; Richardson, SJ; Wilmshurst, JM</t>
  </si>
  <si>
    <t>Palmer, J. G.; Turney, C. S. M.; Fogwill, C.; Fenwick, P.; Thomas, Z.; Lipson, M.; Jones, R. T.; Beaven, B.; Richardson, S. J.; Wilmshurst, J. M.</t>
  </si>
  <si>
    <t>Growth response of an invasive alien species to climate variations on subantarctic Campbell Island</t>
  </si>
  <si>
    <t>Campbell Island; exotic forestry trees; invasive alien species; Picea sitchensis; Sitka spruce; subantarctic islands; tree-ring</t>
  </si>
  <si>
    <t>BIOLOGICAL INVASION; SOUTHERN; INDICATORS; VEGETATION; DENSITY; TREES</t>
  </si>
  <si>
    <t>Invasive alien species (IAS) are a recognised threat to biodiversity and ecosystem services. With increasing tourism and projected 21st century climate changes across the mid- to high-latitudes of the southern hemisphere, subantarctic islands are potentially highly vulnerable to IAS, but suffer from a dearth of baseline monitoring. Here we report tree-ring measurements from a lone exotic Sitka spruce (Picea sitchensis (Bong.) Carr) on subantarctic Campbell Island to determine past growth rates and likely future response to climate changes. Though the samples were unable to resolve exactly when the tree was planted, the fast growth rate indicates it is likely to have been later than the reported date of 1901. Since at least 1941, the tree appears to have responded favourably to the relatively warm summers experienced on Campbell Island, resulting in growth more rapid than that observed in natural stands (North American Pacific Coast). Although trees of similar age arc normally mature and produce cones, none have so far been observed on Campbell Island - possibly the result of the fast growth causing an extended 'juvenile' or pre-reproductive phase - preventing seeding across the island. Importantly, relatively dry periods are needed for cones to open and disperse seeds, conditions not recorded in the instrumental record. Examination of the Coupled Model Intercomparison Project 5 (CMIP5) outputs show increasing rainfall across the region during the 21st century under a range of emission scenarios, suggesting that even when mature, the Sitka spruce poses a limited threat to the long-term ecology of Campbell Island.</t>
  </si>
  <si>
    <t>[Palmer, J. G.; Turney, C. S. M.; Thomas, Z.] Univ New South Wales, Sch Biol Earth &amp; Environm Sci, Palaeontol Geobiol &amp; Earth Arch Res Ctr, Sydney, NSW 2052, Australia; [Palmer, J. G.; Turney, C. S. M.; Thomas, Z.; Lipson, M.] Univ New South Wales, Sch Biol Earth &amp; Environm Sci, Climate Change Res Ctr, Sydney, NSW 2052, Australia; [Fogwill, C.] Keele Univ, Sch Geog Geol &amp; Environm, William Smith Bldg, Keele ST5 5BG, Staffs, England; [Fenwick, P.] Gondwana Tree Ring Lab, POB 14, Canterbury 7546, New Zealand; [Jones, R. T.] Exeter Univ, Dept Geog, Exeter EX4 4RJ, Devon, England; [Beaven, B.] Conservat House,POB 10420, Wellington 6143, New Zealand; [Richardson, S. J.; Wilmshurst, J. M.] Landcare Res, POB 69040, Lincoln 7640, England; [Wilmshurst, J. M.] Univ Auckland, Sch Environm, Private Bag 92019, Auckland 1142, New Zealand</t>
  </si>
  <si>
    <t>University of New South Wales Sydney; University of New South Wales Sydney; Keele University; University of Exeter; University of Auckland</t>
  </si>
  <si>
    <t>Palmer, JG (corresponding author), Univ New South Wales, Sch Biol Earth &amp; Environm Sci, Palaeontol Geobiol &amp; Earth Arch Res Ctr, Sydney, NSW 2052, Australia.;Palmer, JG (corresponding author), Univ New South Wales, Sch Biol Earth &amp; Environm Sci, Climate Change Res Ctr, Sydney, NSW 2052, Australia.</t>
  </si>
  <si>
    <t>j.palmer@unsw.edu.au</t>
  </si>
  <si>
    <t>Fogwill, Christopher/HPF-1150-2023; Turney, Chris S M/P-8701-2018; Richardson, Sarah J/D-3353-2015; Fogwill, Chris/AAW-3502-2021; Palmer, Jonathan/J-7834-2012; Lipson, Mathew/AAP-6977-2021; Wilmshurst, Janet/O-8611-2019; Thomas, Zoe/D-1656-2016</t>
  </si>
  <si>
    <t>Fogwill, Chris/0000-0002-6471-1106; Palmer, Jonathan/0000-0002-6665-4483; Wilmshurst, Janet/0000-0002-4474-8569; Lipson, Mathew/0000-0001-5322-1796; Thomas, Zoe/0000-0002-2323-4366</t>
  </si>
  <si>
    <t>Australasian Antarctic Expedition; Australian Research Council [FL100100195, FT120100004, DP130104156]; University of New South Wales; SSIF funding for Crown Research Institutes from the New Zealand Ministry of Business, Innovation and Employment's Science and Innovation Group; Australian Research Council [FT120100004] Funding Source: Australian Research Council</t>
  </si>
  <si>
    <t>Australasian Antarctic Expedition; Australian Research Council(Australian Research Council); University of New South Wales; SSIF funding for Crown Research Institutes from the New Zealand Ministry of Business, Innovation and Employment's Science and Innovation Group(New Zealand Ministry of Business, Innovation and Employment (MBIE)); Australian Research Council(Australian Research Council)</t>
  </si>
  <si>
    <t>Our thanks to the captain and crew of the MV Akademik Shokalskiy, and Henk Haazen and Kali Kahn on the Tiama for help in the field. This work was supported by the Australasian Antarctic Expedition 2013-2014, the Australian Research Council (FL100100195, FT120100004, and DP130104156) and the University of New South Wales. SJR and JMW were supported by SSIF funding for Crown Research Institutes from the New Zealand Ministry of Business, Innovation and Employment's Science and Innovation Group. Research on the New Zealand subantarctic Campbell Island was undertaken under Department of Conservation National Authorisation Numbers 37687-FAU and 39761-RES. We greatly appreciated historical information provided by Norm Judd. We thank Colin Meurk, an anonymous reviewer and the editor for their comments and help with improving this article.</t>
  </si>
  <si>
    <t>10.20417/nzjecol.42.2</t>
  </si>
  <si>
    <t>FW4JA</t>
  </si>
  <si>
    <t>WOS:000425277900005</t>
  </si>
  <si>
    <t>Chilvers, BL</t>
  </si>
  <si>
    <t>Chilvers, B. Louise</t>
  </si>
  <si>
    <t>Preliminary assessment of the foraging behaviour and population dynamics of a cryptic population of the endangered New Zealand sea lion</t>
  </si>
  <si>
    <t>diving; foraging strategies; New Zealand; New Zealand sea lion; Phocarctos hookeri</t>
  </si>
  <si>
    <t>LIFE-HISTORY TRAITS; ANTARCTIC FUR SEALS; PHOCARCTOS-HOOKERI; DIVING BEHAVIOR; ENERGETICS; CONSEQUENCES; LOCATIONS; PENGUINS; FIDELITY; ECOLOGY</t>
  </si>
  <si>
    <t>The endangered New Zealand sea lion (Phocarctos hookeri) has recently been confirmed as breeding on Stewart Island/Rakiura, southern New Zealand. This area is thought to have the largest number of sea lion pups born outside of the New Zealand subantarctics. However, the sparse distribution and cryptic behaviour of this population means known human threats and their effects on the population will be difficult to determine, limiting conservation priority setting and management. This research aimed to investigate the foraging behaviour of adult females from the population and examine what information is available to help determine current population parameters including undertaking pup surveys in the area. Foraging behaviour research was undertaken in the Austral autumn 2012 and 2013, while pup production surveys were undertaken in March each year between 2011 and 2016. Pup production surveys show up to 36 pups are born in the Stewart Island area annually. The foraging behaviour of 14 adult female New Zealand sea lions was characterised by short foraging trips (c. 12 hrs), close to shore or in areas of known upwellings, undertaking short, shallow dives (average 2.5 mins, 60 m). This diving behaviour is intermediate between the foraging behaviours of females from Enderby Island (Auckland Islands), the largest but severely declining population of New Zealand sea lions, and Otago (mainland New Zealand), a smaller, increasing recolonising population. Based on the foraging behaviour and limited population dynamic information collected from the Stewart Island population, it is likely the Stewart Island population has survival and reproductive parameters more like the recolonising Otago population than the declining Auckland Islands population. Such information is critical for determining the impacts of the known direct and indirect human impacts on this small isolated population, which is likely to be important for the survival of the endangered New Zealand sea lion species as a whole.</t>
  </si>
  <si>
    <t>[Chilvers, B. Louise] Dept Conservat, Marine Species &amp; Threats Team, POB 10420, Wellington 6143, New Zealand; [Chilvers, B. Louise] Massey Univ, IVABS, Wildbase, Private Bag 11222, Palmerston North 4400, New Zealand</t>
  </si>
  <si>
    <t>Massey University</t>
  </si>
  <si>
    <t>Chilvers, BL (corresponding author), Dept Conservat, Marine Species &amp; Threats Team, POB 10420, Wellington 6143, New Zealand.;Chilvers, BL (corresponding author), Massey Univ, IVABS, Wildbase, Private Bag 11222, Palmerston North 4400, New Zealand.</t>
  </si>
  <si>
    <t>b.l.chilvers@massey.ac.nz</t>
  </si>
  <si>
    <t>Chilvers, B. Louise/AAV-1965-2021</t>
  </si>
  <si>
    <t>Chilvers, B. Louise/0000-0002-7657-4217</t>
  </si>
  <si>
    <t>DOC's Marine Ecosystems Team under the Ecological Integrity Programme; Auckland Zoo Conservation Fund</t>
  </si>
  <si>
    <t>This work was conducted under a research permit from the New Zealand Department of Conservation (DOC), and was co-funded by DOC's Marine Ecosystems Team under the Ecological Integrity Programme. I thank DOC Southern Islands for their logistical assistance, and P. Young and D. Harding, the skippers of Southern Winds, for all their work and baking. I sincerely thank Auckland Zoo Conservation Fund for co-funding this work, and thank J. Amey, P. Dobbins, J. Milicich, K. McInnes, B. Lenting, J. Hiscock, R. Cole, L. Meynier and D. Johnston for assistance with captures in the field. Sincere thanks to D. Freeman as co-EI team leader. Approval for this work was obtained from DOC Animal Ethics Committee-Approval AEC232 (1 October 2011). D. Freeman, A. Todd, S. Geange and two anonymous reviewers all provided helpful, critical reviews of the manuscript.</t>
  </si>
  <si>
    <t>10.20417/nzjecol.42.7</t>
  </si>
  <si>
    <t>WOS:000425277900007</t>
  </si>
  <si>
    <t>Purkey, SG; Smethie, WM; Gebbie, G; Gordon, AL; Sonnerup, RE; Warner, MJ; Bullister, JL</t>
  </si>
  <si>
    <t>Carlson, CA; Giovannoni, SJ</t>
  </si>
  <si>
    <t>Purkey, Sarah G.; Smethie, William M., Jr.; Gebbie, Geoffrey; Gordon, Arnold L.; Sonnerup, Rolf E.; Warner, Mark J.; Bullister, John L.</t>
  </si>
  <si>
    <t>A Synoptic View of the Ventilation and Circulation of Antarctic Bottom Water from Chlorofluorocarbons and Natural Tracers</t>
  </si>
  <si>
    <t>ANNUAL REVIEW OF MARINE SCIENCE, VOL 10</t>
  </si>
  <si>
    <t>Annual Review of Marine Science</t>
  </si>
  <si>
    <t>Antarctic Bottom Water; chlorofluorocarbons; deep-ocean ventilation; abyssal warming; bottom limb of the meridional overturning circulation; changes in ocean circulation</t>
  </si>
  <si>
    <t>WESTERN BOUNDARY CURRENT; NORTH-ATLANTIC; WEDDELL SEA; DEEP-WATER; SOUTH ATLANTIC; OCEAN; TRANSPORT; HEAT; ICE; CHLOROFLUOROMETHANES</t>
  </si>
  <si>
    <t>Antarctic Bottom Water (AABW) is the coldest, densest, most prolific water mass in the global ocean. AABW forms at several distinct regions along the Antarctic coast and feeds into the bottom limb of the meridional overturning circulation, filling most of the global deep ocean. AABW has warmed, freshened, and declined in volume around the globe in recent decades, which has implications for the global heat and sea level rise budgets. Over the past three decades, the use of tracers, especially time-varying tracers such as chlorofluorocarbons, has been essential to our understanding of the formation, circulation, and variability of AABW. Here, we review three decades of temperature, salinity, and tracer data and analysis that have led to our current knowledge of AABW and how the southern component of deep-ocean ventilation is changing with time.</t>
  </si>
  <si>
    <t>[Purkey, Sarah G.] Univ Calif San Diego, Scripps Inst Oceanog, La Jolla, CA 92093 USA; [Smethie, William M., Jr.; Gordon, Arnold L.] Columbia Univ, Lamont Doherty Earth Observ, Palisades, NY 10964 USA; [Gebbie, Geoffrey] Woods Hole Oceanog Inst, Dept Phys Oceanog, Woods Hole, MA 02543 USA; [Sonnerup, Rolf E.] Univ Washington, Joint Inst Study Atmosphere &amp; Ocean, Seattle, WA 98195 USA; [Sonnerup, Rolf E.; Bullister, John L.] NOAA, Pacific Marine &amp; Environm Lab, Seattle, WA 98115 USA; [Warner, Mark J.] Univ Washington, Sch Oceanog, Seattle, WA 98195 USA</t>
  </si>
  <si>
    <t>University of California System; University of California San Diego; Scripps Institution of Oceanography; Columbia University; Woods Hole Oceanographic Institution; University of Washington; University of Washington Seattle; National Oceanic Atmospheric Admin (NOAA) - USA; University of Washington; University of Washington Seattle</t>
  </si>
  <si>
    <t>Purkey, SG (corresponding author), Univ Calif San Diego, Scripps Inst Oceanog, La Jolla, CA 92093 USA.</t>
  </si>
  <si>
    <t>spurkey@ucsd.edu; bsmeth@ldeo.columbia.edu; ggebbie@whoi.edu; agordon@ldeo.columbia.edu; rolf@uw.edu; warner@u.washington.edu; john.l.bullister@noaa.gov</t>
  </si>
  <si>
    <t>Gordon, Arnold/H-1049-2011; Purkey, Sarah G/K-1983-2012</t>
  </si>
  <si>
    <t>Warner, Mark J/0000-0001-7678-441X; Purkey, Sarah/0000-0002-1893-6224</t>
  </si>
  <si>
    <t>Division Of Ocean Sciences; Directorate For Geosciences [1536115, 1433922, 1357121, 1437015] Funding Source: National Science Foundation</t>
  </si>
  <si>
    <t>Division Of Ocean Sciences; Directorate For Geosciences(National Science Foundation (NSF)NSF - Directorate for Geosciences (GEO))</t>
  </si>
  <si>
    <t>1941-1405</t>
  </si>
  <si>
    <t>ANNU REV MAR SCI</t>
  </si>
  <si>
    <t>Annu. Rev. Mar. Sci.</t>
  </si>
  <si>
    <t>10.1146/annurev-marine-121916-063414</t>
  </si>
  <si>
    <t>Geochemistry &amp; Geophysics; Marine &amp; Freshwater Biology; Oceanography</t>
  </si>
  <si>
    <t>BJ4CP</t>
  </si>
  <si>
    <t>WOS:000424829800020</t>
  </si>
  <si>
    <t>Lavergne, A; Daux, V; Pierre, M; Stievenard, M; Srur, AM; Villalba, R</t>
  </si>
  <si>
    <t>Lavergne, Alienor; Daux, Valerie; Pierre, Monique; Stievenard, Michel; Marina Srur, Ana; Villalba, Ricardo</t>
  </si>
  <si>
    <t>Past Summer Temperatures Inferred From Dendrochronological Records of Fitzroya cupressoides on the Eastern Slope of the Northern Patagonian Andes</t>
  </si>
  <si>
    <t>JOURNAL OF GEOPHYSICAL RESEARCH-BIOGEOSCIENCES</t>
  </si>
  <si>
    <t>southern South America; summer temperature reconstruction; basal area increment; carbon isotopes; Fitzroya cupressoides</t>
  </si>
  <si>
    <t>WATER-USE EFFICIENCY; CARBON-ISOTOPE DISCRIMINATION; TREE GROWTH-PATTERNS; CLIMATE-CHANGE; STABLE-ISOTOPES; FORESTS; CO2; RESPONSES; RECONSTRUCTION; DROUGHT</t>
  </si>
  <si>
    <t>Estimating summer temperature fluctuations over long timescales in southern South America is essential for better understanding the past climate variations in the Southern Hemisphere. Here we developed robust 212year long basal area increment (BAI) and C-13 chronologies from living temperature-sensitive Fitzroya cupressoides on the eastern slope of the northern Patagonian Andes (41 degrees S). After removing the increasing trend from the growth records likely due to the CO2 fertilization effect, we tested the potential to reconstruct past summer temperature variations using BAI and C-13 as predictors. The reconstruction based on C-13 records has the strongest predictive skills and explains as much as 62% of the total variance in instrumental summer temperature (n=81, p&lt;0.001). The temperature signal recorded in tree-ring growth is not substantially different to that present in C-13 and consequently does not provide additional information to improve the regression models. Our C-13-based reconstruction shows cold summer temperatures in the second part of the 19th century and in the mid-20th century followed by a warmer period. Notably, the 20th and the early 21st centuries were warmer (+0.6 degrees C) than the 19th century. Reconstructed summer temperature variations are modulated by low-latitude (El Nino-Southern Oscillation) and high-latitude (Southern Annular Mode) climate forcings. Our reconstruction based on C-13 agrees well with previous ring width based temperature reconstructions in the region and comparatively enhances the low-frequency variations in the records. The present study provides the first reconstruction of summer temperature in South America south of 40 degrees S for the period 1800-2011 entirely based on isotopic records. Plain Language Summary The Southern Hemisphere, and particularly southern South America, are very under-represented in global climate reconstructions due to a lack of robust paleoclimatic data. Here, we reconstruct summer temperature variations on the eastern slope of the Andes in north Patagonia over the last two centuries using tree rings of one of the longest-living species from South America, Fitzroya cupressoides. This reconstruction highlights that the 20th and 21st centuries were warmer (+ 0.6 degrees C) than the 19th century. Our work thus contributes to improve the assessment of the intensity of current climate changes in remote regions from the Southern Hemisphere.</t>
  </si>
  <si>
    <t>[Lavergne, Alienor; Daux, Valerie; Pierre, Monique; Stievenard, Michel] CEA CNRS UVSQ, Lab Sci Climat &amp; Environm, Gif Sur Yvette, France; [Lavergne, Alienor] Imperial Coll London, Dept Life Sci, Ascot, Berks, England; [Marina Srur, Ana; Villalba, Ricardo] IANIGLA CONICET, Inst Argentino Nivol Glaciol &amp; Ciencias Ambiental, Mendoza, Argentina</t>
  </si>
  <si>
    <t>CEA; Centre National de la Recherche Scientifique (CNRS); Universite Paris Saclay; Imperial College London; Consejo Nacional de Investigaciones Cientificas y Tecnicas (CONICET); University Nacional Cuyo Mendoza</t>
  </si>
  <si>
    <t>Lavergne, A (corresponding author), CEA CNRS UVSQ, Lab Sci Climat &amp; Environm, Gif Sur Yvette, France.;Lavergne, A (corresponding author), Imperial Coll London, Dept Life Sci, Ascot, Berks, England.</t>
  </si>
  <si>
    <t>a.lavergne@imperial.ac.uk</t>
  </si>
  <si>
    <t>Daux, Valérie/H-5639-2011; Lavergne, Alienor/ABD-5774-2020</t>
  </si>
  <si>
    <t>Daux, Valérie/0000-0002-8643-260X; Lavergne, Alienor/0000-0002-4591-1217; Srur, Ana M./0000-0001-8533-5296; Villalba, Ricardo/0000-0001-8183-0310</t>
  </si>
  <si>
    <t>LEFE-PATISO project from CNRS-INSU; CONICET Argentina; Australian Research Council [ARC DP120104320]; University of Versailles St Quentin (UVSQ, France)</t>
  </si>
  <si>
    <t>LEFE-PATISO project from CNRS-INSU; CONICET Argentina(Consejo Nacional de Investigaciones Cientificas y Tecnicas (CONICET)); Australian Research Council(Australian Research Council); University of Versailles St Quentin (UVSQ, France)</t>
  </si>
  <si>
    <t>This research was partially supported by LEFE-PATISO project from CNRS-INSU (2012-2014), CONICET Argentina, and the Australian Research Council (ARC DP120104320). A. L. has been supported by a Research associate/Lecturer position at the University of Versailles St Quentin (UVSQ, France). We acknowledge all data providers: the Argentinian National Meteorological Service, the NCAR Climate Analysis project (http://www.cgd.ucar.edu/cas/catalog/climind/TNI_N34/index.html), the British Antarctic Survey (http://www.nerc-bas.ac.uk/icd/gjma/sam.html), and the NASA/GEWEX Surface Radiation Budget (https://gewex-srb.larc.nasa.gov/). All tree ring data set will be available in the International Tree-Ring Data Bank (ITRDB) of the NOAA National Climate Date Center (https://www1.ncdc.noaa.gov/pub/data/paleo/treering/isotope/southamerica/argentina/). We thank the two anonymous reviewers that have considerably helped improve this manuscript. Finally, we would like to dedicate this work to the independence of the research and the engagement of scientists with policy makers, which are highly valuable in our changing world.</t>
  </si>
  <si>
    <t>2169-8953</t>
  </si>
  <si>
    <t>2169-8961</t>
  </si>
  <si>
    <t>J GEOPHYS RES-BIOGEO</t>
  </si>
  <si>
    <t>J. Geophys. Res.-Biogeosci.</t>
  </si>
  <si>
    <t>10.1002/2017JG003989</t>
  </si>
  <si>
    <t>Environmental Sciences; Geosciences, Multidisciplinary</t>
  </si>
  <si>
    <t>FW7QB</t>
  </si>
  <si>
    <t>WOS:000425517800003</t>
  </si>
  <si>
    <t>Wlostowski, AN; Gooseff, MN; Adams, BJ</t>
  </si>
  <si>
    <t>Wlostowski, A. N.; Gooseff, M. N.; Adams, B. J.</t>
  </si>
  <si>
    <t>Soil Moisture Controls the Thermal Habitat of Active Layer Soils in the McMurdo Dry Valleys, Antarctica</t>
  </si>
  <si>
    <t>soil moisture; climate change; ecosystems; nematode; freeze; thaw</t>
  </si>
  <si>
    <t>FREEZE-THAW CYCLES; TAYLOR VALLEY; POLAR DESERT; PERMAFROST; DIVERSITY; SURVIVAL; WATER; TEMPERATURES; COMMUNITIES; NEMATODES</t>
  </si>
  <si>
    <t>Antarctic soil ecosystems are strongly controlled by abiotic habitat variables. Regional climate change in the McMurdo Dry Valleys is expected to cause warming over the next century, leading to an increase in frequency of freeze-thaw cycling in the soil habitat. Previous studies show that physiological stress associated with freeze-thaw cycling adversely affects invertebrate populations by decreasing abundance and positively selecting for larger body sizes. However, it remains unclear whether or not climate warming will indeed enhance the frequency of annual freeze-thaw cycling and associated physiological stresses. This research quantifies the frequency, rate, and spatial heterogeneity of active layer freezing to better understand how regional climate change may affect active layer soil thermodynamics, and, in turn, affect soil macroinvertebrate communities. Shallow active layer temperature, specific conductance, and soil moisture were observed along natural wetness gradients. Field observations show that the frequency and rate of freeze events are nonlinearly related to freezable soil moisture ((f)). Over a 2year period, soils at (f)&lt;0.080m(3)/m(3) experienced between 15 and 35 freeze events and froze rapidly compared to soils with (f)&gt;0.080m(3)/m(3), which experienced between 2 and 6 freeze events and froze more gradually. A numerical soil thermodynamic model is able to simulate observed freezing rates across a range of (f), reinforcing a well-known causal relationship between soil moisture and active layer freezing dynamics. Findings show that slight increases in soil moisture can potentially offset the effect of climate warming on exacerbating soil freeze-thaw cycling.</t>
  </si>
  <si>
    <t>[Wlostowski, A. N.; Gooseff, M. N.] Univ Colorado, Inst Arctic &amp; Alpine Res, Boulder, CO 80309 USA; [Wlostowski, A. N.; Gooseff, M. N.] Univ Colorado, Dept Civil Environm &amp; Architectural Engn, Boulder, CO 80309 USA; [Adams, B. J.] Brigham Young Univ, Dept Biol, Evolutionary Ecol Labs, Provo, UT 84602 USA; [Adams, B. J.] Brigham Young Univ, Monte L Bean Museum, Provo, UT 84602 USA</t>
  </si>
  <si>
    <t>University of Colorado System; University of Colorado Boulder; University of Colorado System; University of Colorado Boulder; Brigham Young University; Brigham Young University</t>
  </si>
  <si>
    <t>Wlostowski, AN (corresponding author), Univ Colorado, Inst Arctic &amp; Alpine Res, Boulder, CO 80309 USA.;Wlostowski, AN (corresponding author), Univ Colorado, Dept Civil Environm &amp; Architectural Engn, Boulder, CO 80309 USA.</t>
  </si>
  <si>
    <t>adam.wlostowski@colorado.edu</t>
  </si>
  <si>
    <t>Gooseff, Michael N/N-6087-2015; Adams, Byron/C-3808-2009</t>
  </si>
  <si>
    <t>Gooseff, Michael N/0000-0003-4322-8315; Wlostowski, Adam/0000-0001-5703-9916; Adams, Byron/0000-0002-7815-3352</t>
  </si>
  <si>
    <t>US National Science Foundation [1115245]; Polar Geospatial Center under NSF OPP [1043681, 1559691]</t>
  </si>
  <si>
    <t>US National Science Foundation(National Science Foundation (NSF)); Polar Geospatial Center under NSF OPP</t>
  </si>
  <si>
    <t>This work was funded by a US National Science Foundation grant to the McMurdo Long Term Ecological Research project (grant 1115245). Geospatial support for this work provided by the Polar Geospatial Center under NSF OPP awards 1043681 and 1559691. Any opinions, findings, conclusions, or recommendations expressed in the material are those of the authors and do not necessarily reflect the views of the National Science Foundation. The authors also wish to thank Robert Anderson, Diane McKnight, Ben Livneh, and Roseanna Neupauer for their advice and recommendations throughout the development of this work. Meteorological, soil temperature, and soil moisture data supporting this manuscript may be accessed on the McMurdo Dry Long Term Ecological Research Web site (https://www.mcmlter.org/)..</t>
  </si>
  <si>
    <t>10.1002/2017JG004018</t>
  </si>
  <si>
    <t>WOS:000425517800004</t>
  </si>
  <si>
    <t>Mindel, BL; Neat, FC; Webb, TJ; Blanchard, JL</t>
  </si>
  <si>
    <t>Mindel, Beth L.; Neat, Francis C.; Webb, Thomas J.; Blanchard, Julia L.</t>
  </si>
  <si>
    <t>Size-based indicators show depth-dependent change over time in the deep sea</t>
  </si>
  <si>
    <t>ICES JOURNAL OF MARINE SCIENCE</t>
  </si>
  <si>
    <t>body size; demersal fish; deep-sea fishing; size structure</t>
  </si>
  <si>
    <t>FISH COMMUNITY INDICATORS; BODY-SIZE; DEMERSAL FISH; NORTHEAST ATLANTIC; BATHYMETRIC TRENDS; CONTINENTAL-SLOPE; LIFE-HISTORIES; TEMPERATURE; MANAGEMENT; POPULATION</t>
  </si>
  <si>
    <t>Size-based indicators are well established as a management tool in shelf seas as they respond to changes in fishing pressure and describe important aspects of community function. In the deep sea, however, vital rates are much slower and body size relationships vary with depth, making it less clear how size-based indicators can be applied and whether they are appropriate for detecting changes through time. The deep-sea fish stocks of the North Atlantic underwent a period of exploitation followed by management and conservation action that relieved this pressure. We used data from a deep-water bottom trawl survey in the Rockall Trough, at depths of 300-2000 m, to test whether size-based indicators changed over a 16-year period, during which fishing pressure decreased. We applied four indicators to these data: mean body length, mean maximum length, large fish indicator (LFI), and the slope of the biomass spectrum. Patterns were analysed within four different depth bands. The LFI and slope of the biomass spectrum showed positive change over time, suggesting recovery from fishing pressure. This response was generally most apparent in the shallowest depth band, where most fishing activity has been distributed. Values of the LFI were much higher overall than in shelf seas, so the same reference points cannot be applied to all marine ecosystems. These findings imply that size-based indicators can be usefully applied to the deep sea and that they potentially track changes in fishing pressure in the medium term.</t>
  </si>
  <si>
    <t>[Mindel, Beth L.; Webb, Thomas J.] Univ Sheffield, Dept Anim &amp; Plant Sci, Alfred Denny Bldg,Western Bank, Sheffield S10 2TN, S Yorkshire, England; [Neat, Francis C.] Marine Scotland, Marine Lab, 375 Victoria Rd,POB 101, Aberdeen AB11 9DB, Scotland; [Blanchard, Julia L.] Univ Tasmania, Inst Marine &amp; Antarctic Studies, IMAS Waterfront Bldg, Hobart, Tas 7004, Australia</t>
  </si>
  <si>
    <t>University of Sheffield; Marine Scotland Science (MSS); University of Tasmania</t>
  </si>
  <si>
    <t>Mindel, BL (corresponding author), Univ Sheffield, Dept Anim &amp; Plant Sci, Alfred Denny Bldg,Western Bank, Sheffield S10 2TN, S Yorkshire, England.</t>
  </si>
  <si>
    <t>b.l.mindel@gmail.com</t>
  </si>
  <si>
    <t>Blanchard, Julia L/E-4919-2010; Webb, Tom/D-5224-2011</t>
  </si>
  <si>
    <t>Mindel, Beth/0000-0002-8383-0565; Webb, Tom/0000-0003-3183-8116; Blanchard, Julia/0000-0003-0532-4824; Neat, Francis/0000-0003-0077-9088</t>
  </si>
  <si>
    <t>NERC; Marine Scotland</t>
  </si>
  <si>
    <t>NERC(UK Research &amp; Innovation (UKRI)Natural Environment Research Council (NERC)); Marine Scotland</t>
  </si>
  <si>
    <t>With thanks to Marine Scotland for providing the data; all participants in the deep-water survey over the years; NERC and Marine Scotland for funding; S. Gary and C. Johnson for help interpreting Extended Ellett Line data on temperature and salinity in the Rockall Trough; S. Jennings and G. Thomas for valuable input on an earlier draft of the article.</t>
  </si>
  <si>
    <t>OXFORD UNIV PRESS</t>
  </si>
  <si>
    <t>GREAT CLARENDON ST, OXFORD OX2 6DP, ENGLAND</t>
  </si>
  <si>
    <t>1054-3139</t>
  </si>
  <si>
    <t>1095-9289</t>
  </si>
  <si>
    <t>ICES J MAR SCI</t>
  </si>
  <si>
    <t>ICES J. Mar. Sci.</t>
  </si>
  <si>
    <t>10.1093/icesjms/fsx110</t>
  </si>
  <si>
    <t>FU8CR</t>
  </si>
  <si>
    <t>WOS:000424080500011</t>
  </si>
  <si>
    <t>Freer, JJ; Partridge, JC; Tarling, GA; Collins, MA; Genner, MJ</t>
  </si>
  <si>
    <t>Freer, Jennifer J.; Partridge, Julian C.; Tarling, Geraint A.; Collins, Martin A.; Genner, Martin J.</t>
  </si>
  <si>
    <t>Predicting ecological responses in a changing ocean: the effects of future climate uncertainty</t>
  </si>
  <si>
    <t>SPECIES DISTRIBUTION; MESOPELAGIC FISH; 21ST-CENTURY PROJECTIONS; DISTRIBUTION MODELS; MARINE RESOURCES; CHANGE IMPACTS; RANGE SHIFTS; GLOBAL OCEAN; DISTRIBUTIONS; FISHERIES</t>
  </si>
  <si>
    <t>Predicting how species will respond to climate change is a growing field in marine ecology, yet knowledge of how to incorporate the uncertainty from future climate data into these predictions remains a significant challenge. To help overcome it, this review separates climate uncertainty into its three components (scenario uncertainty, model uncertainty, and internal model variability) and identifies four criteria that constitute a thorough interpretation of an ecological response to climate change in relation to these parts (awareness, access, incorporation, communication). Through a literature review, the extent to which the marine ecology community has addressed these criteria in their predictions was assessed. Despite a high awareness of climate uncertainty, articles favoured the most severe emission scenario, and only a subset of climate models were used as input into ecological analyses. In the case of sea surface temperature, these models can have projections unrepresentative against a larger ensemble mean. Moreover, 91% of studies failed to incorporate the internal variability of a climate model into results. We explored the influence that the choice of emission scenario, climate model, and model realisation can have when predicting the future distribution of the pelagic fish, Electrona antarctica. Future distributions were highly influenced by the choice of climate model, and in some cases, internal variability was important in determining the direction and severity of the distribution change. Increased clarity and availability of processed climate data would facilitate more comprehensive explorations of climate uncertainty, and increase in the quality and standard of marine prediction studies.</t>
  </si>
  <si>
    <t>[Freer, Jennifer J.; Genner, Martin J.] Univ Bristol, Sch Biol Sci, Life Sci Bldg,24 Tyndall Ave, Bristol BS8 1TQ, Avon, England; [Partridge, Julian C.] Univ Western Australia, Sch Biol Sci, 35 Stirling Highway, Crawley, WA 6009, Australia; [Partridge, Julian C.] Univ Western Australia, Oceans Inst, 35 Stirling Highway, Crawley, WA 6009, Australia; [Tarling, Geraint A.] British Antarctic Survey, Madingley Rd, Cambridge CB3 0ET, England; [Collins, Martin A.] Ctr Environm Fisheries &amp; Aquaculture Sci, Lowestoft NR33 0HT, Suffolk, England</t>
  </si>
  <si>
    <t>University of Bristol; University of Western Australia; University of Western Australia; UK Research &amp; Innovation (UKRI); Natural Environment Research Council (NERC); NERC British Antarctic Survey; Centre for Environment Fisheries &amp; Aquaculture Science</t>
  </si>
  <si>
    <t>Freer, JJ (corresponding author), Univ Bristol, Sch Biol Sci, Life Sci Bldg,24 Tyndall Ave, Bristol BS8 1TQ, Avon, England.</t>
  </si>
  <si>
    <t>jennifer.freer@bristol.ac.uk</t>
  </si>
  <si>
    <t>Collins, Martin A/J-8560-2017; , Martin/ABE-6728-2020; Partridge, Julian/F-2097-2014</t>
  </si>
  <si>
    <t>, Martin/0000-0001-7132-8650; Partridge, Julian/0000-0003-3788-2900; Freer, Jennifer/0000-0002-3947-9261</t>
  </si>
  <si>
    <t>Natural Environmental Research Council (NERC) Great Western Four Plus (GW4+) Doctoral Training Partnership [NE/L002434/1]; Gorgon Barrow Island Net Conservation Benefits Fund; World University Network Research Mobility Programme Grant; NERC [bas0100035] Funding Source: UKRI; Natural Environment Research Council [1509347, bas0100035] Funding Source: researchfish</t>
  </si>
  <si>
    <t>Natural Environmental Research Council (NERC) Great Western Four Plus (GW4+) Doctoral Training Partnership; Gorgon Barrow Island Net Conservation Benefits Fund; World University Network Research Mobility Programme Grant; NERC(UK Research &amp; Innovation (UKRI)Natural Environment Research Council (NERC)); Natural Environment Research Council(UK Research &amp; Innovation (UKRI)Natural Environment Research Council (NERC))</t>
  </si>
  <si>
    <t>We thank several referees and the associate editor for their valuable feedback on previous versions of this manuscript. We also thank Dr. Patrick Hyder from the Climate, Cryosphere and Oceans section at the UK Met office and Dr. Rupert A. Collins from the University of Bristol for helpful instructions concerning the processing of raw ESM files. We acknowledge the World Climate Research Programme's Working Group on Coupled Modelling, which is responsible for CMIP, and we thank the climate modeling groups (listed in Table 1 of this paper) for producing and making available their model output. This work was funded by the Natural Environmental Research Council (NERC) Great Western Four Plus (GW4+) Doctoral Training Partnership (JJF; NE/L002434/1), Gorgon Barrow Island Net Conservation Benefits Fund (JCP), and World University Network Research Mobility Programme Grant (JCP/JJF).</t>
  </si>
  <si>
    <t>10.1007/s00227-017-3239-1</t>
  </si>
  <si>
    <t>Green Published, hybrid, Green Accepted</t>
  </si>
  <si>
    <t>WOS:000424325900001</t>
  </si>
  <si>
    <t>Oyarzún, R; Muñoz, JLP; Pontigo, JP; Morera, FJ; Vargas-Chacoff, L</t>
  </si>
  <si>
    <t>Oyarzun, Ricardo; Munoz, Jose Luis P.; Pablo Pontigo, Juan; Morera, Francisco J.; Vargas-Chacoff, Luis</t>
  </si>
  <si>
    <t>Effects of acclimation to high environmental temperatures on intermediary metabolism and osmoregulation in the sub-Antarctic notothenioid Eleginops maclovinus</t>
  </si>
  <si>
    <t>GLOBAL CLIMATE-CHANGE; SMELT OSMERUS-MORDAX; K+-ATPASE ACTIVITY; THERMAL TOLERANCE; GLUCOSE-METABOLISM; FREEZE RESISTANCE; POTENTIAL IMPACTS; AMMONIA EXCRETION; SPARUS-AURATA; NA+/K+-ATPASE</t>
  </si>
  <si>
    <t>Eleginops maclovinus is a sub-Antarctic fish endemic to the South American coast and is a monotypic species of the Eleginopidae family. A scarce amount of scientific information exists regarding the effects of temperature on E. maclovinus physiology. In this study, E. maclovinus specimens were acclimated for 2 weeks at 10 degrees C (control), 14, and 18 degrees C. Posterior assessments were performed for the intermediary metabolism of carbohydrates, lipids, and amino acids (in the plasma, liver, gills, and kidney) and on the osmoregulatory capacity [plasma osmolality and gill, kidney, and foregut -Na+, -K+-ATPase (NKA) activities]. In the plasma, only lactate and total amino acid levels were affected by the temperature. NKA activity presented a linear relationship with the increased temperatures. The liver exhibited no change in the carbohydrates metabolism, but the glycogen/glucose metabolite levels did differ. Amino acid metabolism showed a direct relationship between temperature and GDH and Asp-AT activities, and an inverse relationship between temperature and Ala-AT activity. Lipid metabolism was similar to Ala-AT. In the gills, carbohydrate metabolism (G6PDH and HK activities) presented a direct relationship with the increased temperatures. In the kidney, carbohydrate metabolism (only G6PDH activity) was greater at higher temperatures, and amino acid metabolism (GDH activity) showed a direct relationship with temperature. Lipid metabolism (G3PDH activity) was greatest at 14 degrees C, presenting significant differences compared to 10 degrees C. The obtained results suggest that E. maclovinus can acclimate to the projected thermal increase of climate change, with a reorganization of the intermediary metabolism components being tissue-dependent and osmoregulatory effects being affected by NKA activity and greater rates of nitrogenous waste extrusion.</t>
  </si>
  <si>
    <t>[Oyarzun, Ricardo; Pablo Pontigo, Juan; Vargas-Chacoff, Luis] Univ Austral Chile, Inst Ciencias Marinas &amp; Limnol, Valdivia, Chile; [Oyarzun, Ricardo] Univ Austral Chile, Escuela Grad, Programa Doctorado Ciencias Acuicultura, Av Los Pinos S-N Balneario Pelluco, Puerto Montt, Chile; [Oyarzun, Ricardo; Vargas-Chacoff, Luis] Univ Austral Chile, Ctr Fondap Invest Altas Latitudes IDEAL, Casilla 567, Valdivia, Chile; [Munoz, Jose Luis P.] Univ los Lagos, Ctr I Mar, Puerto Montt, Chile; [Morera, Francisco J.] Univ Austral Chile, Fac Ciencias Vet, Inst Farmacol &amp; Morfofisiol, Valdivia, Chile</t>
  </si>
  <si>
    <t>Universidad Austral de Chile; Universidad Austral de Chile; Universidad Austral de Chile; Universidad de Los Lagos; Universidad Austral de Chile</t>
  </si>
  <si>
    <t>Oyarzún, R; Vargas-Chacoff, L (corresponding author), Univ Austral Chile, Inst Ciencias Marinas &amp; Limnol, Valdivia, Chile.;Oyarzún, R (corresponding author), Univ Austral Chile, Escuela Grad, Programa Doctorado Ciencias Acuicultura, Av Los Pinos S-N Balneario Pelluco, Puerto Montt, Chile.;Oyarzún, R; Vargas-Chacoff, L (corresponding author), Univ Austral Chile, Ctr Fondap Invest Altas Latitudes IDEAL, Casilla 567, Valdivia, Chile.</t>
  </si>
  <si>
    <t>r.oyarzun.salazar@gmail.com; luis.vargas@uach.cl</t>
  </si>
  <si>
    <t>Vargas-Chacoff, Luis LVCh/A-5855-2012; Perez, Jose Luis JLP munoz Muñoz/D-7774-2013; Oyarzún-Salazar, Ricardo/HGU-6035-2022; Pontigo, Juan Pablo/AAS-2367-2021</t>
  </si>
  <si>
    <t>Pontigo, Juan Pablo/0000-0003-0084-0862; Munoz Perez, Jose Luis/0000-0002-4645-0176; Vargas-Chacoff, Luis/0000-0002-0497-2582; Oyarzun-Salazar, Ricardo/0000-0003-3177-399X</t>
  </si>
  <si>
    <t>Fondap-Ideal Grant [15150003]; Fondecyt [1160877]; Office of Research (Direccion de Investigacion) of the Universidad Austral de Chile</t>
  </si>
  <si>
    <t>Fondap-Ideal Grant; Fondecyt(Comision Nacional de Investigacion Cientifica y Tecnologica (CONICYT)CONICYT FONDECYT); Office of Research (Direccion de Investigacion) of the Universidad Austral de Chile</t>
  </si>
  <si>
    <t>This study was funded by Fondap-Ideal Grant No. 15150003, Fondecyt Regular No. 1160877 and the Office of Research (Direccion de Investigacion) of the Universidad Austral de Chile.</t>
  </si>
  <si>
    <t>10.1007/s00227-017-3277-8</t>
  </si>
  <si>
    <t>WOS:000424325900018</t>
  </si>
  <si>
    <t>Leguina, ACD; Nieto, C; Pajot, HM; Bertini, EV; Mac Cormack, W; De Figueroa, LIC; Nieto-Peñalver, CG</t>
  </si>
  <si>
    <t>Leguina, Ana Carolina del V.; Nieto, Carolina; Pajot, Hipolito M.; Bertini, Elisa V.; Mac Cormack, Walter; Castellanos De Figueroa, Lucia I.; Nieto-Penalver, Carlos G.</t>
  </si>
  <si>
    <t>Inactivation of bacterial quorum sensing signals N-acyl homoserine lactones is widespread in yeasts</t>
  </si>
  <si>
    <t>FUNGAL BIOLOGY</t>
  </si>
  <si>
    <t>Antarctica; Endophytic; Quorum quenching; Quorum sensing; Soil; Sugarcane</t>
  </si>
  <si>
    <t>CHROMOBACTERIUM-VIOLACEUM; CANDIDA-ALBICANS; AHL-PRODUCTION; DEGRADATION; MOLECULES; DIVERSITY; MECHANISM; GROWTH</t>
  </si>
  <si>
    <t>The inactivation of quorum sensing signals, a phenomenon known as quorum quenching, has been described in diverse microorganisms, though it remains almost unexplored in yeasts. Beyond the well-known properties of these microorganisms for the industry or as eukaryotic models, the role of yeasts in soil or in the inner tissues of a plant is largely unknown. In this report, the wider survey of quorum quenching activities in yeasts isolated from Antarctic soil and the inner tissues of sugarcane, a tropical crop, is presented. Results show that, independently of their niche, quorum quenching activities are broadly present in unicellular fungi. Although yeasts showing a broad range of quorum quenching activity are present in the two niches, at the same time specific AHL inactivation profiles can also be found. Furthermore, yeasts from both sampling sites show quorum quenching activities compatible with lactonase-like and acylase-like inactivations of AHLs. Interestingly, the characterization of Rhodotorula mucilaginosa 7Apo1 showed that the presence of a particular AHL does not interfere with the quenching of a second molecule. Evidence suggests that yeasts could play a role in the modulation of the quorum sensing activity of bacteria. The relationship among phylogeny, sampling sites and yeast quorum quenching activities of the isolates is analyzed. (C) 2017 British Mycological Society. Published by Elsevier Ltd. All rights reserved.</t>
  </si>
  <si>
    <t>[Leguina, Ana Carolina del V.; Pajot, Hipolito M.; Bertini, Elisa V.; Castellanos De Figueroa, Lucia I.] Consejo Nacl Invest Cient &amp; Tecn, Planta Piloto Proc Ind Microbiol, PROIMI, Av Belgrano &amp; Pje Caseros, San Miguel De Tucuman, Argentina; [Nieto, Carolina] Consejo Nacl Invest Cient &amp; Tecn, Fac Ciencias Nat, Inst Biodiversidad Neotrop, San Miguel De Tucuman, Argentina; [Nieto, Carolina] Consejo Nacl Invest Cient &amp; Tecn, IML, Inst Biodiversidad Neotrop, San Miguel De Tucuman, Argentina; [Mac Cormack, Walter] Inst Antartico Argentino, Buenos Aires, DF, Argentina; [Castellanos De Figueroa, Lucia I.; Nieto-Penalver, Carlos G.] Univ Nacl Tucuman, Fac Bioquim Quim &amp; Farm, Inst Microbiol, San Miguel De Tucuman, Argentina</t>
  </si>
  <si>
    <t>Consejo Nacional de Investigaciones Cientificas y Tecnicas (CONICET); Consejo Nacional de Investigaciones Cientificas y Tecnicas (CONICET); Consejo Nacional de Investigaciones Cientificas y Tecnicas (CONICET); Instituto Antartico Argentino; Universidad Nacional de Tucuman</t>
  </si>
  <si>
    <t>Nieto-Peñalver, CG (corresponding author), PROIMI, Planta Piloto Proc Ind Microbiol, Av Belgrano &amp; Pje Caseros,T4001MVB, San Miguel De Tucuman, Argentina.</t>
  </si>
  <si>
    <t>cgnieto@proimi.org.ar</t>
  </si>
  <si>
    <t>Nieto-Peñalver, Carlos/I-8351-2018; Nieto, Carolina/AAX-6877-2020</t>
  </si>
  <si>
    <t>Nieto-Peñalver, Carlos/0000-0002-4060-5886; Nieto, Carolina/0000-0003-1909-1750; Leguina, Ana Carolina del Valle/0000-0002-9433-4890; Pajot, Hipolito/0000-0002-6259-8330; Mac Cormack, Walter/0000-0002-5280-5463</t>
  </si>
  <si>
    <t>Consejo Nacional de Investigaciones Cientificas y Tecnicas (CONICET) [PIP 946]; Agencia Nacional de Promotion Cientifica y Tecnologica (FONCYT); Secretaria de Ciencia, Arte e Innovacion Tecnologica de la Universidad Nacional de Tucuman (SCAIT)</t>
  </si>
  <si>
    <t>Consejo Nacional de Investigaciones Cientificas y Tecnicas (CONICET)(Consejo Nacional de Investigaciones Cientificas y Tecnicas (CONICET)); Agencia Nacional de Promotion Cientifica y Tecnologica (FONCYT); Secretaria de Ciencia, Arte e Innovacion Tecnologica de la Universidad Nacional de Tucuman (SCAIT)</t>
  </si>
  <si>
    <t>This work was supported by the Consejo Nacional de Investigaciones Cientificas y Tecnicas (CONICET, PIP 946), Agencia Nacional de Promotion Cientifica y Tecnologica (FONCYT), and Secretaria de Ciencia, Arte e Innovacion Tecnologica de la Universidad Nacional de Tucuman (SCAIT). We thank Direccion Nacional del Antartico - Instituto Antartico Argentino (DNA - IAA) for providing access to sampling sites at 25 de Mayo/King George Island, and Dr. Laura Tortora (EEAOC, Tucuman, Argentina) for providing sugarcane plants.</t>
  </si>
  <si>
    <t>ELSEVIER SCI LTD</t>
  </si>
  <si>
    <t>THE BOULEVARD, LANGFORD LANE, KIDLINGTON, OXFORD OX5 1GB, OXON, ENGLAND</t>
  </si>
  <si>
    <t>1878-6146</t>
  </si>
  <si>
    <t>1878-6162</t>
  </si>
  <si>
    <t>FUNGAL BIOL-UK</t>
  </si>
  <si>
    <t>Fungal Biol.</t>
  </si>
  <si>
    <t>10.1016/j.funbio.2017.10.006</t>
  </si>
  <si>
    <t>FU9JW</t>
  </si>
  <si>
    <t>WOS:000424173200004</t>
  </si>
  <si>
    <t>Bramich, JM; Bolch, CJS; Fischer, AM</t>
  </si>
  <si>
    <t>Bramich, James M.; Bolch, Christopher J. S.; Fischer, Andrew M.</t>
  </si>
  <si>
    <t>Evaluation of atmospheric correction and high-resolution processing on SeaDAS-derived chlorophyll-a: an example from mid-latitude mesotrophic waters</t>
  </si>
  <si>
    <t>COASTAL WATERS; OCEAN COLOR; REMOTE ESTIMATION; FLUORESCENCE COMPONENT; SEMIANALYTICAL MODEL; REFLECTANCE SPECTRA; INLAND WATERS; MERIS; ALGORITHMS; VALIDATION</t>
  </si>
  <si>
    <t>Over the last 15years, great effort has gone into the development of chlorophyll-a (chl-a) retrieval algorithms for case 2 waters, where variations in the water leaving radiance signal are not well correlated with concentrations of chl-a. In this study, we investigate the effectiveness of Moderate Resolution Imaging Spectroradiometer (MODIS)-derived chl-a retrieval algorithms in the less productive coastal waters around Tasmania, Australia. Algorithms were evaluated using matches between satellite imagery and in-situ water samples (number of samples, n=16-65) derived from a 604 sample data set collected over a 9-year period. Three aerosol correction models and three chl-a retrieval algorithms were evaluated using both standard and high-resolution processing procedures using the National Aeronatics and Space Adminstration's SeaDAS software package. chl-a retrievals were evaluated in Bass Strait, where in-situ chl-a was less than 1mgm(-3) and retrievals were less affected by coloured dissolved organic matter. chlor_a, the default SeaDAS chl-a product, with the Management unit of the North Sea Mathematical models aerosol correction algorithm performed best (root mean square error (RMSE)=0.09mgm(-3); mean absolute percentage error (MAPE)=34%; coefficient of determination, R-2=0.75). The fluorescence line height algorithm using Rayleigh corrected top of atmosphere reflectances (RMSE=0.11mgm(-3), MAPE=41%, R-2=0.61) may provide an alternative in waters where full atmospheric correction is problematic and the two-band red/near-infrared algorithm failed to provide a meaningful estimate of chl-a. High-resolution processing of MODIS imagery improved spatial resolution but reduced chl-a retrieval accuracy, reducing the agreement between measured and predicted levels by between 12% and 25% depending on the retrieval algorithm. The SeaDAS default chlor_a product proved superior to the alternatives in mid-latitude mesotrophic coastal waters with low chl-a concentrations. In addition, there appears little benefit in using MODIS high-resolution processing mode for chl-a retrievals.</t>
  </si>
  <si>
    <t>[Bramich, James M.; Bolch, Christopher J. S.; Fischer, Andrew M.] Univ Tasmania, Inst Marine &amp; Antarctic Studies, Private Bag 1370, Launceston, Tas 7250, Australia</t>
  </si>
  <si>
    <t>Bramich, JM (corresponding author), Univ Tasmania, Inst Marine &amp; Antarctic Studies, Private Bag 1370, Launceston, Tas 7250, Australia.</t>
  </si>
  <si>
    <t>j.m.bramich@utas.edu.au</t>
  </si>
  <si>
    <t>Bolch, Christopher J/J-7619-2014; Bramich, James/B-5931-2014</t>
  </si>
  <si>
    <t>Fischer, Andrew/0000-0001-5284-6428; Bramich, James/0000-0002-8539-7750</t>
  </si>
  <si>
    <t>10.1080/01431161.2017.1420930</t>
  </si>
  <si>
    <t>FV0HP</t>
  </si>
  <si>
    <t>WOS:000424236900004</t>
  </si>
  <si>
    <t>Liu, QQ; Ji, Q; Pang, XP; Gao, X; Zhao, X; Lei, RB</t>
  </si>
  <si>
    <t>Liu, Qingquan; Ji, Qing; Pang, Xiaoping; Gao, Xin; Zhao, Xi; Lei, Ruibo</t>
  </si>
  <si>
    <t>Inter-Calibration of Passive Microwave Satellite Brightness Temperatures Observed by F13 SSM/I and F17 SSMIS for the Retrieval of Snow Depth on Arctic First-Year Sea Ice</t>
  </si>
  <si>
    <t>snow depth; SSM; I; SSMIS; Operation IceBridge; Arctic</t>
  </si>
  <si>
    <t>THICKNESS; PRODUCTS</t>
  </si>
  <si>
    <t>Passive microwave satellite brightness temperatures (TB) that were observed by the F13 Special Sensor Microwave/Imager (SSM/I) and the subsequent F17 Special Sensor Microwave Imager/Sounder (SSMIS) were inter-calibrated using empirical relationship models during their overlap period. Snow depth (SD) on the Arctic first-year sea ice was further retrieved. The SDs derived from F17 TB and F13C TB which were calibrated F17 TB using F13 TB as the baseline were then compared and evaluated against in situ SD measurements based on the Operational IceBridge (OIB) airborne observations from 2009 to 2013. Results show that Cavalieri inter-calibration models (CA models) perform smaller root mean square error (RMSE) than Dai inter-calibration models (DA models), and the standard deviation of OIB SDs in the 25 km pixels is around 6 cm on first-year sea ice. Moreover, the SDs derived from the calibrated F17 TB using F13 TB as the baseline were in better agreement than the F17 SDs as compared with OIB SDs, with the biases of -2 cm (RMSE of 5 cm) and -9 cm (RMSE of 10 cm), respectively. We conclude that TB observations from F17 SSMIS calibrated to F13 SSM/I as the baseline should be recommended when performing the sensors' biases correction for SD purpose based on the existing algorithm. These findings could serve as a reference for generating more consistent and reliable TB, which could help to improve the retrieval and analysis of long-term snow depth on the Arctic first-year sea ice.</t>
  </si>
  <si>
    <t>[Liu, Qingquan; Ji, Qing; Pang, Xiaoping; Zhao, Xi] Wuhan Univ, Chinese Antarctic Ctr Surveying &amp; Mapping, Wuhan 430079, Hubei, Peoples R China; [Ji, Qing; Pang, Xiaoping; Zhao, Xi] Natl Adm Surveying Mapping &amp; Geoinformat, Key Lab Polar Surveying &amp; Mapping, Wuhan 430079, Hubei, Peoples R China; [Gao, Xin] Wuhan Univ, Sch Resource &amp; Environm Sci, Wuhan 430079, Hubei, Peoples R China; [Lei, Ruibo] State Ocean Adm, Polar Res Inst China, Key Lab Polar Sci, Shanghai 200136, Peoples R China</t>
  </si>
  <si>
    <t>Wuhan University; Wuhan University; Polar Research Institute of China</t>
  </si>
  <si>
    <t>Ji, Q (corresponding author), Wuhan Univ, Chinese Antarctic Ctr Surveying &amp; Mapping, Wuhan 430079, Hubei, Peoples R China.;Ji, Q (corresponding author), Natl Adm Surveying Mapping &amp; Geoinformat, Key Lab Polar Surveying &amp; Mapping, Wuhan 430079, Hubei, Peoples R China.</t>
  </si>
  <si>
    <t>lqqgis@whu.edu.cn; jiqing@whu.edu.cn; pxp@whu.edu.cn; serigo@whu.edu.cn; xi.zhao@whu.edu.cn; leiruibo@pric.org.cn</t>
  </si>
  <si>
    <t>zhao, xi/HJY-6017-2023</t>
  </si>
  <si>
    <t>Ji, Qing/0000-0003-1386-5604; Zhao, Xi/0000-0003-2274-891X</t>
  </si>
  <si>
    <t>National Key Research and Development Program of China [2016YFC1402704, 2017YFA0603104]; National Natural Science Foundation of China [41576188, 41606215]; fund of Key Laboratory of Polar Science, SOA [PS1502]; Chinese Postdoctoral Science Foundation Funded Project [2016M602342]; Fundamental Research Funds for the Central Universities [2042016kf0038]</t>
  </si>
  <si>
    <t>National Key Research and Development Program of China; National Natural Science Foundation of China(National Natural Science Foundation of China (NSFC)); fund of Key Laboratory of Polar Science, SOA; Chinese Postdoctoral Science Foundation Funded Project; Fundamental Research Funds for the Central Universities(Fundamental Research Funds for the Central Universities)</t>
  </si>
  <si>
    <t>The authors would like to thank the National Snow and Ice Data Center, Brigham Young University, Cold Region Research and Engineer Laboratory for providing SSM/I, SSMIS brightness temperature data, QuikSCAT, ASCAT sea-ice type data and in situ snow depth measurements. The authors acknowledge the joint support from the National Key Research and Development Program of China (2016YFC1402704, 2017YFA0603104), the National Natural Science Foundation of China (41576188, 41606215), the fund of Key Laboratory of Polar Science, SOA (PS1502), the Chinese Postdoctoral Science Foundation Funded Project (2016M602342) and the Fundamental Research Funds for the Central Universities (2042016kf0038). Comments from the anonymous referees and the editor are also gratefully appreciated.</t>
  </si>
  <si>
    <t>10.3390/rs10010036</t>
  </si>
  <si>
    <t>WOS:000424092300035</t>
  </si>
  <si>
    <t>Liu, TT; Niu, MY; Yang, YD</t>
  </si>
  <si>
    <t>Liu, Tingting; Niu, Muye; Yang, Yuande</t>
  </si>
  <si>
    <t>Ice Velocity Variations of the Polar Record Glacier (East Antarctica) Using a Rotation-Invariant Feature-Tracking Approach</t>
  </si>
  <si>
    <t>Polar Record Glacier; ice velocity; feature-tracking; rotation-invariant</t>
  </si>
  <si>
    <t>SURFACE VELOCITY; MASS-BALANCE; IMAGES; FLOW; LAND; ELEVATION; FIELD</t>
  </si>
  <si>
    <t>In this study, the ice velocity changes from 2004 to 2015 of the Polar Record Glacier (PRG) in East Antarctica were investigated based on a feature-tracking method using Landsat-7 enhanced thematic mapper plus (ETM+) and Landsat-8 operational land imager (OLI) images. The flow field of the PRG curves make it difficult to generate ice velocities in some areas using the traditional normalized cross-correlation (NCC)-based feature-tracking method. Therefore, a rotation-invariant parameter from scale-invariant feature transform (SIFT) is introduced to build a novel rotation-invariant feature-tracking approach. The validation was performed based on multi-source images and the making earth system data records for use in research environments (MEaSUREs) interferometric synthetic aperture radar (InSAR)-based Antarctica ice velocity map data set. The results indicate that the proposed method is able to measure the ice velocity in more areas and performs as well as the traditional NCC-based feature-tracking method. The sequential ice velocities obtained present the variations in the PRG during this period. Although the maximum ice velocity of the frontal margin of the PRG and the frontal iceberg reached about 900 m/a and 1000 m/a, respectively, the trend from 2004 to 2015 showed no significant change. Under the interaction of the Polar Times Glacier and the Polarforschung Glacier, both the direction and the displacement of the PRG were influenced. This impact also led to higher velocities in the western areas of the PRG than in the eastern areas. In addition, elevation changes and frontal iceberg calving also impacted the ice velocity of the PRG.</t>
  </si>
  <si>
    <t>[Liu, Tingting; Yang, Yuande] Wuhan Univ, Chinese Antarctic Ctr Surveying &amp; Mapping, Luoyu Rd 129, Wuhan 430079, Hubei, Peoples R China; [Niu, Muye] State Ocean Adm, Chinese Arctic &amp; Antarctic Adm, Beijing 100860, Peoples R China</t>
  </si>
  <si>
    <t>Liu, TT (corresponding author), Wuhan Univ, Chinese Antarctic Ctr Surveying &amp; Mapping, Luoyu Rd 129, Wuhan 430079, Hubei, Peoples R China.</t>
  </si>
  <si>
    <t>ttliu23@whu.edu.cn; niumuye@caa.gov.cn; yuandeyang@whu.edu.cn</t>
  </si>
  <si>
    <t>Liu, Tingting/HCH-2239-2022</t>
  </si>
  <si>
    <t>National Natural Science Foundation of China [41676179, 41531069, 41506208]; Chinese Polar Environment Comprehensive Investigation &amp; Assessment Programmes [CHINARE2016-02-04]</t>
  </si>
  <si>
    <t>National Natural Science Foundation of China(National Natural Science Foundation of China (NSFC)); Chinese Polar Environment Comprehensive Investigation &amp; Assessment Programmes</t>
  </si>
  <si>
    <t>This research was supported by the National Natural Science Foundation of China (grant Nos. 41676179, 41531069 and 41506208) and the Chinese Polar Environment Comprehensive Investigation &amp; Assessment Programmes (grant No. CHINARE2016-02-04).</t>
  </si>
  <si>
    <t>10.3390/rs10010042</t>
  </si>
  <si>
    <t>WOS:000424092300041</t>
  </si>
  <si>
    <t>Kriwoken, L; Hardy, A</t>
  </si>
  <si>
    <t>Kriwoken, Lorne; Hardy, Anne</t>
  </si>
  <si>
    <t>Neo-tribes and Antarctic expedition cruise ship tourists</t>
  </si>
  <si>
    <t>ANNALS OF LEISURE RESEARCH</t>
  </si>
  <si>
    <t>Neo-tribes; Antarctica; tourism; cruise shipping; social interaction</t>
  </si>
  <si>
    <t>EXPERIENCES; RELEVANCE; CULTURE</t>
  </si>
  <si>
    <t>Recent research has explored the size and nature of the cruise ship industry and to a lesser extent the impacts of social interaction upon the experiences of individuals while cruising. However, there is little research that examines the performative aspects of social groups that form as a result of social interaction. Using a neo-tribal lens, we examine this phenomenon in the context of passengers on board an Antarctic expedition cruise ship. The neo-tribal lens offers insights into the lifestyles, sense of belonging, rituals and meeting places that form amongst groups of passengers. This research progresses the conceptualization of neo-tribes by suggesting that neo-tribes are a phenomenon that may occur in confined, liminal places. In doing so it advances an understanding of the outcomes of the cruise ship experience by looking past individualistic outcomes, to the behavioural aspects that can result from undertaking a cruise ship holiday in Antarctica.</t>
  </si>
  <si>
    <t>[Kriwoken, Lorne] Univ Tasmania, Geog &amp; Spatial Sci Discipline, Hobart, Tas, Australia; [Hardy, Anne] Univ Tasmania, Tasmanian Sch Econ &amp; Business, Hobart, Tas, Australia</t>
  </si>
  <si>
    <t>Kriwoken, L (corresponding author), Univ Tasmania, Geog &amp; Spatial Sci Discipline, Hobart, Tas, Australia.</t>
  </si>
  <si>
    <t>l.k.kriwoken@utas.edu.au</t>
  </si>
  <si>
    <t>1174-5398</t>
  </si>
  <si>
    <t>2159-6816</t>
  </si>
  <si>
    <t>ANN LEIS RES</t>
  </si>
  <si>
    <t>Ann. Leis. Res.</t>
  </si>
  <si>
    <t>10.1080/11745398.2017.1286512</t>
  </si>
  <si>
    <t>FV1SX</t>
  </si>
  <si>
    <t>WOS:000424346100003</t>
  </si>
  <si>
    <t>Vasile, R; Hartmann, K; Hobday, AJ; Oliver, E; Tracey, S</t>
  </si>
  <si>
    <t>Vasile, Roxana; Hartmann, Klaas; Hobday, Alistair J.; Oliver, Eric; Tracey, Sean</t>
  </si>
  <si>
    <t>Evaluation of hydrodynamic ocean models as a first step in larval dispersal modelling</t>
  </si>
  <si>
    <t>CONTINENTAL SHELF RESEARCH</t>
  </si>
  <si>
    <t>Continental shelf; BRAN; HYCOM; IMOS; ANMN; Australia</t>
  </si>
  <si>
    <t>POPULATION CONNECTIVITY; MARINE RESERVES; INDIAN-OCEAN; FISH; TEMPERATURE; TRANSPORT; BEHAVIOR; RECRUITMENT; PERFORMANCE; ECOLOGY</t>
  </si>
  <si>
    <t>Larval dispersal modelling, a powerful tool in studying population connectivity and species distribution, requires accurate estimates of the ocean state, on a high-resolution grid in both space (e.g. 0.5-1 km horizontal grid) and time (e.g. hourly outputs), particularly of current velocities and water temperature. These estimates are usually provided by hydrodynamic models based on which larval trajectories and survival are computed. In this study we assessed the accuracy of two hydrodynamic models around Australia - Bluelink ReANalysis (BRAN) and Hybrid Coordinate Ocean Model (HYCOM) - through comparison with empirical data from the Australian National Moorings Network (ANMN). We evaluated the models' predictions of seawater parameters most relevant to larval dispersal - temperature, u and v velocities and current speed and direction - on the continental shelf where spawning and nursery areas for major fishery species are located. The performance of each model in estimating ocean parameters was found to depend on the parameter investigated and to vary from one geographical region to another. Both BRAN and HYCOM models systematically overestimated the mean water temperature, particularly in the top 140 m of water column, with over 2 degrees C bias at some of the mooring stations. HYCOM model was more accurate than BRAN for water temperature predictions in the Great Australian Bight and along the east coast of Australia. Skill scores between each model and the in situ observations showed lower accuracy in the models' predictions of u and v ocean current velocities compared to water temperature predictions. For both models, the lowest accuracy in predicting ocean current velocities, speed and direction was observed at 200 m depth. Low accuracy of both model predictions was also observed in the top 10 m of the water column. BRAN had more accurate predictions of both u and v velocities in the upper 50 m of water column at all mooring station locations. While HYCOM predictions of ocean current speed were generally more accurate than BRAN, BRAN predictions of both ocean current speed and direction were more accurate than HYCOM along the southeast coast of Australia and Tasmania. This study identified important inaccuracies in the hydrodynamic models' estimations of the real ocean parameters and on time scales relevant to larval dispersal studies. These findings highlight the importance of the choice and validation of hydrodynamic models, and calls for estimates of such bias to be incorporated in dispersal studies.</t>
  </si>
  <si>
    <t>[Vasile, Roxana; Hartmann, Klaas; Oliver, Eric; Tracey, Sean] Univ Tasmania, Inst Marine &amp; Antarctic Studies, 20 Castray Esplanade, Battery Point, Tas 7001, Australia; [Vasile, Roxana; Hobday, Alistair J.] CSIRO Oceans &amp; Atmosphere, Castray Esplanade, Battery Point, Tas 7001, Australia; [Oliver, Eric] Australian Res Council Ctr Excellence Climate Sys, Hobart, Tas 7000, Australia</t>
  </si>
  <si>
    <t>University of Tasmania; Commonwealth Scientific &amp; Industrial Research Organisation (CSIRO)</t>
  </si>
  <si>
    <t>Vasile, R (corresponding author), Univ Tasmania, Inst Marine &amp; Antarctic Studies, 20 Castray Esplanade, Battery Point, Tas 7001, Australia.</t>
  </si>
  <si>
    <t>Roxana.Vasile@utas.edu.au; Klaas.Hartmann@utas.edu.au; Alistair.Hobday@csiro.au; Eric.Oliver@utas.edu.au; Sean.Tracey@utas.edu.au</t>
  </si>
  <si>
    <t>Hartmann, Klaas/B-3991-2008; Hobday, Alistair/A-1460-2012; Oliver, Eric/G-5118-2014; Tracey, Sean/J-7446-2014</t>
  </si>
  <si>
    <t>Oliver, Eric/0000-0002-4006-2826; Tracey, Sean/0000-0002-6735-5899</t>
  </si>
  <si>
    <t>Australian Research Council (ARC) [LP120200164]; National Ocean Partnership Program; Office of Naval Research; U.S. Navy; Australian Government; Australian Research Council [LP120200164] Funding Source: Australian Research Council</t>
  </si>
  <si>
    <t>Australian Research Council (ARC)(Australian Research Council); National Ocean Partnership Program; Office of Naval Research(Office of Naval Research); U.S. Navy; Australian Government(Australian Government); Australian Research Council(Australian Research Council)</t>
  </si>
  <si>
    <t>This work is part of project Understanding the stock-recruitment relationship to reverse decline in the southern rock lobster funded by the Australian Research Council (ARC) under Grant no. LP120200164. The authors gratefully acknowledge the project's principal investigator Bridget Green, and the contributions of Mark Baird and Mike Herzfeld from CSIRO Oceans and Atmosphere, Hobart. This paper makes a contribution to the objectives of the ARC Centre of Excellence for Climate System Science (ARCCCS). The Bluelink ocean data products were provided by CSIRO. Bluelink is a collaboration involving the Commonwealth Bureau of Meteorology, the Commonwealth Scientific and Industrial Research Organisation and the Royal Australian Navy. Funding for the development of HYCOM has been provided by the National Ocean Partnership Program and the Office of Naval Research. Data assimilative products using HYCOM are funded by the U.S. Navy. Computer time was made available by the DoD High Performance Computing Modernization Program. The output is publicly available at http://hycom.org. Mooring data were sourced from the Integrated Marine Observing System (IMOS) - IMOS is a national collaborative research infrastructure, supported by Australian Government. Comments from two anonymous reviewers helped improve this paper.</t>
  </si>
  <si>
    <t>0278-4343</t>
  </si>
  <si>
    <t>1873-6955</t>
  </si>
  <si>
    <t>CONT SHELF RES</t>
  </si>
  <si>
    <t>Cont. Shelf Res.</t>
  </si>
  <si>
    <t>10.1016/j.csr.2017.11.001</t>
  </si>
  <si>
    <t>FU8AI</t>
  </si>
  <si>
    <t>WOS:000424073800005</t>
  </si>
  <si>
    <t>Cade, DE; Barr, KR; Calambokidis, J; Friedlaender, AS; Goldbogen, JA</t>
  </si>
  <si>
    <t>Cade, David E.; Barr, Kelly R.; Calambokidis, John; Friedlaender, Ari S.; Goldbogen, Jeremy A.</t>
  </si>
  <si>
    <t>Determining forward speed from accelerometer jiggle in aquatic environments</t>
  </si>
  <si>
    <t>JOURNAL OF EXPERIMENTAL BIOLOGY</t>
  </si>
  <si>
    <t>High sample rate noise; Energetic costs; Flow noise; Tag jiggle; Biologging</t>
  </si>
  <si>
    <t>SWIM-SPEED; HUMPBACK WHALES; BEHAVIOR; KINEMATICS; FISH; SAILFISH; SOUNDS; VIDEO; COST; SEA</t>
  </si>
  <si>
    <t>How fast animals move is critical to understanding their energetic requirements, locomotor capacity and foraging performance, yet current methods for measuring speed via animal-attached devices are not universally applicable. Here, we present and evaluate a new method that relates forward speed to the stochastic motion of biologging devices as tag jiggle, the amplitude of the tag vibrations as measured by high sample rate accelerometers, increases exponentially with increasing speed. We successfully tested this method in a flow tank using two types of biologging devices and in situ on wild cetaceans spanning similar to 3 to &gt;20 m in length using two types of suction cup-attached tag and two types of dart-attached tag. This technique provides some advantages over other approaches for determining speed as it is device-orientation independent and relies only on a pressure sensor and a high sample rate accelerometer, sensors that are nearly universal across biologging device types.</t>
  </si>
  <si>
    <t>[Cade, David E.; Barr, Kelly R.; Goldbogen, Jeremy A.] Stanford Univ, Hopkins Marine Stn, Dept Biol, Pacific Grove, CA 93950 USA; [Calambokidis, John] Cascadia Res Collect, 218 1-2 W 4th Ave, Olympia, WA 98501 USA; [Friedlaender, Ari S.] Oregon State Univ, Dept Fish &amp; Wildlife, Hatfield Marine Sci Ctr, Marine Mammal Inst, Newport, OR 97365 USA; [Barr, Kelly R.] Univ Calif Los Angeles, Dept Ecol &amp; Evolutionary Biol, Inst Environm &amp; Sustainabil, Ctr Trop Res, Los Angeles, CA 90095 USA; [Friedlaender, Ari S.] Univ Calif Santa Cruz, Inst Marine Sci, Santa Cruz, CA 95064 USA</t>
  </si>
  <si>
    <t>Stanford University; Oregon State University; University of California System; University of California Los Angeles; University of California System; University of California Santa Cruz</t>
  </si>
  <si>
    <t>Cade, DE (corresponding author), Stanford Univ, Hopkins Marine Stn, Dept Biol, Pacific Grove, CA 93950 USA.</t>
  </si>
  <si>
    <t>davecade@stanford.edu</t>
  </si>
  <si>
    <t>Cade, David/0000-0003-3641-1242; Goldbogen, Jeremy/0000-0002-4170-7294</t>
  </si>
  <si>
    <t>US Navy's Living Marine Resources Program; Office of Naval Research Marine Mammal Program; American Cetacean Society Monterey and San Francisco Bay chapters; Meyers Trust; Stanford University's Anne T. and Robert M. Bass Fellowship; Office of Naval Research's Young Investigator Award [N00014-16-1-2477]; National Science Foundation Integrative Organismal Systems award [1656691]; Office of Polar Programs Antarctic Organisms and Ecosystems award [1644209]; Direct For Biological Sciences; Division Of Integrative Organismal Systems [1656691] Funding Source: National Science Foundation</t>
  </si>
  <si>
    <t>US Navy's Living Marine Resources Program; Office of Naval Research Marine Mammal Program(Office of Naval Research); American Cetacean Society Monterey and San Francisco Bay chapters; Meyers Trust; Stanford University's Anne T. and Robert M. Bass Fellowship; Office of Naval Research's Young Investigator Award(Office of Naval Research); National Science Foundation Integrative Organismal Systems award; Office of Polar Programs Antarctic Organisms and Ecosystems award; Direct For Biological Sciences; Division Of Integrative Organismal Systems(National Science Foundation (NSF)NSF - Directorate for Biological Sciences (BIO)NSF - Division of Integrative Organismal Systems (IOS))</t>
  </si>
  <si>
    <t>DTAG deployments were funded under grants from the US Navy's Living Marine Resources Program and the Office of Naval Research Marine Mammal Program. Monterey Bay CATS tag deployments were funded by grants from the American Cetacean Society Monterey and San Francisco Bay chapters, and by the Meyers Trust. Support for D.E.C. was provided by Stanford University's Anne T. and Robert M. Bass Fellowship and for J.A.G. by the Office of Naval Research's Young Investigator Award (N00014-16-1-2477) and the National Science Foundation Integrative Organismal Systems award no. 1656691 and the Office of Polar Programs Antarctic Organisms and Ecosystems award no. 1644209.</t>
  </si>
  <si>
    <t>COMPANY BIOLOGISTS LTD</t>
  </si>
  <si>
    <t>BIDDER BUILDING, STATION RD, HISTON, CAMBRIDGE CB24 9LF, ENGLAND</t>
  </si>
  <si>
    <t>0022-0949</t>
  </si>
  <si>
    <t>1477-9145</t>
  </si>
  <si>
    <t>J EXP BIOL</t>
  </si>
  <si>
    <t>J. Exp. Biol.</t>
  </si>
  <si>
    <t>jeb170449</t>
  </si>
  <si>
    <t>10.1242/jeb.170449</t>
  </si>
  <si>
    <t>FU8BH</t>
  </si>
  <si>
    <t>WOS:000424076300018</t>
  </si>
  <si>
    <t>Miller, BS; Wotherspoon, S; Rankin, S; Calderan, S; Leaper, R; Keating, JL</t>
  </si>
  <si>
    <t>Miller, Brian S.; Wotherspoon, Simon; Rankin, Shannon; Calderan, Susannah; Leaper, Russell; Keating, Jennifer L.</t>
  </si>
  <si>
    <t>Estimating drift of directional sonobuoys from acoustic bearings</t>
  </si>
  <si>
    <t>JOURNAL OF THE ACOUSTICAL SOCIETY OF AMERICA</t>
  </si>
  <si>
    <t>ANTARCTIC BLUE WHALES; PACIFIC RIGHT WHALES; BOWHEAD WHALES; BALAENA-MYSTICETUS; NORTH PACIFIC; BEAUFORT SEA; LOCALIZATION; MIGRATION; SENSORS; SOUNDS</t>
  </si>
  <si>
    <t>A maximum likelihood method is presented for estimating drift direction and speed of a directional sonobuoy given the deployment location and a time series of acoustic bearings to a sound source at known position. The viability of this method is demonstrated by applying it to two real-world scenarios: (1) during a calibration trial where buoys were independently tracked via satellite, and (2) by applying the technique to sonobuoy recordings of a vocalising Antarctic blue whale that was simultaneously tracked by photogrammetric methods. In both test cases, correcting for sonobuoy drift substantially increased the accuracy of acoustic locations.</t>
  </si>
  <si>
    <t>[Miller, Brian S.; Calderan, Susannah; Leaper, Russell] Australian Marine Mammal Ctr, Australian Antarctic Div, Kingston, Tas, Australia; [Wotherspoon, Simon] Univ Tasmania, Inst Marine &amp; Antarctic Studies, Hobart, Tas, Australia; [Rankin, Shannon] NOAA, Marine Mammal &amp; Turtle Div, Southwest Fisheries Sci Ctr, Natl Marine Fisheries Serv, La Jolla, CA 92037 USA; [Keating, Jennifer L.] Univ Hawaii Manoa, Joint Inst Marine &amp; Atmospher Res, 1000 Pope Rd,Marine Sci Bldg 312, Honolulu, HI 96822 USA; [Keating, Jennifer L.] NOAA Fisheries, Pacif Isl Fisheries Sci Ctr, 1845 Wasp Blvd,Bldg 176, Honolulu, HI 96818 USA</t>
  </si>
  <si>
    <t>Australian Antarctic Division; University of Tasmania; National Oceanic Atmospheric Admin (NOAA) - USA; University of Hawaii System; University of Hawaii Manoa; National Oceanic Atmospheric Admin (NOAA) - USA</t>
  </si>
  <si>
    <t>Miller, BS (corresponding author), Australian Marine Mammal Ctr, Australian Antarctic Div, Kingston, Tas, Australia.</t>
  </si>
  <si>
    <t>Brian.Miller@aad.gov.au; Simon.wotherspoon@utas.edu.au; shannon.rankin@noaa.gov; susa@scoter.org; russell@ivyt.demon.co.uk; jennifer.keating@noaa.gov</t>
  </si>
  <si>
    <t>Wotherspoon, Simon J/B-2390-2013</t>
  </si>
  <si>
    <t>Wotherspoon, Simon J/0000-0002-6947-4445; Miller, Brian/0000-0001-7615-3044; McCullough, Jennifer/0000-0003-4212-7846</t>
  </si>
  <si>
    <t>Southwest Fisheries Science Center; NOAA Fisheries; Navy's Living Marine Resources Program; NOAA's National Cooperative Research Program; Australian Marine Mammal Centre of the Australian Antarctic Division; Antarctic Blue Whale Project of the International Whaling Commission's Southern Ocean Research Partnership; Australian Antarctic Science [4102]</t>
  </si>
  <si>
    <t>Southwest Fisheries Science Center; NOAA Fisheries(National Oceanic Atmospheric Admin (NOAA) - USA); Navy's Living Marine Resources Program; NOAA's National Cooperative Research Program; Australian Marine Mammal Centre of the Australian Antarctic Division; Antarctic Blue Whale Project of the International Whaling Commission's Southern Ocean Research Partnership; Australian Antarctic Science</t>
  </si>
  <si>
    <t>Thanks to all the scientists on the 2013 Antarctic blue whale voyage and the Crew of Amaltal Explorer. The calibration experiment was supported by the Southwest Fisheries Science Center, NOAA Fisheries, and funded by the Navy's Living Marine Resources Program and NOAA's National Cooperative Research Program. Thanks to the crew of M/V Horizon as well as Taiki Sakai for his assistance during this experiment. This manuscript was supported by the Australian Marine Mammal Centre of the Australian Antarctic Division, the Antarctic Blue Whale Project of the International Whaling Commission's Southern Ocean Research Partnership, and Australian Antarctic Science Project No. 4102.</t>
  </si>
  <si>
    <t>ACOUSTICAL SOC AMER AMER INST PHYSICS</t>
  </si>
  <si>
    <t>STE 1 NO 1, 2 HUNTINGTON QUADRANGLE, MELVILLE, NY 11747-4502 USA</t>
  </si>
  <si>
    <t>0001-4966</t>
  </si>
  <si>
    <t>1520-8524</t>
  </si>
  <si>
    <t>J ACOUST SOC AM</t>
  </si>
  <si>
    <t>J. Acoust. Soc. Am.</t>
  </si>
  <si>
    <t>EL25</t>
  </si>
  <si>
    <t>EL30</t>
  </si>
  <si>
    <t>10.1121/1.5020621</t>
  </si>
  <si>
    <t>Acoustics; Audiology &amp; Speech-Language Pathology</t>
  </si>
  <si>
    <t>FU7EL</t>
  </si>
  <si>
    <t>WOS:000424014800005</t>
  </si>
  <si>
    <t>Iturra, KI</t>
  </si>
  <si>
    <t>Manzano Iturra, Karen I.</t>
  </si>
  <si>
    <t>THE DREAM OF THE LIBERATOR: O'HIGGINS AND THE SIGNS OF CHILEAN ANTARCTIC GEOPOLITICAL THOUGHT</t>
  </si>
  <si>
    <t>REVISTA ESTUDIOS HEMISFERICOS Y POLARES</t>
  </si>
  <si>
    <t>Bernardo O'Higgins; Independence; Antarctica; Geopolitics</t>
  </si>
  <si>
    <t>During the Independence, Bernardo O'Higgins has developed an interesting thought relating to the potentials of Chilean territory. The referred captain general was educated in Lima and London and his knowledge enabled him to understand the potential of Chile as a Southern State that rules the southern section of Pacific Ocean and that reaches the last corners of the American continent. By this article, we seek to analyze the thought of the abovementioned liberator through primary, secondary and tertiary sources that allow for understanding the significance of his thinking on the development of a pregeopolitics in which the role of Chile could be relevant in the domain of the southern space.</t>
  </si>
  <si>
    <t>[Manzano Iturra, Karen I.] Univ Santiago Chile, Santiago, Chile</t>
  </si>
  <si>
    <t>Iturra, KI (corresponding author), Nueva San Martin 65,Dept 505, Santiago, Chile.</t>
  </si>
  <si>
    <t>karen.manzano@usach.cl</t>
  </si>
  <si>
    <t>CENTRO ESTUDIOS HEMISFERICOS &amp; POLARES</t>
  </si>
  <si>
    <t>VINA DEL MAR</t>
  </si>
  <si>
    <t>CALLE ROMA, 116, CALETA ABARCA, VINA DEL MAR, 2580060, CHILE</t>
  </si>
  <si>
    <t>0718-9230</t>
  </si>
  <si>
    <t>REV ESTUD HEMISFERIC</t>
  </si>
  <si>
    <t>Rev. Estud. Hemisfericos Polares</t>
  </si>
  <si>
    <t>JAN-MAR</t>
  </si>
  <si>
    <t>Area Studies</t>
  </si>
  <si>
    <t>FU6KV</t>
  </si>
  <si>
    <t>WOS:000423962400003</t>
  </si>
  <si>
    <t>Albornoz, CC</t>
  </si>
  <si>
    <t>Cabrera Albornoz, Camilo</t>
  </si>
  <si>
    <t>THE REPRESENTATION OF THE ENEMY. REFLECTION AROUND THE ANTARCTIC IMAGINARY MATERIALIZED IN THE TOPAZE MAGAZINE (1947-1952)</t>
  </si>
  <si>
    <t>Imaginary; Antarctic Question; Cartoons; Representation</t>
  </si>
  <si>
    <t>The present research seeks to enter, from the magazine Topaze and its cartoons, in the representations arisen around the international conflict denominated by the historiography like Antarctic Question. The analysis of the cartoons allows us to unravel the imaginary contained in them, thus approaching the structures of thought of the time, glimpsing in the figure of the caricaturist that subject who with his genius and talent manages to shape, and thereby educate hundreds of Thousands of readers of the magazine-, a defense of national rights based on principles and historical, legal and/or geographical rights against Argentine and British claims.</t>
  </si>
  <si>
    <t>[Cabrera Albornoz, Camilo] Pontificia Univ Catolica Valparaiso, Inst Hist, Paseo Valle 396, Vina Del Mar, Chile</t>
  </si>
  <si>
    <t>Pontificia Universidad Catolica de Valparaiso</t>
  </si>
  <si>
    <t>Albornoz, CC (corresponding author), Pontificia Univ Catolica Valparaiso, Inst Hist, Paseo Valle 396, Vina Del Mar, Chile.</t>
  </si>
  <si>
    <t>Camilocabrera2011@gmail.com</t>
  </si>
  <si>
    <t>WOS:000423962400005</t>
  </si>
  <si>
    <t>Gabric, A; Matrai, P; Jones, G; Middleton, J</t>
  </si>
  <si>
    <t>Gabric, Albert; Matrai, Patricia; Jones, Graham; Middleton, Julia</t>
  </si>
  <si>
    <t>THE NEXUS BETWEEN SEA ICE AND POLAR EMISSIONS OF MARINE BIOGENIC AEROSOLS</t>
  </si>
  <si>
    <t>SUMMERTIME ARCTIC ATMOSPHERE; INDIAN-OCEAN SECTOR; DIMETHYL SULFIDE; SOUTHERN-OCEAN; OPTICAL DEPTH; PHYTOPLANKTON COMMUNITY; METHANESULFONIC-ACID; SPATIAL-DISTRIBUTION; ANTARCTIC PENINSULA; DMSP PRODUCTION</t>
  </si>
  <si>
    <t>Accurate estimation of the climate sensitivity requires a better understanding of the nexus between polar marine ecosystem responses to warming, changes in sea ice extent, and emissions of marine biogenic aerosol (MBA). Sea ice brine channels contain very high concentrations of MBA precursors that, once ventilated, have the potential to alter cloud microphysical properties, such as cloud droplet number, and the regional radiative energy balance. In contrast to temperate latitudes, where the pelagic phytoplankton are major sources of MBAs, the seasonal sea ice dynamic plays a key role in determining MBA concentration in both the Arctic and Antarctic. We review the current knowledge of MBA sources and the link between ice melt and emissions of aerosol precursors in the polar oceans. We illustrate the processes by examining decadal-scale time series in various satellite-derived parameters such as aerosol optical depth (AOD), sea ice extent, and phytoplankton biomass in the sea ice zones of both hemispheres. The sharpest gradients in aerosol indicators occur during the spring period of ice melt. In sea ice-covered waters, the peak in AOD occurs well before the annual maximum in biomass in both hemispheres. The results provide strong evidence that suggests seasonal changes in sea ice and ocean biology are key drivers of the polar aerosol cycle. The positive trend in annual-mean Antarctic sea ice extent is now almost one-third of the magnitude of the annual-mean decrease in Arctic sea ice, suggesting the potential for different patterns of aerosol emissions in the future.</t>
  </si>
  <si>
    <t>[Gabric, Albert] Griffith Univ, Sch Environm, Nathan, Qld, Australia; [Matrai, Patricia] Bigelow Lab Ocean Sci, East Boothbay, ME USA; [Jones, Graham] Southern Cross Univ, Lismore, NSW, Australia; [Middleton, Julia] Woods Hole Oceanog Inst, Woods Hole, MA 02543 USA</t>
  </si>
  <si>
    <t>Griffith University; Bigelow Laboratory for Ocean Sciences; Southern Cross University; Woods Hole Oceanographic Institution</t>
  </si>
  <si>
    <t>Gabric, A (corresponding author), Griffith Univ, Sch Environm, Nathan, Qld, Australia.</t>
  </si>
  <si>
    <t>a.gabric@griffith.edu.au</t>
  </si>
  <si>
    <t>Gabric, Albert J/S-1551-2017</t>
  </si>
  <si>
    <t>Middleton, Jule T./0000-0001-6068-9266; Jones, Graham/0000-0002-2815-6395</t>
  </si>
  <si>
    <t>National Science Foundation [PLR-1417517]; Australian Research Council [DP150101649]; Directorate For Geosciences; Office of Polar Programs (OPP) [1603172] Funding Source: National Science Foundation; Directorate For Geosciences; Office of Polar Programs (OPP) [1602946] Funding Source: National Science Foundation</t>
  </si>
  <si>
    <t>National Science Foundation(National Science Foundation (NSF)); Australian Research Council(Australian Research Council); Directorate For Geosciences; Office of Polar Programs (OPP)(National Science Foundation (NSF)NSF - Directorate for Geosciences (GEO)); Directorate For Geosciences; Office of Polar Programs (OPP)(National Science Foundation (NSF)NSF - Directorate for Geosciences (GEO))</t>
  </si>
  <si>
    <t>We gratefully acknowledge the NASA Ocean Biology Processing Group for providing SeaWiFs and MODIS Aqua level-3 data on chlorophyll-a and AOD. The sea ice data were provided by the National Snow and Ice Data Center, University of Colorado, Boulder. Matrai and Middleton were supported by the National Science Foundation (PLR-1417517). Jones was partially funded by a grant from the Australian Research Council (DP150101649).</t>
  </si>
  <si>
    <t>10.1175/BAMS-D-16-0254.1</t>
  </si>
  <si>
    <t>WOS:000423878600005</t>
  </si>
  <si>
    <t>Harris, C; Dreyer, T; le Roux, P</t>
  </si>
  <si>
    <t>Harris, Chris; Dreyer, Tanya; le Roux, Petrus</t>
  </si>
  <si>
    <t>Petrogenesis of peralkaline granite dykes of the Straumsvola complex, western Dronning Maud Land, Antarctica</t>
  </si>
  <si>
    <t>CONTRIBUTIONS TO MINERALOGY AND PETROLOGY</t>
  </si>
  <si>
    <t>Peralkaline granite; Agpaitic; Zirconium silicates; Oxygen isotopes; Metasomatism; Crustal melting</t>
  </si>
  <si>
    <t>OXYGEN-ISOTOPE FRACTIONATION; EARTH-RICH EUDIALYTE; EAST ANTARCTICA; COMPOSITIONAL VARIABILITY; GRUNEHOGNA CRATON; HU SVERDRUPFJELLA; ASCENSION ISLAND; JURASSIC DYKES; SOUTH-AFRICA; ALKALINE</t>
  </si>
  <si>
    <t>Peralkaline syenite and granite dykes cut the Straumsvola nepheline syenite pluton in Western Dronning Maud Land, Antarctica. The average peralkalinity index (PI = molecular Al/[Na + K]) of the dykes is 1.20 (n = 29) and manifests itself in the presence of the Zr silicates eudialyte, dalyite and vlasovite, and the Na-Ti silicate, narsarsukite. The dykes appear to have intruded during slow cooling of the nepheline syenite pluton, and the petrogenetic relationship of the dykes and the pluton cannot be related to closed-system processes at low pressure, given the thermal divide that exists between silica-undersaturated and oversaturated magmas. Major and trace element variations in the dykes are consistent with a combination of fractional crystallization of parental peralkaline magma of quartz trachyte composition, and internal mineral segregation prior to final solidification. The distribution of accessory minerals is consistent with late-stage crystallization of isolated melt pockets. The dykes give an Rb-Sr isochron age of 171 +/- 4.4 Ma, with variable initial Sr-87/Sr-86 ratio (0.7075 +/- 0.0032), and have an average epsilon(Nd) of - 12.0. Quartz phenocrysts have delta O-18 values of 8.4-9.2%, which are generally in O-isotope equilibrium with bulk rock. Differences in the delta O-18 values of quartz and aegirine (average Delta(quartz-aegirine) = 3.5%) suggest aegirine formation temperatures around 500 degrees C, lower than expected for a felsic magma, but consistent with poikilitic aegirine that indicates subsolidus growth. The negative epsilon(Nd) (&lt; -10) and magma delta O-18 values averaging 8.6% (assuming Delta(quartz-magma) = 0.6%) are inconsistent with a magma produced by closed-system fractional crystallization of a mantle-derived magma. By contrast, the nepheline syenite magma had mantle-like delta O-18 values and much less negative epsilon(Nd) (average -3.1, n = 3). The country rock has similar delta O-18 values to the granite dykes (average 8.0%, n = 108); this means that models for the petrogenesis of the granites by assimilation are unfeasible, unless an unexposed high-delta O-18 contaminant is invoked. Instead, it is proposed that the peralkaline syenite and granite dykes formed by partial melting of alkali-metasomatised gneiss that surrounds the nepheline syenite, followed by fractional crystallization.</t>
  </si>
  <si>
    <t>[Harris, Chris; Dreyer, Tanya; le Roux, Petrus] Univ Cape Town, Dept Geol Sci, ZA-7700 Rondebosch, South Africa</t>
  </si>
  <si>
    <t>Harris, C (corresponding author), Univ Cape Town, Dept Geol Sci, ZA-7700 Rondebosch, South Africa.</t>
  </si>
  <si>
    <t>chris.harris@uct.ac.za</t>
  </si>
  <si>
    <t>le Roux, Petrus J./AAD-4755-2021; Harris, Chris/H-8720-2012</t>
  </si>
  <si>
    <t>le Roux, Petrus J./0000-0002-5930-4995; Harris, Chris/0000-0003-0340-6674</t>
  </si>
  <si>
    <t>South African National Antarctic Programme; UCT; NRF</t>
  </si>
  <si>
    <t>CH thanks Ron Watkins, Brian Hole, Roger Swart, Geoff Grantham, and Johann Krynauw for help and discussion during fieldwork, and Johann Krynauw and Branko Corner for providing excellent team leadership. Fayrooza Rawoot, Sherissa Roopnarain, Phil Janney, Christel Tinguely and Jonathan van Rooyen are thanked for help with the analytical work. The fieldwork in 1985-1989 was supported by the South African National Antarctic Programme, and the analytical work and bursary funding for TD was funded by UCT and the NRF through incentive grants to CH. Comments by Marlina Elburg and Teal Riley on the thesis of TD, and constructive reviews from Tom Andersen and Michael Marks are gratefully acknowledged.</t>
  </si>
  <si>
    <t>0010-7999</t>
  </si>
  <si>
    <t>1432-0967</t>
  </si>
  <si>
    <t>CONTRIB MINERAL PETR</t>
  </si>
  <si>
    <t>Contrib. Mineral. Petrol.</t>
  </si>
  <si>
    <t>10.1007/s00410-017-1433-2</t>
  </si>
  <si>
    <t>FU7TD</t>
  </si>
  <si>
    <t>WOS:000424054700008</t>
  </si>
  <si>
    <t>Attard, CRM; Beheregaray, LB; Sandoval-Castillo, J; Jenner, KCS; Gill, PC; Jenner, MNM; Morrice, MG; Möller, LM</t>
  </si>
  <si>
    <t>Attard, Catherine R. M.; Beheregaray, Luciano B.; Sandoval-Castillo, Jonathan; Jenner, K. Curt S.; Gill, Peter C.; Jenner, Micheline-Nicole M.; Morrice, Margaret G.; Moller, Luciana M.</t>
  </si>
  <si>
    <t>From conservation genetics to conservation genomics: a genome-wide assessment of blue whales (Balaenoptera musculus) in Australian feeding aggregations</t>
  </si>
  <si>
    <t>ROYAL SOCIETY OPEN SCIENCE</t>
  </si>
  <si>
    <t>cetaceans; double-digest restriction-site associated DNA sequencing; ecological genomics; molecular ecology; non-model organism; population genomics</t>
  </si>
  <si>
    <t>SOUTHERN-HEMISPHERE; POPULATION-STRUCTURE; STATISTICAL POWER; SYMPATRIC AREA; PERTH CANYON; DIVERGENCE; EVOLUTION; LOCI; VARIABILITY; ANTARCTICA</t>
  </si>
  <si>
    <t>Genetic datasets of tens of markers have been superseded through next-generation sequencing technology with genome-wide datasets of thousands of markers. Genomic datasets improve our power to detect low population structure and identify adaptive divergence. The increased population-level knowledge can inform the conservation management of endangered species, such as the blue whale (Balaenoptera musculus). In Australia, there are two known feeding aggregations of the pygmy blue whale (B. m. brevicauda) which have shown no evidence of genetic structure based on a small dataset of 10 microsatellites and mtDNA. Here, we develop and implement a high-resolution dataset of 8294 genome-wide filtered single nucleotide polymorphisms, the first of its kind for blue whales. We use these data to assess whether the Australian feeding aggregations constitute one population and to test for the first time whether there is adaptive divergence between the feeding aggregations. We found no evidence of neutral population structure and negligible evidence of adaptive divergence. We propose that individuals likely travel widely between feeding areas and to breeding areas, which would require them to be adapted to a wide range of environmental conditions. This has important implications for their conservation as this blue whale population is likely vulnerable to a range of anthropogenic threats both off Australia and elsewhere.</t>
  </si>
  <si>
    <t>[Attard, Catherine R. M.; Beheregaray, Luciano B.; Sandoval-Castillo, Jonathan; Moller, Luciana M.] Flinders Univ S Australia, Coll Sci &amp; Engn, Mol Ecol Lab, GPO Box 2100, Adelaide, SA 5001, Australia; [Attard, Catherine R. M.; Moller, Luciana M.] Flinders Univ S Australia, Coll Sci &amp; Engn, Cetacean Ecol Behav &amp; Evolut Lab, GPO Box 2100, Adelaide, SA 5001, Australia; [Jenner, K. Curt S.; Jenner, Micheline-Nicole M.] Ctr Whale Res, POB 1622, Fremantle, WA 6959, Australia; [Gill, Peter C.] BlueWhale Study, Narrawong, Vic 3285, Australia; [Gill, Peter C.; Morrice, Margaret G.] Deakin Univ, Sch Life &amp; Environm Sci, POB 423, Warrnambool, Vic 3280, Australia</t>
  </si>
  <si>
    <t>Flinders University South Australia; Flinders University South Australia; Deakin University</t>
  </si>
  <si>
    <t>Attard, CRM (corresponding author), Flinders Univ S Australia, Coll Sci &amp; Engn, Mol Ecol Lab, GPO Box 2100, Adelaide, SA 5001, Australia.;Attard, CRM (corresponding author), Flinders Univ S Australia, Coll Sci &amp; Engn, Cetacean Ecol Behav &amp; Evolut Lab, GPO Box 2100, Adelaide, SA 5001, Australia.</t>
  </si>
  <si>
    <t>catherine.attard@flinders.edu.au</t>
  </si>
  <si>
    <t>Möller, Luciana M/A-6030-2008; Sandoval-Castillo, Jonathan/AAY-3670-2020; Castillo, Jonathan Sandoval/AAE-4727-2022; Beheregaray, Luciano/AAY-6384-2021; Beheregaray, Luciano/A-8621-2008; Gill, Peter/JZT-5482-2024</t>
  </si>
  <si>
    <t>Sandoval-Castillo, Jonathan/0000-0002-8428-3495; Castillo, Jonathan Sandoval/0000-0002-8428-3495; Beheregaray, Luciano/0000-0003-0944-3003; Beheregaray, Luciano/0000-0003-0944-3003; Attard, Catherine/0000-0003-1157-570X; Moller, Luciana/0000-0002-7293-5847; Morrice, Margie/0000-0001-6903-4565</t>
  </si>
  <si>
    <t>Sea World Research and Rescue Foundation Incorporated (SWRRFI); Winifred Violet Scott Charitable Trust (WVSCT); Australian Marine Mammal Centre within the Australian Antarctic Division; Macquarie University in Australia; Department of Defence; Department of the Environment within the Australian Federal Government; Australian Research Council Future Fellowship [FT130101068]; Flinders University</t>
  </si>
  <si>
    <t>Sea World Research and Rescue Foundation Incorporated (SWRRFI); Winifred Violet Scott Charitable Trust (WVSCT); Australian Marine Mammal Centre within the Australian Antarctic Division; Macquarie University in Australia; Department of Defence; Department of the Environment within the Australian Federal Government; Australian Research Council Future Fellowship(Australian Research Council); Flinders University</t>
  </si>
  <si>
    <t>The genomics component was funded by the Sea World Research and Rescue Foundation Incorporated (SWRRFI) and the Winifred Violet Scott Charitable Trust (WVSCT). The genetic component was funded by the Australian Marine Mammal Centre within the Australian Antarctic Division and Macquarie University in Australia. Sampling off Australia was mainly conducted during a study programme funded by the Department of Defence and the Department of the Environment within the Australian Federal Government. The Dolphin Research Institute Ltd and Applied Ecology Solutions Pty Ltd provided stranded whale samples in Australia. An Australian Research Council Future Fellowship (FT130101068) provided salary to L.B.B. and its Flinders University component provided salary to C.R.M.A.</t>
  </si>
  <si>
    <t>2054-5703</t>
  </si>
  <si>
    <t>ROY SOC OPEN SCI</t>
  </si>
  <si>
    <t>R. Soc. Open Sci.</t>
  </si>
  <si>
    <t>10.1098/rsos.170925</t>
  </si>
  <si>
    <t>FU3UL</t>
  </si>
  <si>
    <t>WOS:000423777300019</t>
  </si>
  <si>
    <t>Aramendia, J; Gomez-Nubla, L; Castro, K; de Vallejuelo, SFO; Arana, G; Maguregui, M; Baonza, VG; Medina, J; Rull, F; Madariaga, JM</t>
  </si>
  <si>
    <t>Aramendia, J.; Gomez-Nubla, L.; Castro, K.; Fdez-Ortiz de Vallejuelo, S.; Arana, G.; Maguregui, M.; Baonza, V. G.; Medina, J.; Rull, F.; Madariaga, J. M.</t>
  </si>
  <si>
    <t>Overview of the techniques used for the study of non-terrestrial bodies: Proposition of novel non-destructive methodology</t>
  </si>
  <si>
    <t>TRAC-TRENDS IN ANALYTICAL CHEMISTRY</t>
  </si>
  <si>
    <t>Meteorites; Impactites; Spectroscopic techniques; Imaging techniques; Combination procedures</t>
  </si>
  <si>
    <t>INDUCED BREAKDOWN SPECTROSCOPY; LIBYAN DESERT GLASS; EARLY SOLAR-SYSTEM; RAMAN-SPECTROSCOPY; MARTIAN METEORITE; ALLENDE METEORITE; IRON-METEORITES; ICP-MS; INCLUSIONS; SURFACE</t>
  </si>
  <si>
    <t>Meteorites and impact glasses have been largely analysed using different techniques, but most studies have been focused on their geological mineralogical characterization and isotopic ratios, mainly of a destructive nature. However, much more information can be gained by applying novel non-destructive analytical procedures and techniques that have been scarcely used to analyse these materials. This overview presents some new methodologies to study these materials and compares these new approaches with the commonly used ones. Techniques such as X-Ray Fluorescence (XRF) and Laser Induced Breakdown Spectroscopy (LIBS), for elemental characterization, the hyphenated Raman spectroscopy-SEM/EDS and the combination of them, allow extracting simultaneous information from elemental, molecular and structural data of the studied sample; furthermore, the spectroscopic image capabilities of such techniques allow a better understanding of the mineralogical distribution. (C) 2017 Elsevier B.V. All rights reserved.</t>
  </si>
  <si>
    <t>[Aramendia, J.; Gomez-Nubla, L.; Castro, K.; Fdez-Ortiz de Vallejuelo, S.; Arana, G.; Maguregui, M.; Madariaga, J. M.] Univ Basque Country, Dept Analyt Chem, UPV EHU, POB 644, E-48080 Bilbao, Spain; [Baonza, V. G.] Univ Complutense, Dept Quim Fis, Fac Ciencias Quim, E-28040 Madrid, Spain; [Medina, J.; Rull, F.] Univ Valladolid, Unidad Asociada UVA CSIC, Ctr Astrobiol, Parque Tecnol Boecillo, E-47151 Valladolid, Spain; [Aramendia, J.; Gomez-Nubla, L.; Castro, K.; Fdez-Ortiz de Vallejuelo, S.; Arana, G.; Maguregui, M.; Baonza, V. G.; Medina, J.; Rull, F.; Madariaga, J. M.] Exomars 2020 Mission ESA Mars, RLS Instrument, Spanish Sci Team, Madrid, Spain</t>
  </si>
  <si>
    <t>University of Basque Country; Complutense University of Madrid; Universidad de Valladolid; Consejo Superior de Investigaciones Cientificas (CSIC); CSIC - Centro de Astrobiologia (INTA)</t>
  </si>
  <si>
    <t>Madariaga, JM (corresponding author), Univ Basque Country, Dept Analyt Chem, UPV EHU, POB 644, E-48080 Bilbao, Spain.</t>
  </si>
  <si>
    <t>juanmanuel.madariaga@ehu.eus</t>
  </si>
  <si>
    <t>Baonza, Valentin Garcia/K-3745-2019; Castro, Kepa/AAI-7842-2020; Arana, Gorka/AGW-4262-2022; Garcia Baonza, Valentin/L-3826-2014; Maguregui, Maite/K-5973-2014; aramendia, julene/I-4816-2015</t>
  </si>
  <si>
    <t>Castro, Kepa/0000-0002-9931-7889; Arana, Gorka/0000-0001-7854-855X; Garcia Baonza, Valentin/0000-0001-9994-0980; Maguregui, Maite/0000-0001-6011-3590; Medina Garcia, Jesus/0000-0003-3434-3100; aramendia, julene/0000-0003-3728-8370</t>
  </si>
  <si>
    <t>project Development of the Raman instrument for the ESA Mission Exomars: Science support, equipment testing and operation support - Spanish Ministry of Economy and Competitiveness (MINECO) [ESP2014-56138-C3-2-R]; European Regional Development Fund (FEDER); SUPERCAMCT Thematic Network (MINECO) [ESP2015-71965-REDT]; NSF; NASA</t>
  </si>
  <si>
    <t>project Development of the Raman instrument for the ESA Mission Exomars: Science support, equipment testing and operation support - Spanish Ministry of Economy and Competitiveness (MINECO); European Regional Development Fund (FEDER)(European Union (EU)); SUPERCAMCT Thematic Network (MINECO); NSF(National Science Foundation (NSF)); NASA(National Aeronautics &amp; Space Administration (NASA))</t>
  </si>
  <si>
    <t>This work has been financially supported through the project Development of the Raman instrument for the ESA Mission Exomars2018: Science support, equipment testing and operation support (Grant No. ESP2014-56138-C3-2-R) funded by the Spanish Ministry of Economy and Competitiveness (MINECO) and the European Regional Development Fund (FEDER). The mobility actions of researchers have been funded by the SUPERCAMCT Thematic Network (Grant. No. ESP2015-71965-REDT of MINECO). The sample of the EETA 79001 meteorite was kindly provided by the US Antarctic Meteorite Program.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from the SGIker (UPV/EHU, MICINN, GV/EJ, ERDF and ESF) of the University of the Basque Country for their collaboration in the analyses.</t>
  </si>
  <si>
    <t>0165-9936</t>
  </si>
  <si>
    <t>1879-3142</t>
  </si>
  <si>
    <t>TRAC-TREND ANAL CHEM</t>
  </si>
  <si>
    <t>Trac-Trends Anal. Chem.</t>
  </si>
  <si>
    <t>10.1016/j.trac.2017.10.018</t>
  </si>
  <si>
    <t>FU5JI</t>
  </si>
  <si>
    <t>WOS:000423888600003</t>
  </si>
  <si>
    <t>Thomas, SAL; von Salm, JL; Clark, S; Ferlita, S; Nemani, P; Azhari, A; Rice, CA; Wilson, NG; Kyle, DE; Baker, BJ</t>
  </si>
  <si>
    <t>Thomas, Santana A. L.; von Salm, Jacqueline L.; Clark, Shane; Ferlita, Steve; Nemani, Prasanth; Azhari, Ala; Rice, Christopher A.; Wilson, Nerida G.; Kyle, Dennis E.; Baker, Bill J.</t>
  </si>
  <si>
    <t>Keikipukalides, Furanocembrane Diterpenes from the Antarctic Deep Sea Octocoral Plumarella delicatissima</t>
  </si>
  <si>
    <t>JOURNAL OF NATURAL PRODUCTS</t>
  </si>
  <si>
    <t>MARINE NATURAL-PRODUCTS; ANTHOZOA; SESQUITERPENES; COELENTERATA; CHEMISTRY; CNIDARIA</t>
  </si>
  <si>
    <t>During a 2013 cruise in the Southern Ocean we collected specimens of the octocoral Plumarella delicatissima between 800 and 950 m depth. Five new furanocembranoid diterpenes, keikipukalides A-E (1-5), the known diterpene pukalide aldehyde (6), and the known norditerpenoid ineleganolide (7) were isolated from the coral. These Plumarella terpenes lack mammalian cytotoxicity, while 2-7 display activity against Leishmania donovani between 1.9 and 12 mu M. Structure elucidation was facilitated by one- and two-dimensional NMR spectroscopy and mass spectrometry, and keikipukalides A and E were confirmed by X-ray crystallography.</t>
  </si>
  <si>
    <t>[Thomas, Santana A. L.; von Salm, Jacqueline L.; Clark, Shane; Ferlita, Steve; Nemani, Prasanth; Baker, Bill J.] Univ S Florida, Dept Chem, Tampa, FL 33620 USA; [Azhari, Ala; Rice, Christopher A.; Kyle, Dennis E.] Univ S Florida, Dept Global Hlth, Tampa, FL 33620 USA; [Thomas, Santana A. L.; von Salm, Jacqueline L.; Azhari, Ala; Rice, Christopher A.; Kyle, Dennis E.; Baker, Bill J.] Univ S Florida, Ctr Drug Discovery &amp; Innovat, Tampa, FL 33620 USA; [Wilson, Nerida G.] Western Australian Museum, Perth, WA 6009, Australia; [Wilson, Nerida G.] Univ Western Australia, Perth, WA 6009, Australia</t>
  </si>
  <si>
    <t>State University System of Florida; University of South Florida; State University System of Florida; University of South Florida; State University System of Florida; University of South Florida; Western Australian Museum; University of Western Australia</t>
  </si>
  <si>
    <t>Baker, BJ (corresponding author), Univ S Florida, Dept Chem, Tampa, FL 33620 USA.;Baker, BJ (corresponding author), Univ S Florida, Ctr Drug Discovery &amp; Innovat, Tampa, FL 33620 USA.</t>
  </si>
  <si>
    <t>bjbaker@usf.edu</t>
  </si>
  <si>
    <t>Rice, Christopher/JSL-3869-2023; Baker, Bill/N-4312-2019; Azhari, Ala/AAW-3296-2020; Wilson, Nerida G./AAC-1456-2019; Wilson, Nerida/G-8433-2011</t>
  </si>
  <si>
    <t>Rice, Christopher/0009-0006-2290-9567; Wilson, Nerida/0000-0002-0784-0200; von Salm, Jacqueline/0000-0003-2277-5491; Kyle, Dennis/0000-0002-0238-965X; Clark, Shane/0000-0002-0014-2071; Baker, Bill/0000-0003-3033-5779; Azhari, Ala/0000-0001-8519-2619; Rice, Christopher/0000-0003-0672-9604</t>
  </si>
  <si>
    <t>Antarctic Organisms and Ecosystems program of the National Science Foundation [ANT-1043749, ANT-0838776, PLR-1341339]; National Institute of Allergy and Infectious Diseases [AI103673]; Center of Excellence award from the State of Florida</t>
  </si>
  <si>
    <t>Antarctic Organisms and Ecosystems program of the National Science Foundation; National Institute of Allergy and Infectious Diseases(United States Department of Health &amp; Human ServicesNational Institutes of Health (NIH) - USANIH National Institute of Allergy &amp; Infectious Diseases (NIAID)); Center of Excellence award from the State of Florida</t>
  </si>
  <si>
    <t>We would like to thank the scientists and crew aboard the Nathaniel B. Palmer that aided our research efforts during the 2013 research cruise. For the crystallographic data, we thank Dr. L. Wojtas and W. Gao for their assistance. Funding for this project was provided by grants ANT-1043749 (N.G.W.), ANT-0838776, and PLR-1341339 (to B.J.B.), from the Antarctic Organisms and Ecosystems program of the National Science Foundation, by grant AI103673 (to B.J.B. and D.E.K.) from the National Institute of Allergy and Infectious Diseases, and a by a Center of Excellence award from the State of Florida to support the Center for Drug Discovery and Innovation, whose facilities made much of the chemical analysis possible. G. W. Rouse, Scripps Institution of Oceanography, was instrumental in the logistical and conceptual implementation of the field work. We are grateful for screening against ESKAPE pathogens in the lab of Dr. L. Shaw, against Clostridium difficile in the lab of Dr. X. Sun, and against Naegleria fowleri by Dr. C. Rice in the Kyle lab.</t>
  </si>
  <si>
    <t>AMER CHEMICAL SOC</t>
  </si>
  <si>
    <t>1155 16TH ST, NW, WASHINGTON, DC 20036 USA</t>
  </si>
  <si>
    <t>0163-3864</t>
  </si>
  <si>
    <t>1520-6025</t>
  </si>
  <si>
    <t>J NAT PROD</t>
  </si>
  <si>
    <t>J. Nat. Prod.</t>
  </si>
  <si>
    <t>10.1021/acs.jnatprod.7b00732</t>
  </si>
  <si>
    <t>Plant Sciences; Chemistry, Medicinal; Pharmacology &amp; Pharmacy</t>
  </si>
  <si>
    <t>Science Citation Index Expanded (SCI-EXPANDED); Index Chemicus (IC)</t>
  </si>
  <si>
    <t>Plant Sciences; Pharmacology &amp; Pharmacy</t>
  </si>
  <si>
    <t>FU3UZ</t>
  </si>
  <si>
    <t>WOS:000423778900017</t>
  </si>
  <si>
    <t>Xiang, XR; Wan, XM; Suo, HB; Hu, Y</t>
  </si>
  <si>
    <t>Xiang Xinran; Wan Xiaomei; Suo Hongbo; Hu Yi</t>
  </si>
  <si>
    <t>Study of Surface Modifications of Multiwalled Carbon Nanotubes by Functionalized Ionic Liquid to Immobilize Candida antarctic lipase B</t>
  </si>
  <si>
    <t>ACTA PHYSICO-CHIMICA SINICA</t>
  </si>
  <si>
    <t>Carbon nanotube; Immobilized enzyme; Ionic liquid; Carbon-based material; Surface modification</t>
  </si>
  <si>
    <t>BURKHOLDERIA-CEPACIA LIPASE; PROTEINS; STABILITY; PROGRESS; ENZYMES; SBA-15; STABILIZATION</t>
  </si>
  <si>
    <t>Multiwalled carbon nanotubes modified on the surface by imidazole ionic liquids with different types of anions (Br-, BF4-, PF6- or H2PO4-) as a new-generation carrier were fabricated. Subsequently, Candida antarctic lipase B (CALB) was immobilized on the functionalized MWNTs via physical attachment, and its enzymology properties were tested. The morphology of the MWNTs before and after the modification was determined by transmission electron microscopy (TEM), Raman spectroscopy, thermo gravimetric analysis (TGA), and X-ray photoelectron spectroscopy (XPS). These characterizations were used to study the influence of surface modification of materials on the enzymatic properties. The results revealed that CALB immobilized on MWNTs modified by ionic liquids not only had a higher specific activity as compared with that of CALB immobilized on pure MWNTs, but also better tolerance (high temperature, high pH), thermostability, and reusability. The different anions of ionic liquids, which were used to modify MWNTs, exert a remarkable effect on the properties of immobilized enzyme. The specific activity of MWNTs-IL (PF6-)-CALB were the highest and were five times higher than that of MWNTs-CALB with no modification. The analysis of kinetic parameters of immobilized enzymes showed that the modification of ionic liquids for carriers enhanced the affinity between the enzyme and the substrate, so as to increase the enzyme activity.</t>
  </si>
  <si>
    <t>[Xiang Xinran; Wan Xiaomei; Suo Hongbo; Hu Yi] Nanjing Tech Univ, Sch Pharmaceut Sci, State Key Lab Mat Oriented Chem Engn, Nanjing 210009, Jiangsu, Peoples R China</t>
  </si>
  <si>
    <t>Nanjing Tech University</t>
  </si>
  <si>
    <t>Hu, Y (corresponding author), Nanjing Tech Univ, Sch Pharmaceut Sci, State Key Lab Mat Oriented Chem Engn, Nanjing 210009, Jiangsu, Peoples R China.</t>
  </si>
  <si>
    <t>huyi@njtech.edu.cn</t>
  </si>
  <si>
    <t>National Natural Science Foundation of China [21676143]; Qing Lan Project of Jiangsu Province; Program for Innovative Research Team in University of Jiangsu Province, China</t>
  </si>
  <si>
    <t>National Natural Science Foundation of China(National Natural Science Foundation of China (NSFC)); Qing Lan Project of Jiangsu Province; Program for Innovative Research Team in University of Jiangsu Province, China</t>
  </si>
  <si>
    <t>The project was supported by the National Natural Science Foundation of China (21676143), Qing Lan Project of Jiangsu Province and Program for Innovative Research Team in University of Jiangsu Province, China.</t>
  </si>
  <si>
    <t>PEKING UNIV PRESS</t>
  </si>
  <si>
    <t>PEKING UNIV, CHEMISTRY BUILDING, BEIJING 100871, PEOPLES R CHINA</t>
  </si>
  <si>
    <t>1000-6818</t>
  </si>
  <si>
    <t>ACTA PHYS-CHIM SIN</t>
  </si>
  <si>
    <t>Acta Phys.-Chim. Sin.</t>
  </si>
  <si>
    <t>10.3866/PKU.WHXB201706262</t>
  </si>
  <si>
    <t>Chemistry, Physical</t>
  </si>
  <si>
    <t>FU2PE</t>
  </si>
  <si>
    <t>WOS:000423691400014</t>
  </si>
  <si>
    <t>Prothro, LO; Simkins, LM; Majewski, W; Anderson, JB</t>
  </si>
  <si>
    <t>Prothro, Lindsay O.; Simkins, Lauren M.; Majewski, Wojciech; Anderson, John B.</t>
  </si>
  <si>
    <t>Glacial retreat patterns and processes determined from integrated sedimentology and geomorphology records</t>
  </si>
  <si>
    <t>Antarctica; Grounding line; Sediments; Glacial landforms; Deglaciation</t>
  </si>
  <si>
    <t>ANTARCTIC ICE-SHEET; PINE ISLAND BAY; PLEISTOCENE-HOLOCENE RETREAT; WESTERN ROSS SEA; GROUNDING-ZONE; SUBGLACIAL TILL; CONTINENTAL-SHELF; MARGUERITE BAY; FLOW DYNAMICS; MARINE</t>
  </si>
  <si>
    <t>Although hundreds of cores have been collected on the Antarctic continental shelf over the past five decades, definitive interpretations of depositional environments associated with marine-based ice advance and retreat are hindered by similarities in sediment fades and a lack of geomorphic context. The recent use of an advanced multibeam bathymetry system allows for more detailedice sheet reconstructions from glacial landforms that were previously not resolved with older generation systems. Here we present results from a recent cruise to the Ross Sea, Antarctica that focuses on integrating sediment facies analyses into a geomorphic framework to confidently determine depositional environments and sedimentological processes since the Last Glacial Maximum. Grain-size analysis, geotechnical properties, and micropaleontology from targeted sediment cores are used to develop improved criteria for making the distinction between subglacial diamictons and ice-proximal diamictons, which can be applied to geomorphically blind sediment cores. Our consideration of geomorphic context while interpreting sediment facies has also allowed us to determine that most debris melted out of the base of paleo-ice shelves in the Ross Sea only 1.2 km seaward of the grounded ice margin. Additionally, we find that agglutinated foraminifera specimens are characteristic of sluggish marine currents and a resulting accumulation of siliceous detritus rich in organic matter; however, calcareous specimens dominate in higher-energy current settings and in ice-proximal environments with lesser amounts of siliceous detritus and associated organic material. Overall, sedimentary successions record contrasting behaviors of the West Antarctic and East Antarctic ice sheets that extended onto the continental shelf during the Last Glacial Maximum. Not only is this coupled geomorphic and sedimentologic approach useful for understanding glacimarine processes and ice-sheet retreat patterns, but it is essential for selecting appropriate fades transitions for chronological constraints of past ice sheet behavior.</t>
  </si>
  <si>
    <t>[Prothro, Lindsay O.; Simkins, Lauren M.; Anderson, John B.] Rice Univ, Dept Earth Environm &amp; Planetary Sci, 6100 Main St, Houston, TX 77005 USA; [Majewski, Wojciech] Polish Acad Sci, Inst Paleobiol, Twarda 51-55, PL-00818 Warsaw, Poland</t>
  </si>
  <si>
    <t>Rice University; Polish Academy of Sciences; Institute of Paleobiology of the Polish Academy of Sciences</t>
  </si>
  <si>
    <t>Prothro, LO (corresponding author), Rice Univ, Dept Earth Environm &amp; Planetary Sci, 6100 Main St, Houston, TX 77005 USA.</t>
  </si>
  <si>
    <t>lindsay.prothro@rice.edu</t>
  </si>
  <si>
    <t>Prothro, Lindsay/Y-9837-2019; Majewski, Wojciech/D-9255-2017</t>
  </si>
  <si>
    <t>Prothro, Lindsay/0000-0003-3385-8487; Majewski, Wojciech/0000-0002-5407-1782; Miller, Lauren/0000-0002-9075-5196</t>
  </si>
  <si>
    <t>National Science Foundation [NSF-PLR 1246353]; Directorate For Geosciences; Office of Polar Programs (OPP) [1246353] Funding Source: National Science Foundation</t>
  </si>
  <si>
    <t>National Science Foundation(National Science Foundation (NSF)); Directorate For Geosciences; Office of Polar Programs (OPP)(National Science Foundation (NSF)NSF - Directorate for Geosciences (GEO))</t>
  </si>
  <si>
    <t>We thank the crew of the RV/IB Nathaniel B. Palmer and the Antarctic Support Contract personnel for their efforts toward a successful expedition. We are grateful to Philip Bart and LSU students for shipboard assistance, Sarah Greenwood for help with shipboard data acquisition and post-cruise discussions, Adlai Fonseca for laboratory assistance, and Charlotte Sjunneskog and Steven Petrushak of the FSU Antarctic Research Facility for geotechnical assistance. This work was funded by the National Science Foundation [NSF-PLR 1246353 to JBA]</t>
  </si>
  <si>
    <t>10.1016/j.margeo.2017.09.012</t>
  </si>
  <si>
    <t>WOS:000423645300009</t>
  </si>
  <si>
    <t>Picard, K; Brooke, BP; Harris, PT; Siwabessy, PJW; Coffin, MF; Tran, M; Spinoccia, M; Weales, J; Macmillan-Lawler, M; Sullivan, J</t>
  </si>
  <si>
    <t>Picard, Kim; Brooke, Brendan P.; Harris, Peter T.; Siwabessy, Paulus J. W.; Coffin, Millard F.; Tran, Maggie; Spinoccia, Michele; Weales, Jonathan; Macmillan-Lawler, Miles; Sullivan, Jonah</t>
  </si>
  <si>
    <t>Malaysia Airlines flight MH370 search data reveal geomorphology and seafloor processes in the remote southeast Indian Ocean</t>
  </si>
  <si>
    <t>Indian Ocean; Multibeam echosounder; Geomorphology; Processes; Deepsea; Seamount</t>
  </si>
  <si>
    <t>KERGUELEN PLATEAU; RIDGE; SEGMENTATION; BATHYMETRY; DISCOVERY</t>
  </si>
  <si>
    <t>A high-resolution multibeam echosounder (MBES) dataset covering over 279,000 km(2) was acquired in the southeastern Indian Ocean to assist the search for Malaysia Airlines Flight 370 (MH370) that disappeared on 8 March 2014. The data provided an essential geospatial framework for the search and is the first large-scale coverage of MBES data in this region. Here we report on geomorphic analyses of the new MBES data, including a comparison with the Global Seafloor Geomorphic Features Map (GSFM) that is based on coarser resolution satellite altimetry data, and the insights the new data provide into geological processes that have formed and are currently shaping this remote deepsea area. Our comparison between the new MBES bathymetric model and the latest global topographic/bathymetric model (SRTM15_plus) reveals that 62% of the satellite-derived data points for the study area are comparable with MBES measurements within the estimated vertical uncertainty of the SRTM15_plus model (+/- 100m). However, &gt; 38% of the SRTM15_plus depth estimates disagree with the MBES data by &gt; 100 m, in places by up to 1900 m. The new MBES data show that abyssal plains and basins in the study area are significantly more rugged than their representation in the GSFM, with a 20% increase in the extent of hills and mountains. The new model also reveals four times more seamounts than presented in the GSFM, suggesting more of these features than previously estimated for the broader region. This is important considering the ecological significance of high-relief structures on the seabed, such as hosting high levels of biodiversity. Analyses of the new data also enabled sea knolls, fans, valleys, canyons, troughs, and holes to be identified, doubling the number of discrete features mapped. Importantly, mapping the study area using MBES data improves our understanding of the geological evolution of the region and reveals a range of modern sedimentary processes. For example, a large series of ridges extending over approximately 20% of the mapped area, in places capped by sea knolls, highlight the preserved seafloor spreading fabric and provide valuable insights into Southeast Indian Ridge seafloor spreading processes, especially volcanism. Rifting is also recorded along the Broken Ridge - Diamantina Escarpment, with rift blocks and well-bedded sedimentary bedrock outcrops discernible down to 2400 m water depth. Modern ocean floor sedimentary processes are documented by sediment mass transport features, especially along the northern margin of Broken Ridge, and in pockmarks (the finest-scale features mapped), which are numerous south of Diamantina Trench and appear to record gas and/or fluid discharge from underlying marine sediments The new MBES data highlight the complexity of the search area and serve to demonstrate how little we know about the vast areas of the ocean that have not been mapped with MBES. The availability of high-resolution and accurate maps of the ocean floor can clearly provide new insights into the Earth's geological evolution, modern ocean floor processes, and the location of sites that are likely to have relatively high biodiversity.</t>
  </si>
  <si>
    <t>[Picard, Kim; Brooke, Brendan P.; Siwabessy, Paulus J. W.; Tran, Maggie; Spinoccia, Michele; Weales, Jonathan; Sullivan, Jonah] Geosci Australia, Environm Geosci Div, GPO Box 378, Canberra, ACT 2601, Australia; [Harris, Peter T.; Macmillan-Lawler, Miles] GRID Arendal, Postboks 183, N-4802 Arendal, Norway; [Coffin, Millard F.] Univ Tasmania, Inst Marine &amp; Antarctic Studies, Private Bag 129, Hobart, Tas 7001, Australia; [Coffin, Millard F.] Univ Maine, Sch Earth &amp; Climate Sci, Orono, ME 04473 USA; [Coffin, Millard F.] Woods Hole Oceanog Inst, Woods Hole, MA 02543 USA</t>
  </si>
  <si>
    <t>Geoscience Australia; University of Tasmania; University of Maine System; University of Maine Orono; Woods Hole Oceanographic Institution</t>
  </si>
  <si>
    <t>Picard, K (corresponding author), Geosci Australia, Environm Geosci Div, GPO Box 378, Canberra, ACT 2601, Australia.</t>
  </si>
  <si>
    <t>kim.picard@ga.gov.au</t>
  </si>
  <si>
    <t>Harris, Peter/AAI-7100-2020; Coffin, Millard F/H-4619-2011; Siwabessy, Justy/I-1818-2019</t>
  </si>
  <si>
    <t>Coffin, Millard F/0000-0001-9960-0038; Siwabessy, Justy/0000-0002-8399-5909; Picard, Kim/0000-0002-9797-6012; Brooke, Brendan Patrick/0000-0002-0185-568X</t>
  </si>
  <si>
    <t>10.1016/j.margeo.2017.10.014</t>
  </si>
  <si>
    <t>WOS:000423645300022</t>
  </si>
  <si>
    <t>Fischer, MD; Uenzelmann-Neben, G</t>
  </si>
  <si>
    <t>Fischer, Maximilian D.; Uenzelmann-Neben, Gabriele</t>
  </si>
  <si>
    <t>Late Cretaceous onset of current controlled sedimentation in the African-Southern Ocean gateway</t>
  </si>
  <si>
    <t>Contourite; Cretaceous; Southern Ocean; Mozambique Ridge; Paleoceanography; Seismic reflection data</t>
  </si>
  <si>
    <t>LARGE IGNEOUS PROVINCES; CONTOURITE DEPOSITIONAL SYSTEM; TRANSKEI BASIN; MOZAMBIQUE RIDGE; NATAL VALLEY; ANTARCTIC PENINSULA; CONTINENTAL-MARGIN; AGULHAS PLATEAU; EARLY MIOCENE; DEEP-WATER</t>
  </si>
  <si>
    <t>During the breakup of Gondwana the Mozambique Ridge, a Large Igneous Province emplaced between 140 and 125 Ma, was located in the evolving African-Southern Ocean gateway. Therefore, it represents an archive of the evolving exchange of water masses between the South Atlantic and Indian Ocean via the development of surface, intermediate, and bottom circulation. Two Cretaceous seismic units (Si and S2a) were deposited on top of magmatic basement separated by a hiatus. Unit S1 mostly shows seismic reflections parallel to the top of the basement and no indications of current activity. The occurrence of several sediment drifts within seismic unit S2a indicates the onset of current controlled sedimentation. Based on our observations we propose deposition under partly euxinic conditions in the area of the Mozambique Ridge until similar to 100 Ma. The onset of a strong shallow circulation affecting deposition at the Mozambique Ridge is inferred by the Late Cretaceous similar to 25 Myr hiatus reported by drilling results and documented in the seismic records, whereas black shales deposited in the nearby deep Transkei Basin indicate a restricted deep circulation at least until similar to 85-80 Ma. We propose that the observed hiatus might be a consequence of a late Early Cretaceous uplift of the Mozambique Ridge and the progressive opening of the Agulhas Passage allowing inflow of surface (Upper Pacific Water, Upper North Atlantic Water) and intermediate water (Intermediate Southern Ocean Water) into the study area. The intense circulation that caused the hiatus seems to have weakened in Campanian times, which is documented by the occurrence of sediment drifts in seismic unit S2a. We suggest that the onset of current controlled sedimentation was caused by palaeogeographic modifications in the Atlantic Ocean along with relocation of circulation pathways. Our results illustrate the crucial role of the African-Southern Ocean gateway in the commencing water mass exchange between the Atlantic and Indian Ocean and highlight the complex interactions that eventually lead to the initiation of a proto-Antarctic Circumpolar Current in Turonian times.</t>
  </si>
  <si>
    <t>[Fischer, Maximilian D.; Uenzelmann-Neben, Gabriele] Helmholtz Zentnun Polar &amp; Meeresforsch, Alfred Wegener Inst, Alten Hafen 26, D-27568 Bremerhaven, Germany</t>
  </si>
  <si>
    <t>Helmholtz Association; Alfred Wegener Institute, Helmholtz Centre for Polar &amp; Marine Research</t>
  </si>
  <si>
    <t>Fischer, MD (corresponding author), Helmholtz Zentnun Polar &amp; Meeresforsch, Alfred Wegener Inst, Alten Hafen 26, D-27568 Bremerhaven, Germany.</t>
  </si>
  <si>
    <t>Maximilian.Fischer@awi.de</t>
  </si>
  <si>
    <t>Uenzelmann-Neben, Gabriele/AAI-8618-2020</t>
  </si>
  <si>
    <t>Uenzelmann-Neben, Gabriele/0000-0002-0115-5923; Fischer, Maximilian David/0000-0001-9869-7966</t>
  </si>
  <si>
    <t>German Federal Ministry of Education and Research (BMBF) [03G0232A]; Alfred-Wegener-Institut</t>
  </si>
  <si>
    <t>German Federal Ministry of Education and Research (BMBF)(Federal Ministry of Education &amp; Research (BMBF)); Alfred-Wegener-Institut</t>
  </si>
  <si>
    <t>We want to express our gratitude to Captain Detlef Korte and his officers and crew of RV Sonne for their professional and enthusiastic engagement and service during the scientific program of this leg. The cruise leg SO 232 and the project SLIP were funded by the German Federal Ministry of Education and Research (BMBF) under project number 03G0232A. Additional funding has been provided by the Alfred-Wegener-Institut.</t>
  </si>
  <si>
    <t>10.1016/j.margeo.2017.11.017</t>
  </si>
  <si>
    <t>WOS:000423645300028</t>
  </si>
  <si>
    <t>Casabianca, S; Penna, A; Capellacci, S; Cangiotti, M; Ottaviani, MF</t>
  </si>
  <si>
    <t>Casabianca, Silvia; Penna, Antonella; Capellacci, Samuela; Cangiotti, Michela; Ottaviani, Maria Francesca</t>
  </si>
  <si>
    <t>Silicification process in diatom algae using different silicon chemical sources: Colloidal silicic acid interactions at cell surface</t>
  </si>
  <si>
    <t>COLLOIDS AND SURFACES B-BIOINTERFACES</t>
  </si>
  <si>
    <t>EPR; Diatom; Silicic acid; SILs; SITs; Thalassiosira pseudonana</t>
  </si>
  <si>
    <t>THALASSIOSIRA-PSEUDONANA; BIOGENIC SILICA; CYLINDROTHECA-FUSIFORMIS; MARINE; TRANSPORTERS; DISSOLUTION; INSIGHTS; GROWTH; MODEL; WATER</t>
  </si>
  <si>
    <t>The silicon transport and use inside cells are key processes for understanding how diatoms metabolize this element in the silica biogenic cycle in the ocean. A spin-probe electron paramagnetic resonance (EPR) study over time helped to investigate the interacting properties and the internalization mechanisms of silicic acid from different silicon sources into the cells. Diatom cells were grown in media containing biogenic amorphous substrates, such as diatomaceous earth and sponge spicules, and crystalline sodium metasilicate. It was found that the amorphous biogenic silicon slowed down the internalization process probably due to formation of colloidal particles at the cell surface after silicic acid condensation. Weaker interactions occurred with sponge spicules silicon source if compared to the other sources. The EPR results were explained by analyzing transcript level changes of silicon transporters (SITs) and silaffins (SILs) in synchronized Thalassiosira pseudonana cultures over time. The results indicated that the transport role of SITs is minor for silicic acid from both biogenic and crystalline substrates, and the role of SIT3 is linked to the transport of silicon inside the cells, mainly in the presence of sponge spicules. SIL3 transcripts were expressed in the presence of all silicon sources, while SIL1 transcripts only with sponge spicules. The data suggest that the transport of silicic acid from various silicon sources in diatoms is based on different physico-chemical interactions with the cell surface. (C) 2017 Elsevier B.V. All rights reserved.</t>
  </si>
  <si>
    <t>[Casabianca, Silvia; Penna, Antonella; Capellacci, Samuela] Univ Urbino, Dept Biomol Sci, Viale Trieste 292, I-61121 Pesaro, Italy; [Casabianca, Silvia; Penna, Antonella; Capellacci, Samuela] Consorzio Interuniv Sci Mare Conisma, I-00196 Rome, Italy; [Penna, Antonella] ISMAR CNR, Inst Marine Sci, I-260125 Ancona, Italy; [Cangiotti, Michela; Ottaviani, Maria Francesca] Univ Urbino, Dept Pure &amp; Appl Sci, I-61029 Urbino, Italy</t>
  </si>
  <si>
    <t>University of Urbino; CoNISMa; Consiglio Nazionale delle Ricerche (CNR); Istituto di Scienze Marine (ISMAR-CNR); University of Urbino</t>
  </si>
  <si>
    <t>Casabianca, S; Penna, A (corresponding author), Univ Urbino, Dept Biomol Sci, Viale Trieste 292, I-61121 Pesaro, Italy.;Ottaviani, MF (corresponding author), Dept Pure &amp; Appl Sci, Via Ca Le Suore 2-4, I-61029 Urbino, Italy.</t>
  </si>
  <si>
    <t>silvia.casabianca@uniurb.it; antonella.penna@uniurb.it; maria.ottaviani@uniurb.it</t>
  </si>
  <si>
    <t>Cangiotti, Michela/ABA-8544-2021</t>
  </si>
  <si>
    <t>Cangiotti, Michela/0000-0002-5713-7740</t>
  </si>
  <si>
    <t>National Programme of Antarctic Research PNRA [2010/A1.06]</t>
  </si>
  <si>
    <t>National Programme of Antarctic Research PNRA</t>
  </si>
  <si>
    <t>This publication has been produced with the financial support of National Programme of Antarctic Research PNRA 2010/A1.06.</t>
  </si>
  <si>
    <t>0927-7765</t>
  </si>
  <si>
    <t>1873-4367</t>
  </si>
  <si>
    <t>COLLOID SURFACE B</t>
  </si>
  <si>
    <t>Colloid Surf. B-Biointerfaces</t>
  </si>
  <si>
    <t>10.1016/j.colsurfb.2017.11.032</t>
  </si>
  <si>
    <t>Biophysics; Chemistry, Physical; Materials Science, Biomaterials</t>
  </si>
  <si>
    <t>Biophysics; Chemistry; Materials Science</t>
  </si>
  <si>
    <t>FU1UX</t>
  </si>
  <si>
    <t>WOS:000423636100072</t>
  </si>
  <si>
    <t>Galushkin, YI; Leitchenkov, GL; Guseva, YB; Dubinin, EP</t>
  </si>
  <si>
    <t>Galushkin, Yu. I.; Leitchenkov, G. L.; Guseva, Yu. B.; Dubinin, E. P.</t>
  </si>
  <si>
    <t>The stretching amplitude and thermal regime of the lithosphere in the nonvolcanic passive margin of Antarctica in the Mawson Sea region</t>
  </si>
  <si>
    <t>IZVESTIYA-PHYSICS OF THE SOLID EARTH</t>
  </si>
  <si>
    <t>Antarctic; Mawson Sea; passive margin; basin modeling; tectonic subsidence</t>
  </si>
  <si>
    <t>EXTENSION; SERPENTINIZATION; EVOLUTION</t>
  </si>
  <si>
    <t>The burial history and thermal evolution of the lithosphere within the passive nonvolcanic Antarctic margin in the region of the Mawson Sea are numerically reconstructed for the margin areas along the seismic profile 5909 with the use of the GALO basin modeling system. The amplitudes of the lithosphere stretching at the different stages of continental rifting which took place from 160 to 90 Ma ago are calculated from the geophysical estimates of the thickness of the consolidated crust and the tectonic analysis of the variations in the thickness of the sedimentary cover and sea depths during the evolution of the basin. It is hypothesized that the formation of the recent sedimentary section sequence in the studied region of the Antarctic margin began similar to 140 Ma ago on a basement that was thinned by a factor of 1.6 to 4.5 during the first episode of margin stretching (160-140 Ma) under a fairly high heat flux. The reconstruction of the thermal regime of the lithosphere has shown that the mantle rocks could occur within the temperature interval of serpentinization and simultaneously within the time interval of lithospheric stretching (-160 &lt; t &lt;-90 Ma) only within separate segments of profile 5909 in the Mawson Sea. The calculations of the rock strength distribution with depth by the example of the section of pseudowell 4 have shown that a significant part of the crust and uppermost mantle fall here in the region of brittle deformations in the most recent period of lithosphere stretching (-104 to-90 Ma ago). The younger basin segments of profile 5909 in the region of pseudowells 5 and 6 are characterized by a high heat flux, and the formation of through-thickness brittle fractures in these zones is less probable. However, serpentinization could take place in these areas as in the other margin segments at the stage of presedimentation ultra slow basement stretching.</t>
  </si>
  <si>
    <t>[Galushkin, Yu. I.; Dubinin, E. P.] Moscow MV Lomonosov State Univ, Earth Sci Museum, Museum Nat Hist, Moscow 119991, Russia; [Leitchenkov, G. L.; Guseva, Yu. B.] Gramberg All Russia Sci Res Inst Geol &amp; Mineral R, St Petersburg 190121, Russia; [Leitchenkov, G. L.] St Petersburg State Univ, St Petersburg 199034, Russia</t>
  </si>
  <si>
    <t>Lomonosov Moscow State University; Saint Petersburg State University</t>
  </si>
  <si>
    <t>Galushkin, YI (corresponding author), Moscow MV Lomonosov State Univ, Earth Sci Museum, Museum Nat Hist, Moscow 119991, Russia.</t>
  </si>
  <si>
    <t>yu_gal@mail.ru; german_l@mail.ru; edubinin-08@rambler.ru</t>
  </si>
  <si>
    <t>Russian Foundation for basic Research [16-17-10139]</t>
  </si>
  <si>
    <t>Russian Foundation for basic Research(Russian Foundation for Basic Research (RFBR)Spanish Government)</t>
  </si>
  <si>
    <t>The work was supported by the Russian Foundation for basic Research (project no. 16-17-10139).</t>
  </si>
  <si>
    <t>1069-3513</t>
  </si>
  <si>
    <t>1555-6506</t>
  </si>
  <si>
    <t>IZV-PHYS SOLID EART+</t>
  </si>
  <si>
    <t>Izv.-Phys. Solid Earth</t>
  </si>
  <si>
    <t>10.1134/S106935131801007X</t>
  </si>
  <si>
    <t>FU1CC</t>
  </si>
  <si>
    <t>WOS:000423585900007</t>
  </si>
  <si>
    <t>Strugnell, JM; Pedro, JB; Wilson, NG</t>
  </si>
  <si>
    <t>Strugnell, Jan M.; Pedro, Joel B.; Wilson, Nerida G.</t>
  </si>
  <si>
    <t>Dating Antarctic ice sheet collapse: Proposing a molecular genetic approach</t>
  </si>
  <si>
    <t>QUATERNARY SCIENCE REVIEWS</t>
  </si>
  <si>
    <t>Antarctic; West Antarctic Ice Sheet; Marine ice sheet instability; Interglacial; Eemian; Genetic</t>
  </si>
  <si>
    <t>SEA-LEVEL RISE; CRYPTIC SPECIATION; BIOGEOGRAPHY; VARIABILITY; DIVERGENCE; INFERENCE; HISTORY; SURFACE; BED</t>
  </si>
  <si>
    <t>Sea levels at the end of this century are projected to be 0.26-0.98 m higher than today. The upper end of this range, and even higher estimates, cannot be ruled out because of major uncertainties in the dynamic response of polar ice sheets to a warming climate. Here, we propose an ecological genetics approach that can provide insight into the past stability and configuration of the West Antarctic Ice Sheet (WAIS). We propose independent testing of the hypothesis that a trans-Antarctic seaway occurred at the last interglacial. Examination of the genomic signatures of bottom-dwelling marine species using the latest methods can provide an independent window into the integrity of the WAIS more than 100,000 years ago. Periods of connectivity facilitated by trans-Antarctic seaways could be revealed by dating coalescent events recorded in DNA. These methods allow alternative scenarios to be tested against a fit to genomic data. Ideal candidate taxa for this work would need to possess a circumpolar distribution, a benthic habitat, and some level of genetic structure indicated by phylogeographical investigation. The purpose of this perspective piece is to set out an ecological genetics method to help resolve when the West Antarctic Ice Shelf last collapsed. (C) 2017 Elsevier Ltd. All rights reserved.</t>
  </si>
  <si>
    <t>[Strugnell, Jan M.] James Cook Univ, Ctr Sustainable Trop Fisheries &amp; Aquaculture, Townsville, Qld 4810, Australia; [Strugnell, Jan M.] La Trobe Univ, Dept Ecol Environm &amp; Evolut, Melbourne, Vic 3086, Australia; [Pedro, Joel B.] Univ Copenhagen, Ctr Ice &amp; Climate, Niels Bohr Inst, DK-2100 Copenhagen, Denmark; [Wilson, Nerida G.] Western Australian Museum, Mol Systemat Unit, Welshpool, WA 6106, Australia; [Wilson, Nerida G.] Univ Western Australia, Anim Biol, Crawley, WA 6009, Australia</t>
  </si>
  <si>
    <t>James Cook University; Melbourne Genomics Health Alliance; La Trobe University; University of Copenhagen; Niels Bohr Institute; Western Australian Museum; University of Western Australia</t>
  </si>
  <si>
    <t>Strugnell, JM (corresponding author), James Cook Univ, Ctr Sustainable Trop Fisheries &amp; Aquaculture, Townsville, Qld 4810, Australia.</t>
  </si>
  <si>
    <t>jan.strugnell@jcu.edu.au</t>
  </si>
  <si>
    <t>Wilson, Nerida G./AAC-1456-2019; Pedro, Joel/M-5632-2014; Strugnell, Jan M/P-9921-2016; Pedro, Joel Benjamin/L-8918-2019; Wilson, Nerida/G-8433-2011</t>
  </si>
  <si>
    <t>Pedro, Joel/0000-0002-0728-2712; Pedro, Joel Benjamin/0000-0002-0728-2712; Strugnell, Jan/0000-0003-2994-637X; Wilson, Nerida/0000-0002-0784-0200</t>
  </si>
  <si>
    <t>Thomas Davies Research Fund; Ferring Pharmaceuticals; ACE Foundation; European Research Council under the European Community's Seventh Framework Programme (FP7)/ERC [610055]</t>
  </si>
  <si>
    <t>Thomas Davies Research Fund; Ferring Pharmaceuticals(Ferring Pharmaceuticals); ACE Foundation; European Research Council under the European Community's Seventh Framework Programme (FP7)/ERC(European Research Council (ERC))</t>
  </si>
  <si>
    <t>We would like to thank the Thomas Davies Research Fund (JMS), the ACE expedition (carried out by the Swiss Polar Institute, supported by the ACE Foundation and Ferring Pharmaceuticals (NGW)), and the SCAR Biology Programme AntEco (State of the Antarctic Ecosystem). JBP acknowledges support from the European Research Council under the European Community's Seventh Framework Programme (FP7/2007-2013)/ERC grant agreement 610055. We thank Tim Naish for providing valuable comments which improved the manuscript.</t>
  </si>
  <si>
    <t>0277-3791</t>
  </si>
  <si>
    <t>1873-457X</t>
  </si>
  <si>
    <t>QUATERNARY SCI REV</t>
  </si>
  <si>
    <t>Quat. Sci. Rev.</t>
  </si>
  <si>
    <t>10.1016/j.quascirev.2017.11.014</t>
  </si>
  <si>
    <t>FT6DX</t>
  </si>
  <si>
    <t>WOS:000423245600009</t>
  </si>
  <si>
    <t>Coady, D; Gogarty, B; McGee, J</t>
  </si>
  <si>
    <t>Coady, David; Gogarty, Brendan; McGee, Jeffrey</t>
  </si>
  <si>
    <t>Scientific whaling and how philosophy of science can help break the international deadlock</t>
  </si>
  <si>
    <t>AUSTRALIAN JOURNAL OF INTERNATIONAL AFFAIRS</t>
  </si>
  <si>
    <t>Courts; experts; international law; philosophy; science; whaling</t>
  </si>
  <si>
    <t>Despite widespread public interest on the topic of whaling, there is at present relatively little work on how philosophy might contribute to analysis of the status of whaling in international law. When philosophers have looked at the topic of whaling, they have confined their attention to a fairly narrow set of ethical questions, such as whether international law should permit certain forms of traditional indigenous whaling or extend legal rights to whales themselves. However, there is another important issue which has so far been largely neglected by philosophy, even though it is at the forefront of current international legal disputes over the status of whaling: the issue of so-called scientific whaling'. This article considers the international legal dispute between Australia, New Zealand and Japan over the latter's lethal harvesting of whales in the Southern Ocean, and the recent attempt at resolution by the International Court of Justice. On its face, this required that the Court demarcate scientific' from unscientific' activity; however, it effectively baulked at this task. The authors argue that this approach of the Court was unfortunate, and that demarcating science from commerce is not only achievable in philosophy, but might also inform international legal practice. Resolving this issue is important for genuine progress to be made in the current international stand-off over Japanese whaling in the Southern Ocean.</t>
  </si>
  <si>
    <t>[Gogarty, Brendan] Univ Tasmania, Sch Humanities, Fac Law, Hobart, Tas, Australia; Univ Tasmania, Inst Marine &amp; Antarctic Studies, Hobart, Tas, Australia</t>
  </si>
  <si>
    <t>Gogarty, B (corresponding author), Univ Tasmania, Sch Humanities, Fac Law, Hobart, Tas, Australia.</t>
  </si>
  <si>
    <t>Brendan.Gogarty@utas.edu.au</t>
  </si>
  <si>
    <t>; McGee, Jeffrey/K-7322-2015</t>
  </si>
  <si>
    <t>Gogarty, Brendan/0000-0002-9494-6598; McGee, Jeffrey/0000-0002-2093-5896</t>
  </si>
  <si>
    <t>1035-7718</t>
  </si>
  <si>
    <t>1465-332X</t>
  </si>
  <si>
    <t>AUST J INT AFF</t>
  </si>
  <si>
    <t>Aust. J. Int. Aff.</t>
  </si>
  <si>
    <t>10.1080/10357718.2017.1334758</t>
  </si>
  <si>
    <t>International Relations</t>
  </si>
  <si>
    <t>FT7ZO</t>
  </si>
  <si>
    <t>WOS:000423371900005</t>
  </si>
  <si>
    <t>Mackey, TJ; Sumner, DY; Hawes, I; Leidman, SZ; Andersen, DT; Jungblut, AD</t>
  </si>
  <si>
    <t>Mackey, T. J.; Sumner, D. Y.; Hawes, I.; Leidman, S. Z.; Andersen, D. T.; Jungblut, A. D.</t>
  </si>
  <si>
    <t>Stromatolite records of environmental change in perennially ice-covered Lake Joyce, McMurdo Dry Valleys, Antarctica</t>
  </si>
  <si>
    <t>BIOGEOCHEMISTRY</t>
  </si>
  <si>
    <t>Antarctica; Stromatolite; Microbial mat; Carbonate; Isotopes</t>
  </si>
  <si>
    <t>BENTHIC MICROBIAL MATS; SEAWATER CARBONATE CONCENTRATION; DISSOLVED INORGANIC CARBON; TAYLOR VALLEY; ISOTOPIC COMPOSITION; EAST ANTARCTICA; PROGLACIAL LAKE; VICTORIA VALLEY; OXYGEN ISOTOPES; STABLE-ISOTOPE</t>
  </si>
  <si>
    <t>Calcite-rich columnar stromatolites grew in perennially ice-covered Lake Joyce in the McMurdo Dry Valleys, Antarctica, during a period of environmental change associated with rising lake level. Stromatolite calcite contains carbon and oxygen isotope records of changes to microbial activity in response to variable light environments and water chemistry through time. The stromatolites grew synchronously with correlative calcite zones. The innermost (oldest) calcite zone has a wide range of delta C-13(calcite) values consistent with variable photosynthetic effects on local DIC C-13/C-12. Subsequent calcite zones preserve a progressive enrichment in delta C-13(calcite) values of approximately + 2.6aEuro degrees through time, with delta C-13(calcite) values becoming less variable. This enrichment likely records the removal of C-12 by photosynthesis from the DIC reservoir over decades, with photosynthetic effects decreasing as light levels became lower and more consistent through time. Mean delta O-18(calcite) values of the innermost calcified zone were at least 1aEuro degrees lower than those of the other calcified zones (t test p-level &lt; 0.001). The significant difference in delta O-18(calcite) values between the innermost and other calcified zones could be a product of mixing source waters with different isotopic values associated with the initiation of lake stratification associated with rising lake level. Overall, Lake Joyce stromatolites record significant lateral variability in relative photosynthetic rate and long-lived lake water stratification with microbial modification of the DIC pool. Such processes provide criteria for interpreting microbial activity within polar paleolake deposits and may shed light on variability in lake environments associated with changing climate in the McMurdo Dry Valleys.</t>
  </si>
  <si>
    <t>[Mackey, T. J.] MIT, Dept Earth Atmospher &amp; Planetary Sci, 77 Massachusetts Ave, Cambridge, MA 02139 USA; [Mackey, T. J.; Sumner, D. Y.; Leidman, S. Z.] Univ Calif Davis, Dept Earth &amp; Planetary Sci, 1 Shields Ave, Davis, CA 95616 USA; [Hawes, I.] Univ Waikato, Tauranga Coastal Res Lab, 58 Cross Rd, Tauranga 3110, New Zealand; [Leidman, S. Z.] Rutgers State Univ, Dept Geog, Piscataway, NJ 08854 USA; [Andersen, D. T.] SETI Inst, Carl Sagan Ctr, Mountain View, CA 94043 USA; [Jungblut, A. D.] Nat Hist Museum, Dept Life Sci, Cromwell Rd, London SW7 5BD, England</t>
  </si>
  <si>
    <t>Massachusetts Institute of Technology (MIT); University of California System; University of California Davis; University of Waikato; Rutgers University System; Rutgers University New Brunswick; Natural History Museum London</t>
  </si>
  <si>
    <t>Mackey, TJ (corresponding author), MIT, Dept Earth Atmospher &amp; Planetary Sci, 77 Massachusetts Ave, Cambridge, MA 02139 USA.</t>
  </si>
  <si>
    <t>tjmackey@mit.edu</t>
  </si>
  <si>
    <t>Andersen, Dale T/B-4816-2013; Sumner, Dawn/E-8744-2011</t>
  </si>
  <si>
    <t>Andersen, Dale T/0000-0001-8827-1259; Hawes, Ian/0000-0003-2471-6903; Mackey, Tyler/0000-0001-6377-3797; Sumner, Dawn/0000-0002-7343-2061; Leidman, Sasha/0000-0003-1453-521X</t>
  </si>
  <si>
    <t>National Aeronautics and Space Administration Astrobiology: Exobiology and Evolutionary Biology Program [NNX08AO19G, NNX13AI60G]; UC Davis Earth and Planetary Sciences Durrell Funds; United States Antarctic Program [G-441, G-063]; NASA [NNX13AI60G, 472866] Funding Source: Federal RePORTER</t>
  </si>
  <si>
    <t>National Aeronautics and Space Administration Astrobiology: Exobiology and Evolutionary Biology Program; UC Davis Earth and Planetary Sciences Durrell Funds; United States Antarctic Program; NASA(National Aeronautics &amp; Space Administration (NASA))</t>
  </si>
  <si>
    <t>This project was supported by funding from the National Aeronautics and Space Administration Astrobiology: Exobiology and Evolutionary Biology Program (NNX08AO19G and NNX13AI60G). Sample analyses were further supported by funding through the UC Davis Earth and Planetary Sciences Durrell Funds. Sample freeze drying and preparation was courtesy of T. Doane at UC Davis, petrography was supported by F. Corsetti at USC, and the manuscript was significantly improved through conversation with H. Spero. Data sets in this project relied on the shared work of the field teams for United States Antarctic Program events G-441 and G-063.</t>
  </si>
  <si>
    <t>0168-2563</t>
  </si>
  <si>
    <t>1573-515X</t>
  </si>
  <si>
    <t>Biogeochemistry</t>
  </si>
  <si>
    <t>1-2</t>
  </si>
  <si>
    <t>10.1007/s10533-017-0402-1</t>
  </si>
  <si>
    <t>FT7VZ</t>
  </si>
  <si>
    <t>WOS:000423362600005</t>
  </si>
  <si>
    <t>Cano, LPP; Manfredi, RQ; Pérez, M; García, M; Blustein, G; Cordeiro, R; Pérez, CD; Schejter, L; Palermo, JA</t>
  </si>
  <si>
    <t>Patino Cano, Laura P.; Quintana Manfredi, Rodrigo; Perez, Miriam; Garcia, Monica; Blustein, Guillermo; Cordeiro, Ralf; Perez, Carlos D.; Schejter, Laura; Palermo, Jorge A.</t>
  </si>
  <si>
    <t>Isolation and Antifouling Activity of Azulene Derivatives from the Antarctic Gorgonian Acanthogorgia laxa</t>
  </si>
  <si>
    <t>CHEMISTRY &amp; BIODIVERSITY</t>
  </si>
  <si>
    <t>octocorals; Acanthogorgiidae; marine natural products; azulene sesquiterpenoids; antifouling activity</t>
  </si>
  <si>
    <t>SOUTH CHINA SEA; ACALYCIGORGIA-SP; BRINE SHRIMP; SESQUITERPENOIDS; LINDERAZULENE; GUAIAZULENE; PARAMURICEA; PIGMENT; FURANOCEMBRANOLIDE; CONSTITUENTS</t>
  </si>
  <si>
    <t>Three azulenoid sesquiterpenes (1-3) were isolated from the Antarctic gorgonian Acanthogorgia laxa collected by bottom trawls at -343m. Besides linderazulene (1), and the known ketolactone 2, a new brominated C-16 linderazulene derivative (3) was also identified. This compound has an extra carbon atom at C(7) of the linderazulene framework. The antifouling activity of compounds 1 and 2 was assayed in the laboratory with Artemia salina larvae, and also in field tests, by incorporation in soluble-matrix experimental antifouling paints. The results obtained after a 45days field trial of the paints, showed that compounds 1 and 2 displayed good antifouling potencies against a wide array of organisms. Compound 3, a benzylic bromide, was unstable and for this reason was not submitted to bioassays. Two known cembranolides: pukalide and epoxypukalide, were also identified as minor components of the extract.</t>
  </si>
  <si>
    <t>[Patino Cano, Laura P.; Quintana Manfredi, Rodrigo; Palermo, Jorge A.] Univ Buenos Aires, Dept Quim Inorgan, Fac Ciencias Exactas &amp; Nat, Ciudad Univ,Pabellon 2, RA-1428 Buenos Aires, DF, Argentina; [Patino Cano, Laura P.; Quintana Manfredi, Rodrigo; Palermo, Jorge A.] Univ Buenos Aires, CONICET, Unidad Microanal &amp; Metodos Fis Quim Inorgan UMYMF, Ciudad Univ,Pabellon 2, RA-1428 Buenos Aires, DF, Argentina; [Perez, Miriam; Garcia, Monica; Blustein, Guillermo] Ctr Invest &amp; Desarrollo Tecnol Pinturas CIDEPINT, Calle52 E-121 &amp; 122,B1900AYB, La Plata, Buenos Aires, Argentina; [Perez, Miriam] Univ Nacl La Plata, Fac Ciencias Nat &amp; Museo, Calle 60 &amp; 122, RA-1900 La Plata, Buenos Aires, Argentina; [Blustein, Guillermo] Univ Nacl La Plata, Fac Ciencias Agr &amp; Forestales, Calle 60 &amp; 119, RA-1900 La Plata, Buenos Aires, Argentina; [Cordeiro, Ralf; Perez, Carlos D.] Univ Fed Pernambuco, GPA, Ctr Acad Vitoria, Rua Alto Reservatorio S-N, BR-55608680 Vitoria De Santo Antao, PE, Brazil; [Schejter, Laura] Inst Nacl Invest &amp; Desarrollo Pesquero INIDEP, Lab Bentos, Paseo Victoria Ocampo 1,B7602HSA, Mar Del Plata, Buenos Aires, Argentina; [Schejter, Laura] IIMyC CONICET, Rodriguez Pena 4046 Nivel 1, RA-1260 Mar Del Plata, Argentina; [Patino Cano, Laura P.] Univ Autonoma Chiriqui, Ctr Invest Prod Nat &amp; Biotecnol CIPNABIOT, David, Chiriqui, Panama</t>
  </si>
  <si>
    <t>University of Buenos Aires; Consejo Nacional de Investigaciones Cientificas y Tecnicas (CONICET); University of Buenos Aires; National University of La Plata; Museo La Plata; National University of La Plata; Universidade Federal de Pernambuco; Consejo Nacional de Investigaciones Cientificas y Tecnicas (CONICET); National Fisheries Research &amp; Development Institute (INIDEP); Universidad Autonoma de Chiriqui</t>
  </si>
  <si>
    <t>Palermo, JA (corresponding author), Univ Buenos Aires, Dept Quim Inorgan, Fac Ciencias Exactas &amp; Nat, Ciudad Univ,Pabellon 2, RA-1428 Buenos Aires, DF, Argentina.;Palermo, JA (corresponding author), Univ Buenos Aires, CONICET, Unidad Microanal &amp; Metodos Fis Quim Inorgan UMYMF, Ciudad Univ,Pabellon 2, RA-1428 Buenos Aires, DF, Argentina.</t>
  </si>
  <si>
    <t>palermo@qo.fcen.uba.ar</t>
  </si>
  <si>
    <t>Cordeiro, Ralf/AAY-7308-2021; Schejter, Laura/AAR-1106-2020; PEREZ, CARLOS DANIEL/G-3887-2010</t>
  </si>
  <si>
    <t>Cordeiro, Ralf/0000-0002-3164-5333; PEREZ, CARLOS DANIEL/0000-0002-0866-1183; Schejter, Laura/0000-0001-5443-4048</t>
  </si>
  <si>
    <t>CONICET (PIP) [11220130100523CO]; UBA (UBACyT) [20020130100457BA]; ANPCyT (PICT) [1808, PICT 2014-2063]; SENACYT-IFARHU (Panama); CNPq-Brazil [408934/2013-1]; PICT [2013-0629]</t>
  </si>
  <si>
    <t>CONICET (PIP)(Consejo Nacional de Investigaciones Cientificas y Tecnicas (CONICET)); UBA (UBACyT)(University of Buenos Aires); ANPCyT (PICT)(ANPCyT); SENACYT-IFARHU (Panama); CNPq-Brazil(Conselho Nacional de Desenvolvimento Cientifico e Tecnologico (CNPQ)); PICT(ANPCyT)</t>
  </si>
  <si>
    <t>Research at the University of Buenos Aires was supported by grants from CONICET (PIP 2014-2016 No. 11220130100523CO), UBA (UBACyT 2014-2017 No. 20020130100457BA) and ANPCyT (PICT 2010 No. 1808, PICT 2014-2063). We thank Dr. Gabriela Cabrera (UMYMFOR-CONICET) for recording the mass spectra and Eng. Jose Gallardo and Lic. Gernot Eskuche (UMYMFOR-CONICET) for the NMR spectra. L. P. P. C. thanks SENACYT-IFARHU (Panama) for a doctoral fellowship. L. S. thanks the crew of RV 'Puerto Deseado'; participation in the research cruise was partially supported by IAA (Instituto Antartico Argentino), INIDEP and PICT 2013-0629. Research at the Federal University of Pernambuco was supported by a grant from CNPq-Brazil (408934/2013-1).</t>
  </si>
  <si>
    <t>WILEY-V C H VERLAG GMBH</t>
  </si>
  <si>
    <t>WEINHEIM</t>
  </si>
  <si>
    <t>POSTFACH 101161, 69451 WEINHEIM, GERMANY</t>
  </si>
  <si>
    <t>1612-1872</t>
  </si>
  <si>
    <t>1612-1880</t>
  </si>
  <si>
    <t>CHEM BIODIVERS</t>
  </si>
  <si>
    <t>Chem. Biodivers.</t>
  </si>
  <si>
    <t>e1700425</t>
  </si>
  <si>
    <t>10.1002/cbdv.201700425</t>
  </si>
  <si>
    <t>Biochemistry &amp; Molecular Biology; Chemistry, Multidisciplinary</t>
  </si>
  <si>
    <t>Biochemistry &amp; Molecular Biology; Chemistry</t>
  </si>
  <si>
    <t>FT8WM</t>
  </si>
  <si>
    <t>WOS:000423433900012</t>
  </si>
  <si>
    <t>Likar, JJ; Hartojo, K; Ott, G; Bird, J; Meredith, NP</t>
  </si>
  <si>
    <t>Likar, Justin J.; Hartojo, Kris; Ott, George; Bird, John; Meredith, Nigel P.</t>
  </si>
  <si>
    <t>Spacecraft Charging Related Risk of Floating Connector Pins</t>
  </si>
  <si>
    <t>IEEE TRANSACTIONS ON PLASMA SCIENCE</t>
  </si>
  <si>
    <t>Charging; connectors; dielectric breakdown; electrostatic discharge (ESD); satellites</t>
  </si>
  <si>
    <t>EARTH-ORBIT ANALYSIS</t>
  </si>
  <si>
    <t>Every national spacecraft charging related design guideline or design standard includes prohibitions against floating, or ungrounded, connector pins. The rationale is obvious. A floating connector pin represents ungrounded metal with a propensity to accumulate charge from the space plasma environment and, upon breakdown, effectively couple the discharge energy directly into sensitive system electronics by virtue of adjacent pins and cables. Satellite designers may recognize that, seemingly as common as the rationale is obvious, there are instances in violation of this clear guideline and impassioned arguments for permissions to do so. This paper represents a comprehensive effort to quantitatively, theoretically, analytically, and empirically assess the risk associated with ungrounded connector pins in the selected (geostationary earth orbit and medium earth orbit) orbits.</t>
  </si>
  <si>
    <t>[Likar, Justin J.] UTC Aerosp Syst, Danbury, CT 06810 USA; [Hartojo, Kris; Bird, John] Radiat Test Solut LLC, Colorado Springs, CO 80919 USA; [Ott, George] Cobham RAD Solut, Colorado Springs, CO 80919 USA; [Meredith, Nigel P.] British Antarctic Survey, Cambridge CB3 0ET, England</t>
  </si>
  <si>
    <t>Likar, JJ (corresponding author), UTC Aerosp Syst, Danbury, CT 06810 USA.</t>
  </si>
  <si>
    <t>justin.likar@utas.utc.com; khartojo@radiationtestsolutions.com; george.ott@cobham.com; jbird@radiationtestsolution.com; nmer@bas.ac.uk</t>
  </si>
  <si>
    <t>Meredith, Nigel P/C-5806-2018</t>
  </si>
  <si>
    <t>Horne, Richard/0000-0002-0412-6407; Meredith, Nigel/0000-0001-5032-3463; Likar, Justin/0000-0002-1390-8849</t>
  </si>
  <si>
    <t>NERC [NE/P01738X/1, NE/R016445/1, bas0100031] Funding Source: UKRI</t>
  </si>
  <si>
    <t>0093-3813</t>
  </si>
  <si>
    <t>1939-9375</t>
  </si>
  <si>
    <t>IEEE T PLASMA SCI</t>
  </si>
  <si>
    <t>IEEE Trans. Plasma Sci.</t>
  </si>
  <si>
    <t>10.1109/TPS.2017.2772891</t>
  </si>
  <si>
    <t>Physics, Fluids &amp; Plasmas</t>
  </si>
  <si>
    <t>FT0ES</t>
  </si>
  <si>
    <t>WOS:000422795000026</t>
  </si>
  <si>
    <t>Kang, J; Cheng, X; Hui, FM; Ci, TY</t>
  </si>
  <si>
    <t>Kang, Jing; Cheng, Xiao; Hui, Fengming; Ci, Tianyu</t>
  </si>
  <si>
    <t>An Accurate and Automated Method for Identifying and Mapping Exposed Rock Outcrop in Antarctica Using Landsat 8 Images</t>
  </si>
  <si>
    <t>IEEE JOURNAL OF SELECTED TOPICS IN APPLIED EARTH OBSERVATIONS AND REMOTE SENSING</t>
  </si>
  <si>
    <t>Antarctica; exposed rock; landsat 8; land cover mapping; remote sensing (RS)</t>
  </si>
  <si>
    <t>BLUE-ICE AREAS; THEMATIC MAPPER; CLIMATE-CHANGE; SNOW; SURFACE; VEGETATION; CONTINENT; COVER; SEA</t>
  </si>
  <si>
    <t>Antarctica plays a significant role in global change studies. As a typical land cover in Antarctica, exposed rock is considered indispensable in many studies, and the mapping of exposed rocks is seen as a key basis of work to meet the demand for more accurate and updated datasets with the consecutive development of satellite technology. Although the normalized difference snow index has been commonly used for differentiating exposed rocks and snow, it often misidentifies clouds as rocks. The British Antarctic Survey has used Landsat 8 data to create a new rock outcrop map for Antarctica, overcoming the limitations of previous techniques and generating Antarctic Digital Database (ADD) New Rock Outcrop with higher accuracy than previously achieved. However, there are still some omission and commission errors apparent in the shaded areas, which affect the accuracy. Widespread shaded areas in Antarctica due to low solar elevation angles and extreme topography cause difficulty in accurately mapping exposed rock. In addition, major differences are present between existing products. Addressing the existing issues about extraction of exposed rock, this study used the near infrared band and shortwave infrared 2 band of Landsat 8 reflectance data to build a specific exposed rock index for the extraction of exposed rocks. A shadow detection method combined with a blue reflectance threshold is used for the shadowed rock identification. Accuracy assessment of these extraction results showed that the accuracy of the new product is higher than all existing exposed rock products. The conversion from DN values to top of atmosphere reflectance and the solar elevation correction for each pixel individually eliminate a variety of errors associated with the different acquisition times of each image. From the statistics of the reflectance related to the training samples, this paper established the threshold of exposed rock extraction so as to ensure the applicability of the same threshold for exposed rock extraction in all images. This method is applied to a total of 1100 high-quality images that were collected for covering the Antarctic continent from November 2013 to February 2014. The results show that 253 of the images contain exposed rocks, and these images were used for mapping work. The map showed that the main exposed rock areas are mainly distributed in four coastal regions: The Antarctic Peninsula, Queen Maud Land, Lambert Glacier basin, and Victoria Land regions. We also compared our results with ADD New Rock Outcrop and Bedrock Mapping Project 2 (Bedmap2) data in the four main regions. Our results were close to the ADD rock outcrops and exhibited remarkable differences with Bedmap2. We explored the possibility of analyzing and explaining these differences. Especially, as using the same data source Landsat 8 but with a different method, the comparison between our results and ADD New Rock Outcrop is discussed and concludes in shadowed rocks extraction, mixed-pixels, and omission disagreement. The results also show that shadowed rocks accounts for nearly 12% of the total exposed rocks and cannot be neglected. The method we developed can be quickly applied for extraction and mapping of large areas of exposed rocks using Landsat 8.</t>
  </si>
  <si>
    <t>[Kang, Jing; Cheng, Xiao; Hui, Fengming; Ci, Tianyu] Beijing Normal Univ, Coll Global Change &amp; Earth Syst Sci, Beijing 100875, Peoples R China</t>
  </si>
  <si>
    <t>Beijing Normal University</t>
  </si>
  <si>
    <t>Cheng, X (corresponding author), Beijing Normal Univ, Coll Global Change &amp; Earth Syst Sci, Beijing 100875, Peoples R China.</t>
  </si>
  <si>
    <t>kjgcess@163.com; xcheng@bnu.edu.cn; huifm@bnu.edu.cn; city@mail.bnu.edu.cn</t>
  </si>
  <si>
    <t>Kang, Jing/ABI-3220-2020; Kang, Jing/GPT-2654-2022</t>
  </si>
  <si>
    <t>Kang, Jing/0000-0001-5603-4611; Kang, Jing/0000-0001-5603-4611</t>
  </si>
  <si>
    <t>Chinese Arctic and Antarctic Administration, National Basic Research Program of China [2012CB957704]</t>
  </si>
  <si>
    <t>Chinese Arctic and Antarctic Administration, National Basic Research Program of China</t>
  </si>
  <si>
    <t>This work was supported by the Chinese Arctic and Antarctic Administration, National Basic Research Program of China under Grant 2012CB957704. (Corresponding author: Xiao Cheng.)</t>
  </si>
  <si>
    <t>1939-1404</t>
  </si>
  <si>
    <t>2151-1535</t>
  </si>
  <si>
    <t>IEEE J-STARS</t>
  </si>
  <si>
    <t>IEEE J. Sel. Top. Appl. Earth Observ. Remote Sens.</t>
  </si>
  <si>
    <t>10.1109/JSTARS.2017.2755502</t>
  </si>
  <si>
    <t>Engineering, Electrical &amp; Electronic; Geography, Physical; Remote Sensing; Imaging Science &amp; Photographic Technology</t>
  </si>
  <si>
    <t>Engineering; Physical Geography; Remote Sensing; Imaging Science &amp; Photographic Technology</t>
  </si>
  <si>
    <t>FT2DV</t>
  </si>
  <si>
    <t>WOS:000422950700006</t>
  </si>
  <si>
    <t>Roach, LA; Tett, SFB; Mineter, MJ; Yamazaki, K; Rae, CD</t>
  </si>
  <si>
    <t>Roach, Lettie A.; Tett, Simon F. B.; Mineter, Michael J.; Yamazaki, Kuniko; Rae, Cameron D.</t>
  </si>
  <si>
    <t>Automated parameter tuning applied to sea ice in a global climate model</t>
  </si>
  <si>
    <t>CLIMATE DYNAMICS</t>
  </si>
  <si>
    <t>Optimization; Sea ice; Parameters; Climate model</t>
  </si>
  <si>
    <t>COUPLED CLIMATE; OCEAN; UNCERTAINTY; CIRCULATION; PREDICTIONS; SENSITIVITY; SIMULATION; ENSEMBLE; IMPACT; EXTENT</t>
  </si>
  <si>
    <t>This study investigates the hypothesis that a significant portion of spread in climate model projections of sea ice is due to poorly-constrained model parameters. New automated methods for optimization are applied to historical sea ice in a global coupled climate model (HadCM3) in order to calculate the combination of parameters required to reduce the difference between simulation and observations to within the range of model noise. The optimized parameters result in a simulated sea-ice time series which is more consistent with Arctic observations throughout the satellite record (1980-present), particularly in the September minimum, than the standard configuration of HadCM3. Divergence from observed Antarctic trends and mean regional sea ice distribution reflects broader structural uncertainty in the climate model. We also find that the optimized parameters do not cause adverse effects on the model climatology. This simple approach provides evidence for the contribution of parameter uncertainty to spread in sea ice extent trends and could be customized to investigate uncertainties in other climate variables.</t>
  </si>
  <si>
    <t>[Roach, Lettie A.] Natl Inst Water &amp; Atmospher Res, 301 Evans Bay Parade, Wellington, New Zealand; [Roach, Lettie A.; Tett, Simon F. B.; Mineter, Michael J.; Yamazaki, Kuniko; Rae, Cameron D.] Univ Edinburgh, Sch GeoSci, Crew Bldg,Alexander Crum Brown Rd, Edinburgh EH9 3FF, Midlothian, Scotland; [Yamazaki, Kuniko] Met Off, Fitzroy Rd, Exeter EX1 3PB, Devon, England; [Rae, Cameron D.] Univ Cambridge, Dept Chem, Ctr Atmospher Sci, Lensfield Rd, Cambridge CB2 1EW, England</t>
  </si>
  <si>
    <t>National Institute of Water &amp; Atmospheric Research (NIWA) - New Zealand; University of Edinburgh; Met Office - UK; University of Cambridge</t>
  </si>
  <si>
    <t>Roach, LA (corresponding author), Natl Inst Water &amp; Atmospher Res, 301 Evans Bay Parade, Wellington, New Zealand.;Roach, LA (corresponding author), Univ Edinburgh, Sch GeoSci, Crew Bldg,Alexander Crum Brown Rd, Edinburgh EH9 3FF, Midlothian, Scotland.</t>
  </si>
  <si>
    <t>Roach, Lettie/HKV-2511-2023; Rae, Cameron/JRW-2476-2023; Tett, Simon F. B./B-1504-2013</t>
  </si>
  <si>
    <t>Roach, Lettie/0000-0003-4189-3928; Tett, Simon F. B./0000-0001-7526-560X</t>
  </si>
  <si>
    <t>Natural Environment Research Council [OptClim NE/L012146/1]; NERC [NE/L012146/1] Funding Source: UKRI; Natural Environment Research Council [NE/L012146/1]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</si>
  <si>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</si>
  <si>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Work was funded by the Natural Environment Research Council (grant OptClim NE/L012146/1) with simulations and post-processing done on the Edinburgh Compute and Data Facility. Data from the global climate model simulations are available from the author on request. Observational data from HadISST and PIO-MAS are available online. Part of the work was done by LR as part of her MPhys research project in the School of Physics &amp; Astronomy at the University of Edinburgh. We thank Dr. Coralia Cartis, University of Oxford, for use of software partially developed under her supervision. We are grateful to the reviewers, Francois Massonnet and Helene Hewitt, whose comments strengthened the manuscript.</t>
  </si>
  <si>
    <t>0930-7575</t>
  </si>
  <si>
    <t>1432-0894</t>
  </si>
  <si>
    <t>CLIM DYNAM</t>
  </si>
  <si>
    <t>Clim. Dyn.</t>
  </si>
  <si>
    <t>10.1007/s00382-017-3581-5</t>
  </si>
  <si>
    <t>FT1PM</t>
  </si>
  <si>
    <t>WOS:000422908700004</t>
  </si>
  <si>
    <t>Wallis, JR; Kawaguchi, S; Swadling, KM</t>
  </si>
  <si>
    <t>Wallis, Jake R.; Kawaguchi, So; Swadling, Kerrie M.</t>
  </si>
  <si>
    <t>Sexual differentiation, gonad maturation, and reproduction of the Southern Ocean euphausiid Thysanoessa macrura (Sars, 1883) (Crustacea: Euphausiacea)</t>
  </si>
  <si>
    <t>JOURNAL OF CRUSTACEAN BIOLOGY</t>
  </si>
  <si>
    <t>Antarctica; fecundity; krill; lipid deposits; oocytes; oogonia; plankton; sexual development</t>
  </si>
  <si>
    <t>LIFE-HISTORY; MEGANYCTIPHANES-NORVEGICA; OVARIAN DEVELOPMENT; ANTARCTIC KRILL; NORTHERN KRILL; SEA; INERMIS; SUPERBA; GROWTH; LARVAL</t>
  </si>
  <si>
    <t>Thysanoessa macrura (Sars, 1883) is a small, albeit highly abundant, Southern Ocean euphausiid. It has been reported that T. macrura reproduces during late winter, with the reproductive cycle decoupled from periods of high primary productivity in the highly seasonal Southern Ocean. Despite this uncommon reproductive strategy, there has been little work to describe this cycle and quantify the reproductive potential of this species. Thysanoessa macrura collected from Antarctic waters during early September to early October 2007 were used to establish sexual developmental stages, for females and males, to provide a standard means for assessing the reproductive maturity of this species. Seven sexual developmental stages were established for females based upon the organisation of ovaries and their constituent oogonia and oocytes. Four sexual developmental stages were identified in males using secondary sexual characters. A large lipid deposit was identified in the carapace of both sexes, reducing in size with progressive gonadal development, likely fuelling egg and sperm production. Egg-batch size was determined by direct ovarian counts and scaled allometrically with total wet weight. Predicted egg-batch size ranged from 34 to 746 eggs batch(-1) for the range of individual sizes studied (30.5-165.6 mg). Using the ratios of the different oocytes remaining after the first-spawning event of females, it was predicted that up to three egg batches can be produced by T. macrura in a single reproductive season. Consequently, the fecundity of T. macrura is estimated at 60 to &gt; 2200 eggs female(-1) year(-1). A model of T. macrura reproductive cycle confirms a winter reproductive period and further highlights the reproductive potential of this small-size Southern Ocean euphausiid, providing the first estimates of fecundity reported for this species.</t>
  </si>
  <si>
    <t>[Wallis, Jake R.; Swadling, Kerrie M.] Univ Tasmania, Inst Marine &amp; Antarctic Studies, Private Bag 129, Hobart, Tas 7001, Australia; [Wallis, Jake R.; Kawaguchi, So; Swadling, Kerrie M.] Univ Tasmania, Antarctic Climate &amp; Ecosyst Cooperat Res Ctr, Private Bag 80, Hobart, Tas 7001, Australia; [Kawaguchi, So] Australian Antarctic Div, 203 Channel Highway, Kingston, Tas 7050, Australia</t>
  </si>
  <si>
    <t>University of Tasmania; University of Tasmania; Antarctic Climate &amp; Ecosystems Cooperative Research Centre (ACE CRC); Australian Antarctic Division</t>
  </si>
  <si>
    <t>Wallis, JR (corresponding author), Univ Tasmania, Inst Marine &amp; Antarctic Studies, Private Bag 129, Hobart, Tas 7001, Australia.;Wallis, JR (corresponding author), Univ Tasmania, Antarctic Climate &amp; Ecosyst Cooperat Res Ctr, Private Bag 80, Hobart, Tas 7001, Australia.</t>
  </si>
  <si>
    <t>jrwallis@utas.edu.au</t>
  </si>
  <si>
    <t>Kawaguchi, So/N-1795-2017</t>
  </si>
  <si>
    <t>Swadling, Kerrie/0000-0002-7620-841X; Kawaguchi, So/0000-0002-2042-5095; Wallis, Jake/0000-0003-2932-612X</t>
  </si>
  <si>
    <t>Australia's Government Cooperative Research Centres Program through the Antarctic Climate and Ecosystems Cooperative Research Centre (ACE CRC); Australian Antarctic Science [4140, 4037]</t>
  </si>
  <si>
    <t>Australia's Government Cooperative Research Centres Program through the Antarctic Climate and Ecosystems Cooperative Research Centre (ACE CRC); Australian Antarctic Science</t>
  </si>
  <si>
    <t>We thank the crew of the Aurora Australis and the research expeditioners for their assistance in sample collection. We also thank the reviewers of the manuscript and their valuable assistance. This work was supported by Australia's Government Cooperative Research Centres Program through the Antarctic Climate and Ecosystems Cooperative Research Centre (ACE CRC) and through Australian Antarctic Science grants 4140 and 4037.</t>
  </si>
  <si>
    <t>0278-0372</t>
  </si>
  <si>
    <t>1937-240X</t>
  </si>
  <si>
    <t>J CRUSTACEAN BIOL</t>
  </si>
  <si>
    <t>J. Crustac. Biol.</t>
  </si>
  <si>
    <t>10.1093/jcbiol/rux091</t>
  </si>
  <si>
    <t>Marine &amp; Freshwater Biology; Zoology</t>
  </si>
  <si>
    <t>FT5AB</t>
  </si>
  <si>
    <t>WOS:000423165300012</t>
  </si>
  <si>
    <t>NASA scientists embark on extreme Antarctic trek</t>
  </si>
  <si>
    <t>WEATHER</t>
  </si>
  <si>
    <t>0043-1656</t>
  </si>
  <si>
    <t>1477-8696</t>
  </si>
  <si>
    <t>Weather</t>
  </si>
  <si>
    <t>FS4KK</t>
  </si>
  <si>
    <t>WOS:000419759900003</t>
  </si>
  <si>
    <t>Ikeda, A; Kawai, K; Tsutsumi, M; Yoshimura, K; Ohno, G; Hasegawa, T; Ooe, H; Watanabe, K; Miyazaki, J; Nishiyama, H</t>
  </si>
  <si>
    <t>Ikeda, Atsushi; Kawai, Koji; Tsutsumi, Masakazu; Yoshimura, Koji; Ohno, Giichiro; Hasegawa, Tatsuhisa; Ooe, Hirofumi; Watanabe, Kentaro; Miyazaki, Jun; Nishiyama, Hiroyuki</t>
  </si>
  <si>
    <t>Impact of Living at the Japanese Antarctic Research Expedition Base on Urinary Status</t>
  </si>
  <si>
    <t>LUTS-LOWER URINARY TRACT SYMPTOMS</t>
  </si>
  <si>
    <t>Antarctica; nocturia; sleep; urination; voiding diary</t>
  </si>
  <si>
    <t>QUALITY-OF-LIFE; TRACT SYMPTOMS; SLEEP DISTURBANCE; NOCTURIA; UROFLOWMETRY; MEN; FREQUENCY; PATTERNS</t>
  </si>
  <si>
    <t>ObjectivesUrinary disorders are generally well understood, but there are few reports on the urinary status of people living in unusual climates such as the polar regions. We studied the impact of living conditions on the urinary status of members of the Japanese Antarctic Research Expedition. MethodsThis prospective study enrolled 12 consenting members of the wintering party stationed at the Syowa Station in Antarctica between November 2012 and March 2014. The subjects completed questionnaires (the International Prostate Symptom Score [IPSS], Overactive Bladder Syndrome Score [OABSS] and Pittsburgh Sleep Quality Index [PSQI]) and kept daily voiding dairies for 3 days consecutively every 2 months. ResultsCompared with baseline values, the mean scores on all the questionnaires decreased during the stay in Antarctica, from 3.42 to 2.31 for the IPSS, 1.25 to 0.986 for the OABSS, and 4.58 to 3.78 on the PSQI. A significant difference was noted in the scores of seven subjects with a 3 point or more decrease in IPSS score and five members with a decrease less than 3 points (-2.22 vs 0.448, P = 0.0416). ConclusionThis is the first survey of the urinary status of people living in a polar environment. The findings obtained by questionnaires and voiding dairies indicated that urination and sleep status did not worsen during the stay in Antarctica.</t>
  </si>
  <si>
    <t>[Ikeda, Atsushi; Tsutsumi, Masakazu; Nishiyama, Hiroyuki] Hitachi Gen Hosp, Dept Urol, 2-1-1 Jonan Cho, Hitachi, Ibaraki 3170077, Japan; [Ikeda, Atsushi; Kawai, Koji; Miyazaki, Jun] Univ Tsukuba, Dept Urol, 2-1-1 Amakubo, Tsukuba, Ibaraki 3050005, Japan; [Yoshimura, Koji] Shizuoka Prefectural Gen Hosp, Dept Urol, Shizuoka, Japan; [Ohno, Giichiro] Tokatsu Hosp, Dept Surg, Chiba, Japan; [Hasegawa, Tatsuhisa; Ooe, Hirofumi] 54th Japanese Antarctic Res Expedit, Tokyo, Japan; [Watanabe, Kentaro] Natl Inst Polar Res, Tokyo, Japan</t>
  </si>
  <si>
    <t>University of Tsukuba; Shizuoka General Hospital; Research Organization of Information &amp; Systems (ROIS); National Institute of Polar Research (NIPR) - Japan</t>
  </si>
  <si>
    <t>Ikeda, A (corresponding author), Hitachi Gen Hosp, Dept Urol, 2-1-1 Jonan Cho, Hitachi, Ibaraki 3170077, Japan.;Nishiyama, H (corresponding author), Univ Tsukuba, Dept Urol, 2-1-1 Amakubo, Tsukuba, Ibaraki 3050005, Japan.</t>
  </si>
  <si>
    <t>scrapsike716@yahoo.co.jp; nishiuro@md.tsukuba.ac.jp</t>
  </si>
  <si>
    <t>Ikeda, Atsushi/AAP-8056-2020</t>
  </si>
  <si>
    <t>Ikeda, Atsushi/0000-0003-0934-5470; Miyazaki, Jun/0000-0002-3618-0432; Watanabe, Kentaro/0000-0002-5177-0086</t>
  </si>
  <si>
    <t>National Institute of Polar Research under the Ministry of Education, Culture, Sports, Science and Technology</t>
  </si>
  <si>
    <t>We acknowledge the support of all members of the 54th Japanese Antarctic Research Expedition, especially Dr Gen Hashida, the winter party leader. This research is a part of the Japanese Antarctic Research Expedition Science Program. It was supported by the National Institute of Polar Research under the Ministry of Education, Culture, Sports, Science and Technology.</t>
  </si>
  <si>
    <t>1757-5664</t>
  </si>
  <si>
    <t>1757-5672</t>
  </si>
  <si>
    <t>LUTS</t>
  </si>
  <si>
    <t>10.1111/luts.12137</t>
  </si>
  <si>
    <t>Urology &amp; Nephrology</t>
  </si>
  <si>
    <t>FS9LR</t>
  </si>
  <si>
    <t>WOS:000422740200005</t>
  </si>
  <si>
    <t>Tribelli, PM; Rossi, L; Ricardi, MM; Gomez-Lozano, M; Molin, S; Iustman, LJR; Lopez, NI</t>
  </si>
  <si>
    <t>Tribelli, Paula M.; Rossi, Leticia; Ricardi, Martiniano M.; Gomez-Lozano, Maria; Molin, Soren; Iustman, Laura J. Raiger; Lopez, Nancy I.</t>
  </si>
  <si>
    <t>Microaerophilic alkane degradation in Pseudomonas extremaustralis: a transcriptomic and physiological approach</t>
  </si>
  <si>
    <t>JOURNAL OF INDUSTRIAL MICROBIOLOGY &amp; BIOTECHNOLOGY</t>
  </si>
  <si>
    <t>Pseudomonas extremaustralis; Microaerobiosis; alkB; RNA-seq; Alkane degradation</t>
  </si>
  <si>
    <t>BACTERIAL METABOLISM; GLOBAL REGULATOR; REDOX STATE; N-ALKANES; AERUGINOSA; PUTIDA; ANR; IDENTIFICATION; BIOSYNTHESIS; OLEOVORANS</t>
  </si>
  <si>
    <t>Diesel fuel is one of the most important sources of hydrocarbon contamination worldwide. Its composition consists of a complex mixture of n-alkanes, branched alkanes and aromatic compounds. Hydrocarbon degradation in Pseudomonas species has been mostly studied under aerobic conditions; however, a dynamic spectrum of oxygen availability can be found in the environment. Pseudomonas extremaustralis, an Antarctic bacterium isolated from a pristine environment, is able to degrade diesel fuel and presents a wide microaerophilic metabolism. In this work RNA-deep sequence experiments were analyzed comparing the expression profile in aerobic and microaerophilic cultures. Interestingly, genes involved in alkane degradation, including alkB, were over-expressed in micro-aerobiosis in absence of hydrocarbon compounds. In minimal media supplemented with diesel fuel, n-alkanes degradation (C13-C19) after 7 days was observed under low oxygen conditions but not in aerobiosis. In-silico analysis of the alkB promoter zone showed a putative binding sequence for the anaerobic global regulator, Anr. Our results indicate that some diesel fuel components can be utilized as sole carbon source under microaerophilic conditions for cell maintenance or slow growth in a Pseudomonas species and this metabolism could represent an adaptive advantage in polluted environments.</t>
  </si>
  <si>
    <t>[Tribelli, Paula M.; Iustman, Laura J. Raiger; Lopez, Nancy I.] Univ Buenos Aires, Fac Ciencias Exactas &amp; Nat, Dept Quim Biol, Intendente Guiraldes 2160,C1428EGA, Buenos Aires, DF, Argentina; [Tribelli, Paula M.; Rossi, Leticia; Iustman, Laura J. Raiger; Lopez, Nancy I.] Consejo Nacl Invest Cient &amp; Tecn, IQUIBICEN, Buenos Aires, DF, Argentina; [Ricardi, Martiniano M.] Univ Buenos Aires, Fac Ciencias Exactas &amp; Nat, Inst Fisiol Biol Mol &amp; Neurociencias IFIBYNEC, CONICET, C1428EGA, Buenos Aires, DF, Argentina; [Gomez-Lozano, Maria; Molin, Soren] Tech Univ Denmark, Novo Nordisk Fdn Ctr Biosustainabil, Horsholm, Denmark</t>
  </si>
  <si>
    <t>University of Buenos Aires; Consejo Nacional de Investigaciones Cientificas y Tecnicas (CONICET); Consejo Nacional de Investigaciones Cientificas y Tecnicas (CONICET); University of Buenos Aires; Technical University of Denmark</t>
  </si>
  <si>
    <t>Iustman, LJR (corresponding author), Univ Buenos Aires, Fac Ciencias Exactas &amp; Nat, Dept Quim Biol, Intendente Guiraldes 2160,C1428EGA, Buenos Aires, DF, Argentina.;Iustman, LJR (corresponding author), Consejo Nacl Invest Cient &amp; Tecn, IQUIBICEN, Buenos Aires, DF, Argentina.</t>
  </si>
  <si>
    <t>lri@qb.fcen.uba.ar</t>
  </si>
  <si>
    <t>Gomez-Lozano, PhD, Maria/ABA-2244-2021</t>
  </si>
  <si>
    <t>Gomez-Lozano, PhD, Maria/0000-0002-7078-4141; Ricardi, Martiniano Maria/0000-0002-7904-6305; Molin, Soren/0000-0002-7973-2639; Tribelli, Paula Maria/0000-0001-9558-6275; Raiger Iustman, Laura J./0000-0002-8541-3204</t>
  </si>
  <si>
    <t>UBA; CONICET; ANPCyT; short term EMBO fellowship; NNF Center for Biosustainability [Infection Microbiology] Funding Source: researchfish; Novo Nordisk Fonden [NNF10CC1016517] Funding Source: researchfish</t>
  </si>
  <si>
    <t>UBA(University of Buenos Aires); CONICET(Consejo Nacional de Investigaciones Cientificas y Tecnicas (CONICET)); ANPCyT(ANPCyT); short term EMBO fellowship; NNF Center for Biosustainability; Novo Nordisk Fonden(Novo Nordisk Foundation)</t>
  </si>
  <si>
    <t>This work was partially supported by grants from UBA, CONICET, and ANPCyT. PMT, MMR, LJRI and NIL are career investigators from Consejo Nacional de Investigaciones Cientificas y Tecnicas (CONICET, Argentina). RNA-seq experiments were performed by PMT at Dr. Molin's Lab supported by a short term EMBO fellowship. Authors want to thank to anonymous reviewers for the helpful criticisms.</t>
  </si>
  <si>
    <t>1367-5435</t>
  </si>
  <si>
    <t>1476-5535</t>
  </si>
  <si>
    <t>J IND MICROBIOL BIOT</t>
  </si>
  <si>
    <t>J. Ind. Microbiol. Biotechnol.</t>
  </si>
  <si>
    <t>10.1007/s10295-017-1987-z</t>
  </si>
  <si>
    <t>FS6HJ</t>
  </si>
  <si>
    <t>WOS:000419898200002</t>
  </si>
  <si>
    <t>Brady, AL; Goordial, J; Sun, HJ; Whyte, LG; Slater, GF</t>
  </si>
  <si>
    <t>Brady, A. L.; Goordial, J.; Sun, H. J.; Whyte, L. G.; Slater, G. F.</t>
  </si>
  <si>
    <t>Variability in carbon uptake and (re)cycling in Antarctic cryptoendolithic microbial ecosystems demonstrated through radiocarbon analysis of organic biomarkers</t>
  </si>
  <si>
    <t>GEOBIOLOGY</t>
  </si>
  <si>
    <t>MCMURDO DRY VALLEYS; FRESH-WATER MICROBIALITES; FATTY-ACID-COMPOSITION; TO-CONSUMER RATIO; ROSS DESERT; GEOBACTER-METALLIREDUCENS; ISOTOPIC FRACTIONATION; COMMUNITIES ADJUST; TEMPERATURE OPTIMA; LIPID BIOMARKERS</t>
  </si>
  <si>
    <t>Cryptoendolithic lichens and cyanobacteria living in porous sandstone in the high-elevation McMurdo Dry Valleys are purported to be among the slowest growing organisms on Earth with cycles of death and regrowth on the order of 10(3)-10(4)years. Here, organic biomarker and radiocarbon analysis were used to better constrain ages and carbon sources of cryptoendoliths in University Valley (UV; 1,800m.a.s.l) and neighboring Farnell Valley (FV; 1,700m.a.s.l). C-14 was measured for membrane component phospholipid fatty acids (PLFA) and glycolipid fatty acids, as well as for total organic carbon (TOC). PLFA concentrations indicated viable cells comprised a minor (&lt;0.5%) component of TOC. TOC C-14 values ranged from -272 parts per thousand to -185 parts per thousand equivalent to calibrated ages of 1,100-2,550years old. These ages may be the result of fractional preservation of biogenic carbon and/or sudden large-scale community death and extended period(s) of inactivity prior to slow recolonization and incorporation of C-14-depleted fossil material. PLFA C-14 values were generally more modern than the corresponding TOC and varied widely between sites; the FV PLFA C-14 value (+40 parts per thousand) was consistent with modern atmospheric CO2, while UV values ranged from -199 parts per thousand to -79 parts per thousand (calibrated ages of 1,665-610years). The observed variability in PLFA C-14 depletions is hypothesized to reflect variations in the extent of fixation of modern atmospheric CO2 and the preservation and recycling of older organic carbon by the community in various stages of sandstone recolonization. PLFA profiles and microbial community compositions as determined by molecular genetic characterizations and microscopy differed between the two valleys (e.g., predominance of biomarker 18:2 [&gt;50%] in FV compared to UV), representing microbial communities that may reflect distinct stages of sandstone recolonization and/or environmental conditions. It is thus proposed that Dry Valley cryptoendolithic microbial communities are faster growing than previously estimated.</t>
  </si>
  <si>
    <t>[Brady, A. L.; Slater, G. F.] McMaster Univ, Sch Geog &amp; Earth Sci, Hamilton, ON, Canada; [Goordial, J.; Whyte, L. G.] McGill Univ, Dept Nat Resource Sci, Ste Anne De Bellevue, PQ, Canada; [Goordial, J.] Bigelow Lab Ocean Sci, East Boothbay, ME USA; [Sun, H. J.] Desert Res Inst, Las Vegas, NV USA</t>
  </si>
  <si>
    <t>McMaster University; McGill University; Bigelow Laboratory for Ocean Sciences; Nevada System of Higher Education (NSHE); Desert Research Institute NSHE</t>
  </si>
  <si>
    <t>Slater, GF (corresponding author), McMaster Univ, Sch Geog &amp; Earth Sci, Hamilton, ON, Canada.</t>
  </si>
  <si>
    <t>gslater@mcmaster.ca</t>
  </si>
  <si>
    <t>Slater, Greg G/B-5163-2013</t>
  </si>
  <si>
    <t>Goordial, Jacqueline/0000-0001-5005-673X</t>
  </si>
  <si>
    <t>Natural Sciences and Engineering Research Council of Canada (NSERC); NSERC Accelerator Supplement Program; NSERC CREATE Canadian Astrobiology Training Program (CATP); NASA Astrobiology Program</t>
  </si>
  <si>
    <t>Natural Sciences and Engineering Research Council of Canada (NSERC)(Natural Sciences and Engineering Research Council of Canada (NSERC)); NSERC Accelerator Supplement Program; NSERC CREATE Canadian Astrobiology Training Program (CATP); NASA Astrobiology Program(National Aeronautics &amp; Space Administration (NASA))</t>
  </si>
  <si>
    <t>Natural Sciences and Engineering Research Council of Canada (NSERC) Discovery Grant Program; NSERC Accelerator Supplement Program; NSERC CREATE Canadian Astrobiology Training Program (CATP); NASA Astrobiology Program</t>
  </si>
  <si>
    <t>1472-4677</t>
  </si>
  <si>
    <t>1472-4669</t>
  </si>
  <si>
    <t>Geobiology</t>
  </si>
  <si>
    <t>10.1111/gbi.12263</t>
  </si>
  <si>
    <t>Biology; Environmental Sciences; Geosciences, Multidisciplinary</t>
  </si>
  <si>
    <t>Life Sciences &amp; Biomedicine - Other Topics; Environmental Sciences &amp; Ecology; Geology</t>
  </si>
  <si>
    <t>FS4TG</t>
  </si>
  <si>
    <t>WOS:000419785200005</t>
  </si>
  <si>
    <t>Vukasinovic, EL; Pond, DW; Grubor-Lajsic, G; Worland, MR; Kojic, D; Purac, J; Popovic, ZD; Blagojevic, DP</t>
  </si>
  <si>
    <t>Vukasinovic, Elvira L.; Pond, David W.; Grubor-Lajsic, Gordana; Worland, M. Roger; Kojic, Danijela; Purac, Jelena; Popovic, Zeljko D.; Blagojevic, Dusko P.</t>
  </si>
  <si>
    <t>Temperature adaptation of lipids in diapausing Ostrinia nubilalis: an experimental study to distinguish environmental versus endogenous controls</t>
  </si>
  <si>
    <t>JOURNAL OF COMPARATIVE PHYSIOLOGY B-BIOCHEMICAL SYSTEMS AND ENVIRONMENTAL PHYSIOLOGY</t>
  </si>
  <si>
    <t>Cold acclimation; Fatty acid composition; Ostrinia nubilalis; Lipid melt transition temperatures; Phospholipid; Triacylglycerol</t>
  </si>
  <si>
    <t>FATTY-ACID-COMPOSITION; EUROPEAN CORN-BORER; HOMEOVISCOUS ADAPTATION; OVERWINTERING LARVAE; COLD-ACCLIMATION; SEASONAL-CHANGES; MEMBRANE-LIPIDS; CHILL TOLERANCE; PUPAL DIAPAUSE; INSECT</t>
  </si>
  <si>
    <t>Larvae of the European corn borer (Ostrinia nubilalis Hubn.) were cold acclimated during different phases of diapause to determine if changes in the fatty acid composition lipids occur as part of a programmed diapause strategy, or as a response to low temperatures during winter. Cold acclimation of fifth instar larvae of O. nubilalis during diapause had modest effects further on the read-justments in fatty acid composition of triacylglycerols and phospholipids. Overall, FA unsaturation (UFAs/SFAs ratio) was stable, with the exception of the triacylglycerols fraction after exposure to -3 and -10 degrees C in mid-diapause (MD) when it significantly increased. Differential scanning calorimetry (DSC) was used to examine phase transitions of total body lipid of cold-acclimated larvae in diapause. Thermal analysis indicated that changes in the melt transition temperatures of whole body total lipids were subtle, but consistent with the modest changes in the level of FA unsaturation observed. We conclude that lipid rearrangements are a function of the endogenous diapause program rather than a direct effect of low temperatures, which proved to have limited impact on lipid changes in diapausing larvae of O. nubilalis.</t>
  </si>
  <si>
    <t>[Vukasinovic, Elvira L.; Grubor-Lajsic, Gordana; Kojic, Danijela; Purac, Jelena; Popovic, Zeljko D.] Univ Novi Sad, Dept Biol &amp; Ecol, Fac Sci, Trg Dositeja Obradovica 3, Novi Sad 21000, Serbia; [Pond, David W.] Scottish Assoc Marine Sci, Oban PA37 1QA, Argyll, Scotland; [Worland, M. Roger] British Antarctic Survey, Cambridge CB3 0ET, England; [Blagojevic, Dusko P.] Univ Belgrade, Inst Biol Res, Dept Physiol, Bulevar Despota Stefana 142, Belgrade 11000, Serbia</t>
  </si>
  <si>
    <t>University of Novi Sad; UHI Millennium Institute; UK Research &amp; Innovation (UKRI); Natural Environment Research Council (NERC); NERC British Antarctic Survey; University of Belgrade</t>
  </si>
  <si>
    <t>Vukasinovic, EL (corresponding author), Univ Novi Sad, Dept Biol &amp; Ecol, Fac Sci, Trg Dositeja Obradovica 3, Novi Sad 21000, Serbia.</t>
  </si>
  <si>
    <t>elvira.vukasinovic@dbe.uns.ac.rs</t>
  </si>
  <si>
    <t>Popović, Željko/F-8257-2010; Blagojević, Duško P/A-7739-2018; Kojić, Danijela/AGJ-5146-2022</t>
  </si>
  <si>
    <t>Popović, Željko/0000-0003-2961-8093; Blagojević, Duško P/0000-0001-6338-2833; Kojić, Danijela/0000-0002-6422-9790; Purac, Jelena/0000-0003-0028-9847; Vukasinovic, Elvira/0000-0002-5486-4803</t>
  </si>
  <si>
    <t>Ministry of Education, Science and Technological Development of the Republic of Serbia [173014]; NERC [bas010011] Funding Source: UKRI</t>
  </si>
  <si>
    <t>Ministry of Education, Science and Technological Development of the Republic of Serbia(Ministry of Education, Science &amp; Technological Development, Serbia); NERC(UK Research &amp; Innovation (UKRI)Natural Environment Research Council (NERC))</t>
  </si>
  <si>
    <t>This work was funded by the Ministry of Education, Science and Technological Development of the Republic of Serbia, grant no. 173014., project entitled Molecular mechanisms of redox signalling in homeostasis: adaptation and pathology. This publication is a contribution to the ECOSYSTEMS Programme of the British Antarctic Survey, UK.</t>
  </si>
  <si>
    <t>0174-1578</t>
  </si>
  <si>
    <t>1432-136X</t>
  </si>
  <si>
    <t>J COMP PHYSIOL B</t>
  </si>
  <si>
    <t>J. Comp. Physiol. B-Biochem. Syst. Environ. Physiol.</t>
  </si>
  <si>
    <t>10.1007/s00360-017-1110-9</t>
  </si>
  <si>
    <t>Physiology; Zoology</t>
  </si>
  <si>
    <t>FS0PS</t>
  </si>
  <si>
    <t>WOS:000419476800003</t>
  </si>
  <si>
    <t>Yates, P; Ziegler, P; Welsford, D; McIvor, J; Farmer, B; Woodcock, E</t>
  </si>
  <si>
    <t>Yates, P.; Ziegler, P.; Welsford, D.; McIvor, J.; Farmer, B.; Woodcock, E.</t>
  </si>
  <si>
    <t>Spatio-temporal dynamics in maturation and spawning of Patagonian toothfish Dissostichus eleginoides on the sub-Antarctic Kerguelen Plateau</t>
  </si>
  <si>
    <t>JOURNAL OF FISH BIOLOGY</t>
  </si>
  <si>
    <t>Nototheniidae; oocyte; reproduction; Southern Ocean; spermatozoa; stock assessment</t>
  </si>
  <si>
    <t>LIFE-HISTORY; SPATIAL VARIATION; MATURITY; SIZE; FISH; AGE; ISLANDS; STOCK; BEHAVIOR; ECOLOGY</t>
  </si>
  <si>
    <t>This study investigated maturation and spawning of Patagonian toothfish Dissostichus eleginoides in the Heard Island and McDonald Islands (HIMI) fishery on the Kerguelen Plateau in the Indian Sector of the Southern Ocean based on gonads and otoliths collected between 2004 and 2015 and using histological analyses and calibration of macroscopic staging criteria. Dissostichus eleginoides at HIMI spawn throughout the austral late autumn and winter months of May-August and spawning activity is concentrated on slopes along the west and south of the plateau around HIMI at depths of 1500-1900m. Comparison between histological analyses and macroscopic gonad staging indicated that many fish that had spawned, as indicated by the presence of post-ovulatory follicles, returned to a resting stage which was macroscopically indistinguishable from maturing fish. Furthermore, the occurrence of females of all size classes with low gonado-somatic index and low macroscopic gonad stage during the spawning season suggested that a proportion of mature females did not spawn every year. Age-at-maturity estimates, based on the assumption that fish of macroscopic stages 2 were mature, decreased between the 2004-2009 and 2010-2015 periods for both sexes. The magnitude of this temporal variation in age at maturity, however, varied between gear types and fishing depths and variable sampling regimes probably influenced these variations. This study highlights the importance of correct interpretation of macroscopic gonad stages and understanding the influence of fishery operations on estimations of life-history parameters.</t>
  </si>
  <si>
    <t>[Yates, P.; Ziegler, P.; Welsford, D.; McIvor, J.; Farmer, B.; Woodcock, E.] Australian Antarctic Div, Dept Environm, 203 Channel Highway, Kingston, Tas, Australia; [Farmer, B.; Woodcock, E.] Univ Tasmania, Inst Marine &amp; Antarctic Studies, Private Bag 49, Hobart, Tas, Australia; [Woodcock, E.] Tasmanian Seafood Ind Council, 117 Sandy Bay Rd, Sandy Bay, Tas, Australia</t>
  </si>
  <si>
    <t>Australian Antarctic Division; University of Tasmania</t>
  </si>
  <si>
    <t>Yates, P (corresponding author), Australian Antarctic Div, Dept Environm, 203 Channel Highway, Kingston, Tas, Australia.</t>
  </si>
  <si>
    <t>peter.yates2@aad.gov.au</t>
  </si>
  <si>
    <t>Ziegler, Philippe/0000-0001-5940-9394; Welsford, Dirk/0000-0001-5379-5052</t>
  </si>
  <si>
    <t>Fisheries Research and Development Corporation Tactical Research Fund [2010/064]; Australian Antarctic Division, Austral Fisheries Pty Ltd.; Australian Longline Pty Ltd.</t>
  </si>
  <si>
    <t>Fisheries Research and Development Corporation Tactical Research Fund; Australian Antarctic Division, Austral Fisheries Pty Ltd.; Australian Longline Pty Ltd.</t>
  </si>
  <si>
    <t>We gratefully acknowledge the assistance of the crew and skippers aboard Austral Fisheries Pty Ltd. and Australian Longline Pty Ltd. vessels in collecting data for this project. In particular we thank the crew of the F.V. Antarctic Chieftain and skipper T. Kitson for conducting the fishing programme during winter 2011 that lead to the collection of many of the samples and data used in this project. Our sincere thanks also to the Australian Fisheries Management Authority (AFMA) Fisheries Observers and Data Collection Officers from Fisheries Audit Services and Capfish Pty Ltd. for assisting with the collection of biological and fishery data since the fishery commenced. Many thanks also to D. Williams for establishing the original scientific data collection programme; T. Lamb, T. Robertson and S. Cameron for database management; J. McKinlay for assistance with bootstrap sampling; and G. Nowara for assistance with producing Fig. 1. This study was funded through the Fisheries Research and Development Corporation Tactical Research Fund Project 2010/064, with significant in-kind support from the Australian Antarctic Division, Austral Fisheries Pty Ltd. and Australian Longline Pty Ltd.</t>
  </si>
  <si>
    <t>0022-1112</t>
  </si>
  <si>
    <t>1095-8649</t>
  </si>
  <si>
    <t>J FISH BIOL</t>
  </si>
  <si>
    <t>J. Fish Biol.</t>
  </si>
  <si>
    <t>10.1111/jfb.13479</t>
  </si>
  <si>
    <t>FR8EM</t>
  </si>
  <si>
    <t>WOS:000419307300003</t>
  </si>
  <si>
    <t>Wódkiewicz, M; Chwedorzewska, KJ; Bednarek, PT; Znój, A; Androsiuk, P; Galera, H</t>
  </si>
  <si>
    <t>Wodkiewicz, Maciej; Chwedorzewska, Katarzyna J.; Bednarek, Piotr T.; Znoj, Anna; Androsiuk, Piotr; Galera, Halina</t>
  </si>
  <si>
    <t>How much of the invader's genetic variability can slip between our fingers? A case study of secondary dispersal of Poa annua on King George Island (Antarctica)</t>
  </si>
  <si>
    <t>ECOLOGY AND EVOLUTION</t>
  </si>
  <si>
    <t>alien species; amplified fragment length polymorphism; biological invasion; demographic processes</t>
  </si>
  <si>
    <t>BIOLOGICAL INVASIONS; EVOLUTIONARY GENETICS; ADAPTIVE EVOLUTION; SOUTH SHETLAND; SUCCESS; AFLP; L.; POPULATIONS; DIVERSITY; HYBRIDIZATION</t>
  </si>
  <si>
    <t>We studied an invasion of Poa annua on King George Island (Maritime Antarctic). The remoteness of this location, its geographic isolation, and its limited human traffic provided an opportunity to trace the history of an invasion of the species. Poaannua was recorded for the first time at H. Arctowski Polish Antarctic Station in the austral summer of 1985/6. In 2008/9, the species was observed in a new locality at the Ecology Glacier Forefield (1.5 km from Arctowski). We used AFLP to analyze the genetic differences among three populations of P.annua: the two mentioned above (Station and Forefield) and the putative origin of the introduction, Warsaw (Poland). There was 38% genetic variance among the populations. Pairwise phi(PT) was 0.498 between the Forefield and Warsaw populations and 0.283 between Warsaw and Station. There were 15 unique bands in the Warsaw population (frequency from 6% to 100%) and one in the Station/Forefield populations (which appears in all analyzed individuals from both populations). The Delta(K) parameter indicated two groups of samples: Warsaw/Station and Forefield. As indicated by Fu's Fs statistics and an analysis of mismatch distribution, the Forefield population underwent a bottleneck and/or founder effect. The Forefield population was likely introduced by secondary dispersal from the Station population.</t>
  </si>
  <si>
    <t>[Wodkiewicz, Maciej; Galera, Halina] Univ Warsaw, Biol &amp; Chem Res Ctr, Fac Biol, Warsaw, Poland; [Chwedorzewska, Katarzyna J.; Znoj, Anna] Polish Acad Sci, Inst Biochem &amp; Biophys, Warsaw, Poland; [Bednarek, Piotr T.] Natl Res Inst, Plant Breeding &amp; Acclimatizat Inst, Blonie, Poland; [Androsiuk, Piotr] Univ Warmia &amp; Mazury, Dept Plant Physiol Genet &amp; Biotechnol, Olsztyn, Poland</t>
  </si>
  <si>
    <t>University of Warsaw; Polish Academy of Sciences; Institute of Biochemistry &amp; Biophysics - Polish Academy of Sciences; Institute of Plant Breeding &amp; Acclimatization; University of Warmia &amp; Mazury</t>
  </si>
  <si>
    <t>Chwedorzewska, KJ (corresponding author), Polish Acad Sci, Inst Biochem &amp; Biophys, Warsaw, Poland.</t>
  </si>
  <si>
    <t>kchwedorzewska@go2.pl</t>
  </si>
  <si>
    <t>Androsiuk, Piotr/M-6175-2019; Bednarek, Piotr/A-9523-2009; Znój, Anna/AAX-3819-2021; Galera, Halina/V-5347-2018; Chwedorzewska, Katarzyna/M-9721-2019; Yury, Sazanov Y N/Q-3290-2017; Galera, Halina/IUQ-1030-2023; Chwedorzewska, Katarzyna J/A-9480-2008</t>
  </si>
  <si>
    <t>Androsiuk, Piotr/0000-0002-1851-3192; Znój, Anna/0000-0002-8424-6707; Galera, Halina/0000-0001-6983-0908; Chwedorzewska, Katarzyna/0000-0001-6860-3666; Wodkiewicz, Maciej/0000-0002-7358-126X; Bednarek, Piotr Tomasz/0000-0002-1553-8378</t>
  </si>
  <si>
    <t>Narodowe Centrum Nauki [2016/21/N/NZ9/01536, 218361, 2013/09/B/NZ8/03293]; EU European Regional Development Fund under the Innovative Economy Operational Program</t>
  </si>
  <si>
    <t>Narodowe Centrum Nauki(National Science Centre, Poland); EU European Regional Development Fund under the Innovative Economy Operational Program</t>
  </si>
  <si>
    <t>Narodowe Centrum Nauki, Grant/Award Number: 2016/21/N/NZ9/01536, 218361 and 2013/09/B/NZ8/03293; EU European Regional Development Fund under the Innovative Economy Operational Program, 2007-2013</t>
  </si>
  <si>
    <t>2045-7758</t>
  </si>
  <si>
    <t>ECOL EVOL</t>
  </si>
  <si>
    <t>Ecol. Evol.</t>
  </si>
  <si>
    <t>10.1002/ece3.3675</t>
  </si>
  <si>
    <t>FS0SE</t>
  </si>
  <si>
    <t>WOS:000419483200051</t>
  </si>
  <si>
    <t>Su, XL; Shum, CK; Guo, JY; Howat, IM; Kuo, CY; Jezek, KC; Duan, JB; Yi, YC</t>
  </si>
  <si>
    <t>Su, Xiaoli; Shum, C. K.; Guo, Junyi; Howat, Ian M.; Kuo, Chungyen; Jezek, Kenneth C.; Duan, Jianbin; Yi, Yuchan</t>
  </si>
  <si>
    <t>High-Resolution Interannual Mass Anomalies of the Antarctic Ice Sheet by Combining GRACE Gravimetry and ENVISAT Altimetry</t>
  </si>
  <si>
    <t>IEEE TRANSACTIONS ON GEOSCIENCE AND REMOTE SENSING</t>
  </si>
  <si>
    <t>Antarctic ice sheet (AIS); density; ENVISAT; Gravity Recovery and Climate Experiment (GRACE); interannual anomalies</t>
  </si>
  <si>
    <t>GLACIAL ISOSTATIC-ADJUSTMENT; SEA-LEVEL RISE; SATELLITE GRAVIMETRY; RADAR ALTIMETRY; GREENLAND; BALANCE; ELEVATION; LOSSES; MODEL; RATES</t>
  </si>
  <si>
    <t>Knowledge of interannual mass variations of the Antarctic ice sheet (AIS) associated with its surface mass change is important for correctly interpreting the long-term mass trend and evaluating the fidelity of surface mass balance from regional climate models. Here, we revisit the interannual anomalies of mass change from Gravity Recovery and Climate Experiment and elevation change from ENVISAT over the AIS during 2003-2009, with the objective of obtaining higher resolution interannual mass anomalies based on ENVISAT data. High positive correlations (&gt;0.6) between the two interannual anomalies are primarily found over the west AIS and coastal regions in the east AIS, occupying more than 40% of the AIS. By combining the two interannual anomalies, we are able to estimate the density of snow/ice changing interannually over regions in the AIS. Especially over the Amundsen Sea sector with significant interannual signals, the temporal variability of the density of snow/ice associated with interannual anomalies is shown for the first time, which agrees with the events of excess snow accumulation and the accelerated ice discharge occurring there. Furthermore, we demonstrate the feasibility of obtaining higher resolution interannual mass anomalies over the west AIS, based on the density-corrected ENVISAT data. Negative correlations, which were also found in a previous study, are likely related to errors in the relatively weak interannual signals.</t>
  </si>
  <si>
    <t>[Su, Xiaoli] Huazhong Univ Sci &amp; Technol, MOE Key Lab Fundamental Phys Quant Measurement, Hubei Key Lab Gravitat &amp; Quantum Phys, Inst Geophys,Sch Phys, Wuhan 430074, Hubei, Peoples R China; [Shum, C. K.; Guo, Junyi; Duan, Jianbin; Yi, Yuchan] Ohio State Univ, Sch Earth Sci, Div Geodet Sci, Columbus, OH 43210 USA; [Shum, C. K.] Chinese Acad Sci, Inst Geodesy &amp; Geophys, Wuhan 430077, Hubei, Peoples R China; [Howat, Ian M.; Jezek, Kenneth C.] Ohio State Univ, Byrd Polar &amp; Climate Res Ctr, Columbus, OH 43210 USA; [Kuo, Chungyen] Natl Cheng Kung Univ, Dept Geomat, Tainan 701, Taiwan</t>
  </si>
  <si>
    <t>Huazhong University of Science &amp; Technology; University System of Ohio; Ohio State University; Chinese Academy of Sciences; Innovation Academy for Precision Measurement Science &amp; Technology, CAS; University System of Ohio; Ohio State University; National Cheng Kung University</t>
  </si>
  <si>
    <t>Su, XL (corresponding author), Huazhong Univ Sci &amp; Technol, MOE Key Lab Fundamental Phys Quant Measurement, Hubei Key Lab Gravitat &amp; Quantum Phys, Inst Geophys,Sch Phys, Wuhan 430074, Hubei, Peoples R China.</t>
  </si>
  <si>
    <t>xisu2016@hust.edu.cn</t>
  </si>
  <si>
    <t>Howat, Ian/A-3474-2008</t>
  </si>
  <si>
    <t>Howat, Ian/0000-0002-8072-6260; Su, Xiaoli/0000-0003-0817-1122; Shum, C K/0000-0001-9378-4067</t>
  </si>
  <si>
    <t>NASA's Cryosphere Program [NNX13AQ89G, NNX13AP92G]; NSF through the Belmont Forum/IGFA [ICER-1342644]; NSFC [41374020]; IGG Internal Project [Y309473047]; China Postdoctoral Science Foundation [2016M602300]; Headquarters of University Advancement at National Cheng Kung University, Taiwan; NASA [NNX13AP92G, NNX13AQ89G, 465809, 464646] Funding Source: Federal RePORTER</t>
  </si>
  <si>
    <t>NASA's Cryosphere Program(National Aeronautics &amp; Space Administration (NASA)); NSF through the Belmont Forum/IGFA; NSFC(National Natural Science Foundation of China (NSFC)); IGG Internal Project; China Postdoctoral Science Foundation(China Postdoctoral Science Foundation); Headquarters of University Advancement at National Cheng Kung University, Taiwan; NASA(National Aeronautics &amp; Space Administration (NASA))</t>
  </si>
  <si>
    <t>This work was supported in part by the NASA's Cryosphere Program under Grant NNX13AQ89G and Grant NNX13AP92G, in part by NSF through the Belmont Forum/IGFA under Grant ICER-1342644, in part by NSFC under Grant 41374020, and in part by the IGG Internal Project under Grant Y309473047. The work of X. Su was supported by the China Postdoctoral Science Foundation funded project under Grant 2016M602300. The work of C. Kuo was supported by the Headquarters of University Advancement at National Cheng Kung University, Taiwan.</t>
  </si>
  <si>
    <t>0196-2892</t>
  </si>
  <si>
    <t>1558-0644</t>
  </si>
  <si>
    <t>IEEE T GEOSCI REMOTE</t>
  </si>
  <si>
    <t>IEEE Trans. Geosci. Remote Sensing</t>
  </si>
  <si>
    <t>10.1109/TGRS.2017.2751070</t>
  </si>
  <si>
    <t>Geochemistry &amp; Geophysics; Engineering, Electrical &amp; Electronic; Remote Sensing; Imaging Science &amp; Photographic Technology</t>
  </si>
  <si>
    <t>Geochemistry &amp; Geophysics; Engineering; Remote Sensing; Imaging Science &amp; Photographic Technology</t>
  </si>
  <si>
    <t>FR2BW</t>
  </si>
  <si>
    <t>WOS:000418873000042</t>
  </si>
  <si>
    <t>Scott, SV</t>
  </si>
  <si>
    <t>Scott, Shirley V.</t>
  </si>
  <si>
    <t>What lessons does the Antarctic Treaty System offer for the future of peaceful relations in the South China Sea?</t>
  </si>
  <si>
    <t>MARINE POLICY</t>
  </si>
  <si>
    <t>JOINT DEVELOPMENT; COOPERATION; OIL</t>
  </si>
  <si>
    <t>Tensions in the South China Sea are typically analysed either from a power perspective, which emphasises the ambitions of a rising China and the potential for conflict; or from an international law perspective, which typically assesses the scope for resolution of competing claims under the United Nations Convention on the Law of the Sea and the impact of the South China Sea arbitration. There have also been efforts to analyse the potential for creative legal solutions, including consideration of the Antarctic Treaty System as a potential model. This paper revisits the Antarctic analogy. Rather than view this from a law or politics perspective, the paper suggests that viewing Antarctic Treaty provisions as having been championed by a rising power whose interests were not closely supported by application of the existing legal regime yields rather different lessons and offers cautious grounds for optimism.</t>
  </si>
  <si>
    <t>[Scott, Shirley V.] UNSW Canberra, Sch Humanities &amp; Social Sci, Canberra, ACT, Australia</t>
  </si>
  <si>
    <t>University of New South Wales Sydney</t>
  </si>
  <si>
    <t>Scott, SV (corresponding author), UNSW Canberra, Sch Humanities &amp; Social Sci, Canberra, ACT, Australia.</t>
  </si>
  <si>
    <t>s.scott@unsw.edu.au</t>
  </si>
  <si>
    <t>0308-597X</t>
  </si>
  <si>
    <t>1872-9460</t>
  </si>
  <si>
    <t>MAR POLICY</t>
  </si>
  <si>
    <t>Mar. Pol.</t>
  </si>
  <si>
    <t>10.1016/j.marpol.2017.10.004</t>
  </si>
  <si>
    <t>Environmental Studies; International Relations</t>
  </si>
  <si>
    <t>Environmental Sciences &amp; Ecology; International Relations</t>
  </si>
  <si>
    <t>FR9SA</t>
  </si>
  <si>
    <t>WOS:000419412200036</t>
  </si>
  <si>
    <t>DeWitt, S; Kelly, B; Araiza, M; Ryberg, PE</t>
  </si>
  <si>
    <t>DeWitt, Shelby; Kelly, Brooke; Araiza, Margarita; Ryberg, Patricia E.</t>
  </si>
  <si>
    <t>Growth habit indicators from Permian Antarctic glossopterids</t>
  </si>
  <si>
    <t>REVIEW OF PALAEOBOTANY AND PALYNOLOGY</t>
  </si>
  <si>
    <t>CENTRAL TRANSANTARCTIC MOUNTAINS; PRESERVED FOSSIL PLANTS; PERMINERALIZED FOSSILS; REPRODUCTIVE-ORGANS; EXTANT GYMNOSPERMS; SP NOV.; GEN.; QUEENSLAND; PHYLOGENY; AUSTRALIA</t>
  </si>
  <si>
    <t>Glossopteridales dominated the Gondwanan landscape during the Permian with Glossopteris leaves in mats suggesting a deciduous nature. While a great deal of anatomical and morphological information is known about the glossopterids, growth habit indicators have been limited to wood anatomical analyses and the presence of leaf mats. In this study the relative and absolute abundances were calculated on impression specimens collected from the Skaar Ridge locality in the Transantarctic Mountains, Antarctica. Results indicate that material is parautochthonous with layers dominated by either Glossopteris leaves or scale leaves. Three morphologies of scale leaves are present, two of which are associated with reproductive structures and one probably representing bud scales. Only pollen organ-bearing leaves have been observed on the specimens indicating that glossopterids may have been dioecious since ovulate material is not observed in any layer. A second hypothesis is that the glossopterids are monecious, but shed pollen structures early in the season and ovulate structures in the fall with Glossopteris leaves and just have not been observed in the leaf mats. The results from this study will help fill in gaps currently present for the glossopterids in phylogenetic analyses to help resolve their true position in a phylogenetic context. (c) 2017 Elsevier B.V. All rights reserved.</t>
  </si>
  <si>
    <t>[DeWitt, Shelby; Kelly, Brooke; Araiza, Margarita; Ryberg, Patricia E.] Pk Univ, Dept Nat &amp; Phys Sci, Parkville, MO 64152 USA</t>
  </si>
  <si>
    <t>Ryberg, PE (corresponding author), Pk Univ, Dept Nat &amp; Phys Sci, Parkville, MO 64152 USA.</t>
  </si>
  <si>
    <t>patricia.ryberg@park.edu</t>
  </si>
  <si>
    <t>National Science Foundation [OPP 1341500]</t>
  </si>
  <si>
    <t>The authors would like to thank the 2010-2011 Antarctic paleobotany field team (A.L. Decombeix, I. Escapa, E. Gulbranson, A. Schwendemann, R. Serbet, B. Statite) who collected the specimens used in this study as well as Dr. Rudolph Serbet, Dr. Edith L. Taylor, and Dr. Thomas N. Taylor for allowing access to the paleobotanical collections at the University of Kansas. Furthermore, this work was greatly improved with the help of two anonymous reviewers and the journal editor whom the authors offer thanks. This undergraduate research was funded by the National Science Foundation grant OPP 1341500 to P.E.R.</t>
  </si>
  <si>
    <t>0034-6667</t>
  </si>
  <si>
    <t>1879-0615</t>
  </si>
  <si>
    <t>REV PALAEOBOT PALYNO</t>
  </si>
  <si>
    <t>Rev. Palaeobot. Palynology</t>
  </si>
  <si>
    <t>10.1016/j.revpalbo.2017.10.003</t>
  </si>
  <si>
    <t>Plant Sciences; Paleontology</t>
  </si>
  <si>
    <t>FR9TV</t>
  </si>
  <si>
    <t>WOS:000419416900003</t>
  </si>
  <si>
    <t>Buchan, SJ; Hucke-Gaete, R; Stafford, KM; Clark, CW</t>
  </si>
  <si>
    <t>Buchan, Susannah J.; Hucke-Gaete, Rodrigo; Stafford, Kathleen M.; Clark, Christopher W.</t>
  </si>
  <si>
    <t>Occasional acoustic presence of Antarctic blue whales on a feeding ground in southern Chile</t>
  </si>
  <si>
    <t>MARINE MAMMAL SCIENCE</t>
  </si>
  <si>
    <t>BALAENOPTERA-MUSCULUS; CALL TYPES; PACIFIC; FREQUENCY; SOUNDS; KRILL; LINK; SONG</t>
  </si>
  <si>
    <t>[Buchan, Susannah J.] Univ Concepcion, COPAS Sur Austral, Barrio Univ S-N, Concepcion 4030000, Chile; [Buchan, Susannah J.] Woods Hole Oceanog Inst, Dept Biol, Woods Hole, MA 02543 USA; [Hucke-Gaete, Rodrigo] Univ Austral Chile, Inst Ciencias Marinas &amp; Limnol, Campus Isla Teja, Valdivia, Chile; [Stafford, Kathleen M.] Univ Washington, Appl Phys Lab, Seattle, WA 98105 USA; [Clark, Christopher W.] Cornell Univ, Bioacoust Res Program, Cornell Lab Ornithol, Ithaca, NY 14850 USA</t>
  </si>
  <si>
    <t>Universidad de Concepcion; Woods Hole Oceanographic Institution; Universidad Austral de Chile; University of Washington; University of Washington Seattle; Cornell University</t>
  </si>
  <si>
    <t>Buchan, SJ (corresponding author), Univ Concepcion, COPAS Sur Austral, Barrio Univ S-N, Concepcion 4030000, Chile.;Buchan, SJ (corresponding author), Woods Hole Oceanog Inst, Dept Biol, Woods Hole, MA 02543 USA.</t>
  </si>
  <si>
    <t>sbuchan@udec.cl</t>
  </si>
  <si>
    <t>Buchan, Susannah J/E-7368-2015</t>
  </si>
  <si>
    <t>Buchan, Susannah/0000-0003-2180-1432</t>
  </si>
  <si>
    <t>Melimoyu Ecosystem Research Institute; SNP Patagonia Sur; Universidad Austral de Chile; Postgraduate Office at the University of Concepcion; Centre for Oceanographic Research in the eastern South Pacific (COPAS Sur-Austral) [CONICYT PIA PFB31]; Chilean Government's National Commission of Science and Technology (CONICYT); Office of Naval Research [N62909-15-1-V133]</t>
  </si>
  <si>
    <t>Melimoyu Ecosystem Research Institute; SNP Patagonia Sur; Universidad Austral de Chile; Postgraduate Office at the University of Concepcion; Centre for Oceanographic Research in the eastern South Pacific (COPAS Sur-Austral); Chilean Government's National Commission of Science and Technology (CONICYT); Office of Naval Research(Office of Naval Research)</t>
  </si>
  <si>
    <t>We are grateful to the Melimoyu Ecosystem Research Institute and SNP Patagonia Sur for providing the funding that made this project possible through a grant to RHG and the Universidad Austral de Chile. Our sincere thanks to Fred Channel and staff from the Bioacoustics Research Program at the Cornell Lab of Ornithology for field assistance with the deployment and recovery of the MARUs. We thank the staff and volunteers of the local Chilean NGO Centro Ballena Azul and the Universidad Austral de Chile for their hard work during fieldwork. We also thank the captains and crews of the Williwaw and the Pesquera Elefantes Ltda. fleet for valuable logistical support during fieldwork. Many thanks to Laura Gutierrez for help with the data analysis. SJB was supported during data collection by consecutive Ph.D. scholarships and stipends from the Universidad Austral de Chile, the Postgraduate Office at the University of Concepcion, the Centre for Oceanographic Research in the eastern South Pacific (COPAS Sur-Austral, CONICYT PIA PFB31 grant) and the Chilean Government's National Commission of Science and Technology (CONICYT). SJB was supported during analysis and manuscript preparation by the Centre for Oceanographic Research in the eastern South Pacific (COPAS Sur-Austral, CONICYT PIA PFB31) and the Office of Naval Research Global Visiting Scientist Program (award N62909-15-1-V133).</t>
  </si>
  <si>
    <t>0824-0469</t>
  </si>
  <si>
    <t>1748-7692</t>
  </si>
  <si>
    <t>MAR MAMMAL SCI</t>
  </si>
  <si>
    <t>Mar. Mamm. Sci.</t>
  </si>
  <si>
    <t>10.1111/mms.12441</t>
  </si>
  <si>
    <t>FQ4OM</t>
  </si>
  <si>
    <t>WOS:000418337200014</t>
  </si>
  <si>
    <t>Moros-Nicolás, C; Leza, A; Chevret, P; Guillén-Martínez, A; González-Brusi, L; Boué, F; Lopez-Bejar, M; Ballesta, J; Avilés, M; Izquierdo-Rico, MJ</t>
  </si>
  <si>
    <t>Moros-Nicolas, C.; Leza, A.; Chevret, P.; Guillen-Martinez, A.; Gonzalez-Brusi, L.; Boue, F.; Lopez-Bejar, M.; Ballesta, J.; Aviles, M.; Izquierdo-Rico, M. J.</t>
  </si>
  <si>
    <t>Analysis of ZP1 gene reveals differences in zona pellucida composition in carnivores</t>
  </si>
  <si>
    <t>REPRODUCTION FERTILITY AND DEVELOPMENT</t>
  </si>
  <si>
    <t>carnivore phylogeny; pseudogene</t>
  </si>
  <si>
    <t>ACROSOME REACTION; FOX POPULATIONS; ACTIVE IMMUNIZATION; GAMETE INTERACTIONS; FERTILITY-CONTROL; GRANULOSA-CELLS; 4 GLYCOPROTEINS; NEW-ZEALAND; HUMAN SPERM; IN-VITRO</t>
  </si>
  <si>
    <t>The zona pellucida (ZP) is an extracellular envelope that surrounds mammalian oocytes. This coat participates in the interaction between gametes, induction of the acrosome reaction, block of polyspermy and protection of the oviductal embryo. Previous studies suggested that carnivore ZP was formed by three glycoproteins (ZP2, ZP3 and ZP4), with ZP1 being a pseudogene. However, a recent study in the cat found that all four proteins were expressed. In the present study, in silico and molecular analyses were performed in several carnivores to clarify the ZP composition in this order of mammals. The in silico analysis demonstrated the presence of the ZP1 gene in five carnivores: cheetah, panda, polar bear, tiger and walrus, whereas in the Antarctic fur seal and the Weddell seal there was evidence of pseudogenisation. Molecular analysis showed the presence of four ZP transcripts in ferret ovaries (ZP1, ZP2, ZP3 and ZP4) and three in fox ovaries (ZP2, ZP3 and ZP4). Analysis of the fox ZP1 gene showed the presence of a stop codon. The results strongly suggest that all four ZP genes are expressed in most carnivores, whereas ZP1 pseudogenisation seems to have independently affected three families (Canidae, Otariidae and Phocidae) of the carnivore tree.</t>
  </si>
  <si>
    <t>[Moros-Nicolas, C.; Leza, A.; Guillen-Martinez, A.; Gonzalez-Brusi, L.; Ballesta, J.; Aviles, M.; Izquierdo-Rico, M. J.] Univ Murcia, Biomed Res Inst Murcia IMIB Arrixaca UMU, Fac Med, Dept Cell Biol &amp; Histol, E-30100 Murcia, Spain; [Chevret, P.] Univ Claude Bernard Lyon 1, Lab Biometrie &amp; Biol Evolut, CNRS, UMR5558, F-69622 Villeurbanne, France; [Boue, F.] ANSES, Nancy Lab Rabies &amp; Wildlife, CS 40009, F-54220 Malzeville, France; [Lopez-Bejar, M.] Univ Autonoma Barcelona, Dept Anim Hlth &amp; Anat, E-08193 Barcelona, Spain</t>
  </si>
  <si>
    <t>University of Murcia; Centre National de la Recherche Scientifique (CNRS); CNRS - Institute of Ecology &amp; Environment (INEE); Universite Claude Bernard Lyon 1; VetAgro Sup; Agence Nationale de Securite Sanitaire de l'Alimentation, de l'Environnement du Travail (ANSES); Technopole Agricole et Veterinaire; Autonomous University of Barcelona</t>
  </si>
  <si>
    <t>Moros-Nicolás, C; Izquierdo-Rico, MJ (corresponding author), Univ Murcia, Biomed Res Inst Murcia IMIB Arrixaca UMU, Fac Med, Dept Cell Biol &amp; Histol, E-30100 Murcia, Spain.</t>
  </si>
  <si>
    <t>carla.moros@um.es; mjoseir@um.es</t>
  </si>
  <si>
    <t>Moros, Carla/AAA-7167-2020; Lopez-Bejar, Manel/S-2429-2019; Guillén-Martínez, Ascensión/JKI-0592-2023; Chevret, Pascale/B-7299-2009; Aviles, Manuel/H-6390-2015</t>
  </si>
  <si>
    <t>Lopez-Bejar, Manel/0000-0001-9490-6126; Guillén-Martínez, Ascensión/0000-0001-6770-8562; Moros Nicolas, Carla/0000-0003-0926-7804; Aviles, Manuel/0000-0003-4396-4718; ballesta, Jose/0000-0001-7965-5277</t>
  </si>
  <si>
    <t>Spanish Ministry of Economy and Competitiveness (MINECO); European Regional Development Fund (FEDER) [AGL2012-40180-C03-02, AGL2015-70159-P]; University of Murcia (Spain)</t>
  </si>
  <si>
    <t>Spanish Ministry of Economy and Competitiveness (MINECO)(Spanish Government); European Regional Development Fund (FEDER)(European Union (EU)); University of Murcia (Spain)</t>
  </si>
  <si>
    <t>The authors thank the Nancy Laboratory for Rabies and Wildlife for providing fox samples, the Clinica Veterinaria La Alcayna for providing dog samples and Clinica Veterinaria Huellas for performing the ovariectomies in ferrets. This work was supported by the Spanish Ministry of Economy and Competitiveness (MINECO) and European Regional Development Fund (FEDER; Grants AGL2012-40180-C03-02 and AGL2015-70159-P). C. Moros-Nicolas was supported by a PhD fellowship from the University of Murcia (Spain).</t>
  </si>
  <si>
    <t>1031-3613</t>
  </si>
  <si>
    <t>1448-5990</t>
  </si>
  <si>
    <t>REPROD FERT DEVELOP</t>
  </si>
  <si>
    <t>Reprod. Fertil. Dev.</t>
  </si>
  <si>
    <t>10.1071/RD17022</t>
  </si>
  <si>
    <t>Developmental Biology; Reproductive Biology; Zoology</t>
  </si>
  <si>
    <t>FR4DB</t>
  </si>
  <si>
    <t>WOS:000419014800003</t>
  </si>
  <si>
    <t>Furze, MFA; Pienkowski, AJ; McNeely, MA; Bennett, R; Cage, AG</t>
  </si>
  <si>
    <t>Furze, Mark F. A.; Pienkowski, Anna J.; McNeely, Morgan A.; Bennett, Robbie; Cage, Alix G.</t>
  </si>
  <si>
    <t>Deglaciation and ice shelf development at the northeast margin of the Laurentide Ice Sheet during the Younger Dryas chronozone</t>
  </si>
  <si>
    <t>BOREAS</t>
  </si>
  <si>
    <t>LAST GLACIAL MAXIMUM; CANADIAN ARCTIC ARCHIPELAGO; LATE WISCONSINAN GLACIATION; DELTA-R VALUES; ANTARCTIC PENINSULA; INNUITIAN ICE; BAFFIN-ISLAND; RESERVOIR AGE; BYLOT ISLAND; GLACIMARINE SEDIMENTATION</t>
  </si>
  <si>
    <t>Core 2011804-0010 from easternmost Lancaster Sound provides important insights into deglacial timing and style at the marine margin of the NE Laurentide Ice Sheet (LIS). Spanning 13.2-11.0cal. ka BP and investigated for ice-rafted debris (IRD), foraminifera, biogenic silica and total organic carbon, the stratigraphy comprises a lithofacies progression from proximal grounding line and sub-ice shelf environments to open glaciomarine deposition; a sequence similar to deposits from Antarctic ice shelves. These results are the first marine evidence of a former ice shelf in the eastern Northwest Passage and are consistent with a preceding phase of ice streaming in eastern Lancaster Sound. Initial glacial float-off and retreat occurred &gt;13.2cal. ka BP, followed by formation of an extensive deglacial ice shelf during the Younger Dryas, which acted to stabilize the retreating margin of the NE LIS until 12.5cal. ka BP. IRD analyses of sub-ice shelf facies indicate initial high input from source areas on northern Baffin Island delivered to Lancaster Sound by a tributary ice stream in Admiralty Inlet. After ice shelf break-up, Bylot Island became the dominant source area. Foraminifera are dominated by characteristic ice-proximal glaciomarine benthics (Cassidulina reniforme, Elphidium excavatum f. clavata), complemented by advected Atlantic water (Cassidulina neoteretis, Neogloboquadrina pachyderma) and enhanced current indicators (Lobatula lobatula). The biostratigraphy further supports the ice shelf model, with advection of sparse faunas beneath the ice shelf, followed by increased productivity under open water glaciomarine conditions. The absence of Holocene sediments in the core suggests that the uppermost deposits were removed, most likely due to mass transport resulting from the site's proximity to modern tidewater glacier margins. Collectively, this study presents important new constraints on the deglacial behaviour of the NE Laurentide Ice Sheet, with implications for past ice sheet stability, ice-rafted sediment delivery, and ice-ocean interactions in this complex archipelago setting.</t>
  </si>
  <si>
    <t>[Furze, Mark F. A.; Pienkowski, Anna J.; McNeely, Morgan A.] MacEwan Univ, Dept Phys Sci, Edmonton, AB T5J 4S2, Canada; [Pienkowski, Anna J.] Bangor Univ, Sch Ocean Sci, Coll Nat Sci, Menai Bridge LL59 5AB, Gwynedd, Wales; [Bennett, Robbie] Geol Survey Canada Atlantic, Dartmouth, NS B2Y 4A2, Canada; [Cage, Alix G.] Keele Univ, Sch Geog Geol &amp; Environm, Keele ST5 5BG, Staffs, England</t>
  </si>
  <si>
    <t>Bangor University; Natural Resources Canada; Lands &amp; Minerals Sector - Natural Resources Canada; Geological Survey of Canada; Keele University</t>
  </si>
  <si>
    <t>Furze, MFA (corresponding author), MacEwan Univ, Dept Phys Sci, Edmonton, AB T5J 4S2, Canada.</t>
  </si>
  <si>
    <t>FurzeM@macewan.ca</t>
  </si>
  <si>
    <t>Pieńkowski, Anna J./AAL-1312-2020; Cage, Alix Gayle/AAK-9555-2021</t>
  </si>
  <si>
    <t>Pieńkowski, Anna J./0000-0002-3606-7130; Cage, Alix/0000-0001-9992-9757; Furze, Mark/0000-0003-4636-6182</t>
  </si>
  <si>
    <t>Marie Curie Career Integration Grant [FP7-PEOPLE-2011-CIG 304178]</t>
  </si>
  <si>
    <t>Marie Curie Career Integration Grant(Marie Curie Actions)</t>
  </si>
  <si>
    <t>ESS contribution number 20160266. This research was made possible by a Marie Curie Career Integration Grant awarded to A. J. Pienkowski (FP7-PEOPLE-2011-CIG 304178) for The Quaternary Environmental Evolution of the Northwest-Passage. We thank the captain and crew of the CCGS 'Amundsen' for help with the recovery of core 2011804-0010, and are particularly grateful to Bob Murphy (GSC-Atlantic) for leading core recovery. We thank Kate Jarrett and Jenna Higgins (GSC-Atlantic) for invaluable assistancewith the description and sampling of core materials. Karen-Luise Knudsen and Marit-Solveig Seidenkrantz (Aarhus Universitet), and Katrine Husum (Norsk Polar Institutt) are thanked for help with foraminiferal identification. Roy Coulthard (MacEwan University) provided guidance on DRvalues. A. J. Pienkowski and M.F.A. Furze are grateful to colleagues at the Institutt for geovitenskap, Universitetet i Tromso, for hosting them during preparation of this manuscript. M.F.A. Furze also thanks colleagues Jason Amundson (University of South East Alaska), Robert Larter (British Antarctic Survey) and Monica Winsborrow (Universitetet i Tromso) for fruitful discussion surrounding ice shelf development and break-up. We are grateful to Thomas Lakeman and an anonymous reviewer for their detailed and encouraging comments that greatly improved this manuscript, as well as extending our thanks to Jan A. Piotrowski for his editorial handling of the paper.</t>
  </si>
  <si>
    <t>0300-9483</t>
  </si>
  <si>
    <t>1502-3885</t>
  </si>
  <si>
    <t>Boreas</t>
  </si>
  <si>
    <t>10.1111/bor.12265</t>
  </si>
  <si>
    <t>FR4ML</t>
  </si>
  <si>
    <t>WOS:000419039500017</t>
  </si>
  <si>
    <t>Morén, BM; Sejrup, HP; Hjelstuen, BO; Borge, MV; Schäuble, C</t>
  </si>
  <si>
    <t>Moren, Bjorn M.; Sejrup, Hans Petter; Hjelstuen, Berit O.; Borge, Marianne V.; Schauble, Cathrina</t>
  </si>
  <si>
    <t>The last deglaciation of the Norwegian Channel - geomorphology, stratigraphy and radiocarbon dating</t>
  </si>
  <si>
    <t>ANTARCTIC ICE-SHEET; NORTHERN NORTH-SEA; SCALE GLACIAL LINEATIONS; WEST ANTARCTICA; DEPOSITIONAL ENVIRONMENT; FLOOR EVIDENCE; SW NORWAY; STREAM-B; HISTORY; GREENLAND</t>
  </si>
  <si>
    <t>Based on high-resolution TOPAS acoustic data, bathymetric data sets and sediment cores from the Norwegian Channel, the last retreat of the Norwegian Channel Ice Stream has been investigated. Mapping of ice-marginal features such as grounding-zone wedges and terminal moraines off western Norway suggest that the retreat of the grounding line in this part of the channel was interrupted by frequent stillstands, whereas the channel south of the threshold at Jaeren does not have crossing ice-marginal landforms. Three main seismic units have been identified, and, based on their seismic characteristics, in addition to study of sediment cores, these units are interpreted as till (U1), glacial marine sediment (U2) and Holocene hemipelagic sediment (U3). Based on new and published radiocarbon dates of the lower part of U2, combined with dates from the adjacent areas, it is concluded that the grounding line started to retreat from the shelf edge at about 19 ka and that the inner part of Skagerrak was ice free at 17.6 ka. Thisgives an average retreat rate of 450m a(-1), which is generally higher than mean retreat rates estimated for other palaeo-ice streams (15-310m a(-1)).</t>
  </si>
  <si>
    <t>[Moren, Bjorn M.; Sejrup, Hans Petter; Hjelstuen, Berit O.; Borge, Marianne V.; Schauble, Cathrina] Univ Bergen, Dept Earth Sci, Allegaten 41, N-5007 Bergen, Norway</t>
  </si>
  <si>
    <t>University of Bergen</t>
  </si>
  <si>
    <t>Morén, BM (corresponding author), Univ Bergen, Dept Earth Sci, Allegaten 41, N-5007 Bergen, Norway.</t>
  </si>
  <si>
    <t>b.moren@gmail.com</t>
  </si>
  <si>
    <t>Moren, Bjorn/G-4386-2013</t>
  </si>
  <si>
    <t>Moren, Bjorn/0000-0002-5160-124X</t>
  </si>
  <si>
    <t>European Union [317217]</t>
  </si>
  <si>
    <t>European Union(European Union (EU))</t>
  </si>
  <si>
    <t>The research leading to these results has received funding from the People Programme (Marie Curie Actions) of the European Union's Seventh Framework Programme FP7/2007-2013/ under REA grant agreement no. 317217. The research forms part of the GLANAM (GLAciated North Atlantic Margins) Initial Training Network. We would like to thank the captains and crews of R/V G.O. Sars for their efforts on various cruises in the Norwegian Channel and its surrounding areas. Furthermore, we thank L. Rise, M. Johnson and J. A. Piotrowski for comments that significantly helped to improve the manuscript.</t>
  </si>
  <si>
    <t>10.1111/bor.12272</t>
  </si>
  <si>
    <t>WOS:000419039500021</t>
  </si>
  <si>
    <t>Nursey-Bray, M; Palmer, R; Pecl, G</t>
  </si>
  <si>
    <t>Nursey-Bray, Melissa; Palmer, Robert; Pecl, Gretta</t>
  </si>
  <si>
    <t>Spot, log, map: Assessing a marine virtual citizen science program against Reed's best practice for stakeholder participation in environmental management</t>
  </si>
  <si>
    <t>OCEAN &amp; COASTAL MANAGEMENT</t>
  </si>
  <si>
    <t>PROTECTED AREAS; CONSERVATION; SCIENTISTS; AUSTRALIA; KNOWLEDGE; HOTSPOTS; REVEALS; OCEAN</t>
  </si>
  <si>
    <t>[Nursey-Bray, Melissa; Palmer, Robert] Univ Adelaide, Geog, Environm, Populat, North Terrace, Adelaide, SA, Australia; [Pecl, Gretta] Univ Tasmania, Inst Marine &amp; Antarctic Studies, Hobart, Tas, Australia; [Pecl, Gretta] Ctr Marine Socioecol, Hobart, Tas 7001, Australia</t>
  </si>
  <si>
    <t>University of Adelaide; University of Tasmania</t>
  </si>
  <si>
    <t>Nursey-Bray, M (corresponding author), Univ Adelaide, Geog, Environm, Populat, North Terrace, Adelaide, SA, Australia.</t>
  </si>
  <si>
    <t>Melissa.Nursey-Bray@adelaide.edu.au</t>
  </si>
  <si>
    <t>Pecl, Gretta/D-7267-2011; Nursey-Bray, Melissa/J-8183-2019</t>
  </si>
  <si>
    <t>Pecl, Gretta/0000-0003-0192-4339; Nursey-Bray, Melissa/0000-0002-4121-5177</t>
  </si>
  <si>
    <t>Australian Government Inspiring Australia initiative; ARC</t>
  </si>
  <si>
    <t>Australian Government Inspiring Australia initiative(Australian Government); ARC(Australian Research Council)</t>
  </si>
  <si>
    <t>This study was supported by the Australian Government Inspiring Australia initiative. GP was supported by an ARC Future Fellowship. We would like to thank the many citizen scientists and other participants in the Redmap Australia program, and in particular the respondents to our survey. We would also like to acknowledge the support and help of the Redmap Australia team, including Yvette Barry, Jemina Stuart-Smith and Elsa Gartner.</t>
  </si>
  <si>
    <t>0964-5691</t>
  </si>
  <si>
    <t>1873-524X</t>
  </si>
  <si>
    <t>OCEAN COAST MANAGE</t>
  </si>
  <si>
    <t>Ocean Coastal Manage.</t>
  </si>
  <si>
    <t>10.1016/j.ocecoaman.2017.10.031</t>
  </si>
  <si>
    <t>Oceanography; Water Resources</t>
  </si>
  <si>
    <t>FR3NJ</t>
  </si>
  <si>
    <t>WOS:000418973100001</t>
  </si>
  <si>
    <t>Baranov, A; Tenzer, R; Bagherbandi, M</t>
  </si>
  <si>
    <t>Baranov, Alexey; Tenzer, Robert; Bagherbandi, Mohammad</t>
  </si>
  <si>
    <t>Combined Gravimetric-Seismic Crustal Model for Antarctica</t>
  </si>
  <si>
    <t>SURVEYS IN GEOPHYSICS</t>
  </si>
  <si>
    <t>Antarctica; Crust; Gravity; Ice; Isostasy; Moho; Sediments; Seismic data</t>
  </si>
  <si>
    <t>UPPER-MANTLE STRUCTURE; DRONNING MAUD LAND; WILKES SUBGLACIAL BASIN; MORITZ INVERSE PROBLEM; PINE ISLAND GLACIER; MOHO DEPTH MAP; EAST ANTARCTICA; WEST ANTARCTICA; ICE STREAM; EARTHS CRUST</t>
  </si>
  <si>
    <t>The latest seismic data and improved information about the subglacial bedrock relief are used in this study to estimate the sediment and crustal thickness under the Antarctic continent. Since large parts of Antarctica are not yet covered by seismic surveys, the gravity and crustal structure models are used to interpolate the Moho information where seismic data are missing. The gravity information is also extended offshore to detect the Moho under continental margins and neighboring oceanic crust. The processing strategy involves the solution to the Vening Meinesz-Moritz's inverse problem of isostasy constrained on seismic data. A comparison of our new results with existing studies indicates a substantial improvement in the sediment and crustal models. The seismic data analysis shows significant sediment accumulations in Antarctica, with broad sedimentary basins. According to our result, the maximum sediment thickness in Antarctica is about 15 km under Filchner-Ronne Ice Shelf. The Moho relief closely resembles major geological and tectonic features. A rather thick continental crust of East Antarctic Craton is separated from a complex geological/tectonic structure of West Antarctica by the Transantarctic Mountains. The average Moho depth of 34.1 km under the Antarctic continent slightly differs from previous estimates. A maximum Moho deepening of 58.2 km under the Gamburtsev Subglacial Mountains in East Antarctica confirmed the presence of deep and compact orogenic roots. Another large Moho depth in East Antarctica is detected under Dronning Maud Land with two orogenic roots under Wohlthat Massif (48-50 km) and the Kottas Mountains (48-50 km) that are separated by a relatively thin crust along Jutulstraumen Rift. The Moho depth under central parts of the Transantarctic Mountains reaches 46 km. The maximum Moho deepening (34-38 km) in West Antarctica is under the Antarctic Peninsula. The Moho depth minima in East Antarctica are found under the Lambert Trench (24-28 km), while in West Antarctica the Moho depth minima are along the West Antarctic Rift System under the Bentley depression (20-22 km) and Ross Sea Ice Shelf (16-24 km). The gravimetric result confirmed a maximum extension of the Antarctic continental margins under the Ross Sea Embayment and the Weddell Sea Embayment with an extremely thin continental crust (10-20 km).</t>
  </si>
  <si>
    <t>[Baranov, Alexey] Russian Acad Sci, Schmidt Inst Phys Earth, Moscow 123242, Russia; [Baranov, Alexey] Russian Acad Sci, Inst Earthquake Predict Theory &amp; Math Geophys, Moscow 117997, Russia; [Tenzer, Robert] Hong Kong Polytech Univ, Dept Land Surveying &amp; Geoinformat, Kowloon, Hong Kong, Peoples R China; [Bagherbandi, Mohammad] Royal Inst Technol KTH, Div Geodesy &amp; Geoinformat, S-10044 Stockholm, Sweden; [Bagherbandi, Mohammad] Univ Gavle, Dept Ind Dev IT &amp; Land Management, S-80176 Gavle, Sweden</t>
  </si>
  <si>
    <t>Russian Academy of Sciences; Schmidt Institute of Physics of the Earth of the Russian Academy of Sciences; Russian Academy of Sciences; Institute of Earthquake Prediction Theory &amp; Mathematical Geophysics; Hong Kong Polytechnic University; Royal Institute of Technology; University of Gavle</t>
  </si>
  <si>
    <t>Tenzer, R (corresponding author), Hong Kong Polytech Univ, Dept Land Surveying &amp; Geoinformat, Kowloon, Hong Kong, Peoples R China.</t>
  </si>
  <si>
    <t>robert.tenzer@polyu.edu.hk</t>
  </si>
  <si>
    <t>TENZER, Robert/C-3960-2019; Baranov, Alexey/ABF-0062-2022</t>
  </si>
  <si>
    <t>TENZER, Robert/0000-0002-9915-4960; Baranov, Alexey/0000-0002-7793-5555</t>
  </si>
  <si>
    <t>National Science Foundation of China (NSFC) [41429401]; Russian Foundation for Basic Research [16-55-12033, 13-05-01123]</t>
  </si>
  <si>
    <t>National Science Foundation of China (NSFC)(National Natural Science Foundation of China (NSFC)); Russian Foundation for Basic Research(Russian Foundation for Basic Research (RFBR)Spanish Government)</t>
  </si>
  <si>
    <t>The National Science Foundation of China (NSFC) is cordially acknowledged for a financial support by the research Grant No.: 41429401. We also acknowledge a financial support from the Russian Foundation for Basic Research under two research Grants: 16-55-12033 and 13-05-01123.</t>
  </si>
  <si>
    <t>0169-3298</t>
  </si>
  <si>
    <t>1573-0956</t>
  </si>
  <si>
    <t>SURV GEOPHYS</t>
  </si>
  <si>
    <t>Surv. Geophys.</t>
  </si>
  <si>
    <t>10.1007/s10712-017-9423-5</t>
  </si>
  <si>
    <t>FR6JW</t>
  </si>
  <si>
    <t>WOS:000419172900002</t>
  </si>
  <si>
    <t>Akanbi, TO; Barrow, CJ</t>
  </si>
  <si>
    <t>Akanbi, Taiwo O.; Barrow, Colin J.</t>
  </si>
  <si>
    <t>Compositional Information Useful for Authentication of Krill Oil and the Detection of Adulterants</t>
  </si>
  <si>
    <t>FOOD ANALYTICAL METHODS</t>
  </si>
  <si>
    <t>Krill oil; Phospholipid; Triacylglycerol; Adulteration; NMR; TLC-FID</t>
  </si>
  <si>
    <t>ANTARCTIC KRILL; FATTY-ACIDS; OLIVE OIL; MASS-SPECTROMETRY; EUPHAUSIA-SUPERBA; FISH-OIL; PHOSPHOLIPIDS; LIPIDS; LIPASE; EPA</t>
  </si>
  <si>
    <t>Nuclear magnetic resonance (NMR) spectroscopy and chromatography, particularly thin layer chromatography with flame ionisation detector (TLC-FID), were used to investigate fish oil adulteration of krill oil with ethyl esters and triacylglycerol. Natural krill oil has higher levels of eicosapentaenoic acid (EPA) and docosahexaenoic acid (DHA) in phospholipid than in triacylglycerol and so high levels of these omega-3 fatty acids in krill oil triacylglycerol was indicative of adulteration. Carbon (C-13) NMR detected adulteration of krill oil with 10% or more anchovy oil, while TLC-FID detected levels as low as 1% adulteration with EPA ethyl esters. However, positional distribution of EPA and DHA, as determined using C-13 NMR, was similar for both fish oil and krill oil, indicating that positional distribution cannot be used to show adulteration. Phosphorous (P-31) NMR spectroscopy can show adulteration with low cost sources of phospholipid but was not useful for determining adulteration of krill oil with fish oil.</t>
  </si>
  <si>
    <t>[Akanbi, Taiwo O.; Barrow, Colin J.] Deakin Univ, Ctr Chem &amp; Biotechnol, Locked Bag 20000, Geelong, Vic, Australia</t>
  </si>
  <si>
    <t>Deakin University</t>
  </si>
  <si>
    <t>Barrow, CJ (corresponding author), Deakin Univ, Ctr Chem &amp; Biotechnol, Locked Bag 20000, Geelong, Vic, Australia.</t>
  </si>
  <si>
    <t>colin.barrow@deakin.edu.au</t>
  </si>
  <si>
    <t>Akanbi, Taiwo/AAG-9679-2020</t>
  </si>
  <si>
    <t>Akanbi, Taiwo/0000-0002-9249-6503; Barrow, Colin/0000-0002-2153-7267</t>
  </si>
  <si>
    <t>Centre for Chemistry and Biotechnology</t>
  </si>
  <si>
    <t>The authors acknowledge Photonz Corporation, Auckland, New Zealand, for providing the EPA-EE used in this study. Also, the authors acknowledge the Centre for Chemistry and Biotechnology for funding.</t>
  </si>
  <si>
    <t>1936-9751</t>
  </si>
  <si>
    <t>1936-976X</t>
  </si>
  <si>
    <t>FOOD ANAL METHOD</t>
  </si>
  <si>
    <t>Food Anal. Meth.</t>
  </si>
  <si>
    <t>10.1007/s12161-017-0988-x</t>
  </si>
  <si>
    <t>FR1OF</t>
  </si>
  <si>
    <t>WOS:000418836200018</t>
  </si>
  <si>
    <t>Del Negro, P; Celussi, M; De Vittor, C; Umani, SF</t>
  </si>
  <si>
    <t>Del Negro, Paola; Celussi, Mauro; De Vittor, Cinzia; Umani, Serena Fonda</t>
  </si>
  <si>
    <t>Rapid acclimation of microbes to changing substrate pools in epipelagic waters of an Antarctic polynya during austral summer 2003</t>
  </si>
  <si>
    <t>Prokaryotes; Exoenzymatic activity; DOC; POC; Ross Sea</t>
  </si>
  <si>
    <t>PARTICULATE ORGANIC-MATTER; SOUTHERN ROSS SEA; TERRA-NOVA BAY; PHYTOPLANKTON BLOOM; HETEROTROPHIC BACTERIOPLANKTON; EXOENZYMATIC ACTIVITIES; CARBON; ICE; DYNAMICS; BACTERIA</t>
  </si>
  <si>
    <t>Antarctic polynyas are among the most productive areas in the ocean. They are subjected to strong temporal variations, having profound effects on the local ecosystems. We tested the changes occurring in several biogeochemical features [Chlorophyll a (Chl a), phaeopigment, dissolved and particulate organic carbon (DOC and POC) concentrations] as well as in biological dynamics (prokaryotic and nanoplanktonic abundance, heterotrophic carbon production and degradative activities) at the transition between late spring and summer in surface waters (upper 125 m) in the Terra Nova Bay polynya, in the Ross Sea. Samplings were performed from January 18 to 21 and, after an interval of almost 5 days, from January 25 to 27. The first period was characterised by spring conditions still maintained by the presence in the area of two mega-icebergs (B15 and C19), which caused a delay in the ice melting that started during the second survey. Chlorophyll a concentrations were highest during the first period, whereas phaeopigments/Chl a ratio increased during the following sampling time suggesting variations in phytoplankton biomass/physiology and a change in organic matter (OM) quality. No significant differences in DOC and POC concentration were detected between the two periods together with unvaried abundances of prokaryotes and small protists. The changes in OM over time were evidenced also by changing exoenzymatic activity patterns. Notwithstanding the general variations occurring during the surveys, heterotrophic production and prokaryotic growth were not substantially modified, suggesting a rapid (timescales of days) acclimation to changing organic matter quality for the maintenance of prokaryotic metabolic requirements.</t>
  </si>
  <si>
    <t>[Del Negro, Paola; Celussi, Mauro; De Vittor, Cinzia] OGS Ist Nazl Oceanog &amp; Geofis Sperimentale, Div Oceanog, Via A Piccard 54, I-34151 Trieste, Italy; [Umani, Serena Fonda] Univ Trieste, Dept Life Sci, Via L Giorgieri 10, I-34127 Trieste, Italy</t>
  </si>
  <si>
    <t>Celussi, M (corresponding author), OGS Ist Nazl Oceanog &amp; Geofis Sperimentale, Div Oceanog, Via A Piccard 54, I-34151 Trieste, Italy.</t>
  </si>
  <si>
    <t>mcelussi@ogs.trieste.it</t>
  </si>
  <si>
    <t>Watson, Leslie/K-7487-2019</t>
  </si>
  <si>
    <t>Watson, Leslie/0000-0002-3391-4533; DEL NEGRO, Paola/0000-0003-2465-4896; Celussi, Mauro/0000-0002-5660-6832; De Vittor, Cinzia/0000-0001-8552-4396</t>
  </si>
  <si>
    <t>10.1007/s00300-017-2165-5</t>
  </si>
  <si>
    <t>WOS:000418839500001</t>
  </si>
  <si>
    <t>Rembauville, M; Salter, I; Dehairs, F; Miquel, JC; Blain, S</t>
  </si>
  <si>
    <t>Rembauville, M.; Salter, I.; Dehairs, F.; Miquel, J. -C.; Blain, S.</t>
  </si>
  <si>
    <t>Annual particulate matter and diatom export in a high nutrient, low chlorophyll area of the Southern Ocean</t>
  </si>
  <si>
    <t>Kerguelen Plateau; Export fluxes; Diatoms; HNLC; Export efficiency</t>
  </si>
  <si>
    <t>NATURAL IRON FERTILIZATION; ORGANIC-CARBON EXPORT; PLANKTONIC COMMUNITY STRUCTURE; ANTARCTIC CIRCUMPOLAR CURRENT; TIME-SERIES STATION; INTERANNUAL VARIABILITY; SEDIMENT TRAP; PHYTOPLANKTON BLOOM; KERGUELEN PLATEAU; INVERSE RELATIONSHIP</t>
  </si>
  <si>
    <t>Upper ocean plankton assemblages are known to influence the export of carbon and biominerals from the mixed layer. However, relationships between plankton community structure and the magnitude and stoichiometry of export remain poorly characterized. We present data on biogeochemical and diatom export fluxes from the annual deployment of a sediment trap in a High Nutrient, Low Chlorophyll (HNLC) area upstream of the Kerguelen Plateau (KERFIX station). The weak and tidal-driven circulation provided favorable conditions for a quantitative analysis of export processes. Particulate organic carbon (POC) fluxes were highest in spring and summer. Biogenic silica (BSi) fluxes displayed similar seasonal patterns, although BSi:POC ratios were elevated in winter. Fragilariopsis kerguelensis dominated the annual diatom export assemblage (59.8% of the total valve flux). We identified clusters of diatom species that were positively or negatively correlated to the BSi:POC ratio. Our results indicate that the differential role of certain diatom species for carbon and silicon export, previously identified from iron-fertilized productive areas, is also valid in HNLC regimes. Although annual POC export below the mixed layer of the HNLC site is twofold lower that the one previously reported in a naturally iron-fertilized area of the Kerguelen Plateau, the fraction of seasonal net community production exported is similar at both sites (similar to 1.5%). These findings suggest that natural iron fertilization increases the strength but not the efficiency of carbon export from the mixed layer.</t>
  </si>
  <si>
    <t>[Rembauville, M.; Salter, I.; Blain, S.] UPMC Univ Paris 06, Sorbonne Univ, Lab Oceanog Microbienne LOMIC, Observ Oceanol,CNRS, F-66650 Banyuls Sur Mer, France; [Salter, I.] Alfred Wegener Inst, Helmholtz Ctr Polar &amp; Marine Res, Handelshafen 12, D-27570 Bremerhaven, Germany; [Dehairs, F.] Vrije Univ Brussel, Earth Syst Sci Res Grp, Analyt Environm &amp; Geochem, Brussels, Belgium; [Miquel, J. -C.] IAEA, Environm Labs, 4 Quai Antoine 1er, MC-98000 Monaco, Monaco</t>
  </si>
  <si>
    <t>Centre National de la Recherche Scientifique (CNRS); Sorbonne Universite; Helmholtz Association; Alfred Wegener Institute, Helmholtz Centre for Polar &amp; Marine Research; Vrije Universiteit Brussel</t>
  </si>
  <si>
    <t>Rembauville, M (corresponding author), UPMC Univ Paris 06, Sorbonne Univ, Lab Oceanog Microbienne LOMIC, Observ Oceanol,CNRS, F-66650 Banyuls Sur Mer, France.</t>
  </si>
  <si>
    <t>rembauville@obs-banyuls.fr</t>
  </si>
  <si>
    <t>blain, stephane/F-6917-2010</t>
  </si>
  <si>
    <t>blain, stephane/0000-0002-5234-2446; Salter, Ian/0000-0002-4513-0314</t>
  </si>
  <si>
    <t>Centre National de la Recherche Scientifique (CNRS-INSU); Institut Polaire Paul Emile Victor (IPEV); project SOCLIM of climate initiative (Fondation BNP Paribas)</t>
  </si>
  <si>
    <t>Centre National de la Recherche Scientifique (CNRS-INSU)(Centre National de la Recherche Scientifique (CNRS)); Institut Polaire Paul Emile Victor (IPEV); project SOCLIM of climate initiative (Fondation BNP Paribas)</t>
  </si>
  <si>
    <t>We thank Catherine Jeandel, P. I. of the KERFIX project. Diatom taxonomy analyses were performed by J. J. Pichon at the EPOC laboratory. We thank Damien Cardinal for providing the freeze-dried material for BSi analyses. The International Atomic Energy Agency is grateful to the Government of the Principality of Monaco for the support provided to its Environment Laboratories. This work was supported by the Centre National de la Recherche Scientifique (CNRS-INSU), the Institut Polaire Paul Emile Victor (IPEV), and the project SOCLIM of climate initiative (Fondation BNP Paribas).</t>
  </si>
  <si>
    <t>10.1007/s00300-017-2167-3</t>
  </si>
  <si>
    <t>WOS:000418839500003</t>
  </si>
  <si>
    <t>Emslie, SD; McKenzie, A; Marti, LJ; Santos, M</t>
  </si>
  <si>
    <t>Emslie, Steven D.; McKenzie, Ashley; Marti, Lucas J.; Santos, Mercedes</t>
  </si>
  <si>
    <t>Recent occupation by Ad,lie Penguins (Pygoscelis adeliae) at Hope Bay and Seymour Island and the 'northern enigma' in the Antarctic Peninsula</t>
  </si>
  <si>
    <t>Adelie Penguin; Occupation history; Ornithogenic soils; Hope Bay; Seymour Island</t>
  </si>
  <si>
    <t>KING-GEORGE-ISLAND; LATE-HOLOCENE; CLIMATE-CHANGE; ARDLEY ISLAND; RECORD; PALEOECOLOGY; POPULATIONS; ROOKERY; HISTORY; DIET</t>
  </si>
  <si>
    <t>We excavated active and abandoned Ad,lie Penguin (Pygoscelis adeliae) colonies at Seymour Island and Hope Bay, Antarctic Peninsula, to determine an occupation history for this species at these sites. Previous research at Hope Bay has indicated an occupation there since the middle Holocene, based on a sediment record from Lake Boeckella. Excavations revealed only shallow and relatively fresh ornithogenic soils in the active colonies at the two localities. At least 53 abandoned pebble mounds were located at Hope Bay of which nine were excavated and four were sampled by probing to recover organic remains to determine their age. Radiocarbon dating of egg membrane, feather, and bone from both sites revealed a young occupation dating to less than similar to 600 years after correcting for the marine carbon reservoir effect. The mismatch in the geologic record of Ad,lie Penguin occupation in the northern Antarctic Peninsula, including Lake Boeckella sediments and geologic deposits and lake sediments on King George Island, with more direct evidence of breeding colonies from ornithogenic soils from active and abandoned colonies is hereby referred to as the 'northern enigma' as it does not occur in other regions of Antarctica including the southern Antarctic Peninsula, East Antarctica, or the Ross Sea, where the penguin record extends to the early to middle Holocene and matches well with the geologic record of deglaciation and penguin occupation. As yet, there is no convincing explanation for the 'northern enigma'.</t>
  </si>
  <si>
    <t>[Emslie, Steven D.; McKenzie, Ashley] Univ N Carolina, Dept Biol &amp; Marine Biol, 601 S Coll Rd, Wilmington, NC 28403 USA; [Marti, Lucas J.] Univ CAECE, Dept Ciencias Biol, Av Mayo 866, Buenos Aires, DF, Argentina; [Santos, Mercedes] Inst Antartico Argentino, Dept Biol Predadores Tope, 25 Mayo 1143,B1650CSP, San Martin, Buenos Aires, Argentina; [Santos, Mercedes] Univ Nacl La Plata, Fac Ciencias Nat &amp; Museo, Labs Anexos, Calle 64 3,B1904AMA, La Plata, Buenos Aires, Argentina</t>
  </si>
  <si>
    <t>University of North Carolina; University of North Carolina Wilmington; Instituto Antartico Argentino; National University of La Plata; Museo La Plata</t>
  </si>
  <si>
    <t>Emslie, SD (corresponding author), Univ N Carolina, Dept Biol &amp; Marine Biol, 601 S Coll Rd, Wilmington, NC 28403 USA.</t>
  </si>
  <si>
    <t>emslies@uncw.edu</t>
  </si>
  <si>
    <t>Marti, Lucas Jose/0000-0002-4851-5359</t>
  </si>
  <si>
    <t>NSF [ANT-0739575, 1443585]; Nestor Coria; Instituto Antartico Argentino; Directorate For Geosciences; Office of Polar Programs (OPP) [1443585] Funding Source: National Science Foundation</t>
  </si>
  <si>
    <t>NSF(National Science Foundation (NSF)); Nestor Coria; Instituto Antartico Argentino; Directorate For Geosciences; Office of Polar Programs (OPP)(National Science Foundation (NSF)NSF - Directorate for Geosciences (GEO))</t>
  </si>
  <si>
    <t>This research was funded by NSF Grants ANT-0739575 and 1443585. We thank Nestor Coria and the Instituto Antartico Argentino for their support for the field component of this study, as well as personnel at Marambio and Esperanza Stations. K. Newtoff assisted with completing Fig. 2. M. Polito provided information on new radiocarbon dates at the Danger Islands.</t>
  </si>
  <si>
    <t>10.1007/s00300-017-2170-8</t>
  </si>
  <si>
    <t>WOS:000418839500006</t>
  </si>
  <si>
    <t>Joiris, CR</t>
  </si>
  <si>
    <t>Joiris, Claude R.</t>
  </si>
  <si>
    <t>Seabird hotspots on icebergs in the Amundsen Sea, Antarctica</t>
  </si>
  <si>
    <t>Amundsen Sea; Antarctica; Seabirds; Iceberg hotspots; Antarctic petrel; Snow petrel; Cape petrel</t>
  </si>
  <si>
    <t>AUKS ALLE-ALLE; GREENLAND SEA; FRAM STRAIT; WEDDELL SEA</t>
  </si>
  <si>
    <t>Our long-term study on the quantitative at-sea distribution of the upper trophic levels-seabirds and marine mammals-in polar ecosystems aims at quantifying the factors influencing their distribution as well as detecting possible spatial and temporal evolutions, with special attention to hydrography and to global climate changes. During the PS75 (ANT-XXVI/3) expedition of icebreaking RV Polarstern in February-March 2010, 6660 seabirds belonging to 11 identified species were recorded in the Amundsen Sea Embayment and Pine Island Bay during 760 half-hour transect counts. The most numerous species were by far Antarctic petrel Thalassoica antarctica, Ad,lie penguin Pygoscelis adeliae and snow petrel Pagodroma nivea representing together more than 80% of the total for the whole expedition (n = 5475). Substantial seabird hotspots were concentrated on three icebergs, representing 44% of all observations: 85% of the Antarctic petrels and 40% of the snow petrels. Moreover, 35 Cape petrels Daption capense capense were noted in the immediate surrounding of another iceberg (33% of the total). The highest overall counts were tallied on two icebergs: 250 Antarctic petrels and 500 snow petrels on the first one, and 1000 Antarctic petrels on the second. These hotspots seem to be typical for autumn situations and thus probably reflect the existence of pre-migratory gatherings following the breeding season. The consequences of these high local concentrations and thus the heterogeneity and non-normal distribution of the data are discussed, calculating mean values, standard deviation and density have very questionable value.</t>
  </si>
  <si>
    <t>[Joiris, Claude R.] Lab Polar Ecol PolE, B-1367 Ramillies, Belgium; [Joiris, Claude R.] Royal Belgian Inst Nat Sci, Conservat Biol Unit, B-1000 Brussels, Belgium</t>
  </si>
  <si>
    <t>Joiris, CR (corresponding author), Lab Polar Ecol PolE, B-1367 Ramillies, Belgium.;Joiris, CR (corresponding author), Royal Belgian Inst Nat Sci, Conservat Biol Unit, B-1000 Brussels, Belgium.</t>
  </si>
  <si>
    <t>crjoiris@gmail.com</t>
  </si>
  <si>
    <t>10.1007/s00300-017-2174-4</t>
  </si>
  <si>
    <t>WOS:000418839500010</t>
  </si>
  <si>
    <t>Llanos, S; Suazo, CG; Quillfeldt, P; Cursach, JA; Salas, LM</t>
  </si>
  <si>
    <t>Llanos, Sebastian; Suazo, Cristian G.; Quillfeldt, Petra; Cursach, Jaime A.; Moreno Salas, Lucila</t>
  </si>
  <si>
    <t>Ectoparasite abundance and apparent absence of hemoparasites in two albatross species in Sub-Antarctic Chile</t>
  </si>
  <si>
    <t>Hemoparasite; Flea; Louse; Seabird; Southern Ocean; Tick</t>
  </si>
  <si>
    <t>TICK IXODES-URIAE; IXODIDAE; ACARI; BIRDS</t>
  </si>
  <si>
    <t>The Black-browed Albatross (BBA, Thalassarche melanophrys) and the Grey-headed Albatross (GHA, Thalassarche chrysostoma) are long-lived sympatric species breeding in the Atlantic and Pacific sections of the Southern Ocean. While the Atlantic populations of these two species have been the subject of several studies, little information is available on the most important colonies in the Southeast Pacific Ocean (Chile). The presence of parasites in these long-lived hosts has been described for the colonies in the Southern Atlantic, but not in those from Chile. Therefore, the objective of this study was to identify ectoparasites and hemoparasites associated with both species breeding in the Diego Ramirez Archipelago (56A degrees S) in Southern Chile. Chicks were examined for ectoparasites during the breeding seasons in 2010 and 2011 (GHA, n = 80; BBA, n = 40). Parasites were collected manually, mounted, and identified to species level. The sex and developmental stage of adult ectoparasites were also determined. Ectoparasites were detected on 78.75 and 32.50% of GHA and BBA chicks, respectively. A total of 126 ectoparasites were obtained: 103 Ixodes uriae ticks (GHA 79.62%, BBA 20.38%); 22 Parapsyllus longicornis fleas (GHA = 31.8%, BBA = 68.2%); and a single Austromenopon affine louse (found on GHA). Diego Ramirez represents a new record and distribution range for I. uriae and A. affine. The presence of hemoparasites was explored on blood smears for GHA (n = 26) and BBA (n = 119), but none were recorded in either of these albatrosses.</t>
  </si>
  <si>
    <t>[Llanos, Sebastian; Moreno Salas, Lucila] Univ Concepcion, Dept Zool, Fac Ciencias Nat &amp; Oceanog, Barrio Univ S-N, Concepcion, Chile; [Suazo, Cristian G.; Quillfeldt, Petra] Justus Liebig Univ Giessen, Dept Anim Ecol &amp; Systemat, Heinrich Buff Ring 38, D-35392 Giessen, Germany; [Cursach, Jaime A.] Univ Los Lagos, Dept Ciencias Biol &amp; Biodiversidad, Lab Ecol, Osorno, Chile</t>
  </si>
  <si>
    <t>Universidad de Concepcion; Justus Liebig University Giessen; Universidad de Los Lagos</t>
  </si>
  <si>
    <t>Salas, LM (corresponding author), Univ Concepcion, Dept Zool, Fac Ciencias Nat &amp; Oceanog, Barrio Univ S-N, Concepcion, Chile.</t>
  </si>
  <si>
    <t>lumoreno@udec.cl</t>
  </si>
  <si>
    <t>Moreno Salas, Lucila/HTR-5576-2023; Quillfeldt, Petra/A-9549-2009</t>
  </si>
  <si>
    <t>Moreno Salas, Lucila/0000-0003-3159-4916; Llanos-Soto, Sebastian/0000-0003-0110-041X; Quillfeldt, Petra/0000-0002-4450-8688; Suazo, Cristian/0000-0003-3336-3660</t>
  </si>
  <si>
    <t>10.1007/s00300-017-2177-1</t>
  </si>
  <si>
    <t>WOS:000418839500013</t>
  </si>
  <si>
    <t>Yang, LJ; Sun, LG; Emslie, SD; Xie, ZQ; Huang, T; Gao, YS; Yang, WQ; Chu, ZD; Wang, YH</t>
  </si>
  <si>
    <t>Yang, Lianjiao; Sun, Liguang; Emslie, Steven D.; Xie, Zhouqing; Huang, Tao; Gao, Yuesong; Yang, Wenqing; Chu, Zhuding; Wang, Yuhong</t>
  </si>
  <si>
    <t>Oceanographic mechanisms and penguin population increases during the Little Ice Age in the southern Ross Sea, Antarctica</t>
  </si>
  <si>
    <t>Adelie penguins; ocean upwelling; katabatic winds; polynya; Little Ice Age; Ross Sea</t>
  </si>
  <si>
    <t>ADELIE PENGUINS; CLIMATE-CHANGE; PACIFIC SECTOR; RECORD; REGION; VARIABILITY; CIRCULATION; ECOSYSTEMS; SEDIMENTS; RESPONSES</t>
  </si>
  <si>
    <t>The Adelie penguin is a well-known indicator for climate and environmental changes. Exploring how large-scale climate variability affects penguin ecology in the past is essential for understanding the responses of Southern Ocean ecosystems to future global change. Using ornithogenic sediments at Cape Bird, Ross Island, Antarctica, we inferred relative population changes of Adelie penguins in the southern Ross Sea over the past 500 yr, and observed an increase in penguin populations during the Little Ice Age (LIA; 1500-1850 AD). We used cadmium content in ancient penguin guano as a proxy of ocean upwelling and identified a close linkage between penguin dynamics and atmospheric circulation and oceanic conditions. During the cold period of similar to 1600-1825 AD, a deepened Amundsen Sea Low (ASL) led to stronger winds, intensified ocean upwelling, enlarged Ross Sea and McMurdo Sound polynyas, and thus higher food abundance and penguin populations. We propose a mechanism linking Antarctic marine ecology and atmospheric/oceanic dynamics which can help explain and predict responses of Antarctic high latitudes ecosystems to climate change. (C) 2017 Elsevier B.V. All rights reserved.</t>
  </si>
  <si>
    <t>[Yang, Lianjiao; Sun, Liguang; Xie, Zhouqing; Huang, Tao; Gao, Yuesong; Yang, Wenqing; Chu, Zhuding; Wang, Yuhong] Univ Sci &amp; Technol China, Inst Polar Environm, Hefei 230026, Anhui, Peoples R China; [Yang, Lianjiao; Sun, Liguang; Xie, Zhouqing; Huang, Tao; Gao, Yuesong; Yang, Wenqing; Chu, Zhuding; Wang, Yuhong] Univ Sci &amp; Technol China, Sch Earth &amp; Space Sci, Anhui Key Lab Polar Environm &amp; Global Change, Hefei 230026, Anhui, Peoples R China; [Emslie, Steven D.] Univ N Carolina, Dept Biol &amp; Marine Biol, 601 South Coll Rd, Wilmington, NC 28403 USA; [Huang, Tao] Anhui Univ, Sch Resources &amp; Environm Engn, Hefei 230601, Anhui, Peoples R China</t>
  </si>
  <si>
    <t>Chinese Academy of Sciences; University of Science &amp; Technology of China, CAS; Chinese Academy of Sciences; University of Science &amp; Technology of China, CAS; University of North Carolina; University of North Carolina Wilmington; Anhui University</t>
  </si>
  <si>
    <t>Sun, LG; Xie, ZQ (corresponding author), Univ Sci &amp; Technol China, Inst Polar Environm, Hefei 230026, Anhui, Peoples R China.;Sun, LG; Xie, ZQ (corresponding author), Univ Sci &amp; Technol China, Sch Earth &amp; Space Sci, Anhui Key Lab Polar Environm &amp; Global Change, Hefei 230026, Anhui, Peoples R China.;Emslie, SD (corresponding author), Univ N Carolina, Dept Biol &amp; Marine Biol, 601 South Coll Rd, Wilmington, NC 28403 USA.</t>
  </si>
  <si>
    <t>slg@ustc.edu.cn; emslies@uncw.edu; zqxie@ustc.edu.cn</t>
  </si>
  <si>
    <t>xie, zhouqing/P-9661-2019; Huang, Tao/AAD-8866-2022; Gao, Yuesong/GRE-7726-2022; Yang, Wenqing/F-7026-2011</t>
  </si>
  <si>
    <t>Huang, Tao/0000-0001-5035-1632; Yang, Wenqing/0000-0002-6007-0647</t>
  </si>
  <si>
    <t>Chinese Polar Environment Comprehensive Investigation &amp; Assessment Programmes [CHINARE2017-02-01, 2017-04-04]; International Cooperation in Polar Research [IC201604]; External Cooperation Program of BIC, CAS [211134KYSB20130012]; NSFC [41476165]; NSF [ANT-0739575]</t>
  </si>
  <si>
    <t>Chinese Polar Environment Comprehensive Investigation &amp; Assessment Programmes; International Cooperation in Polar Research; External Cooperation Program of BIC, CAS; NSFC(National Natural Science Foundation of China (NSFC)); NSF(National Science Foundation (NSF))</t>
  </si>
  <si>
    <t>This study was funded by the Chinese Polar Environment Comprehensive Investigation &amp; Assessment Programmes (CHINARE2017-02-01, 2017-04-04) and the International Cooperation in Polar Research (IC201604) and the External Cooperation Program of BIC, CAS (No. 211134KYSB20130012) and NSFC (No. 41476165). The authors are grateful to the United States Antarctic Program (USAP) and Raytheon Polar Services for logistical support of field work funded by NSF Grant ANT-0739575. We also thank J. Smykla and L. Coats for their valuable assistance in the field, D.G. Ainley and M.S. Dinniman for their constructive comments on the discussions. Samples were provided by the Polar Sediment Repository of Polar Research Institute of China.</t>
  </si>
  <si>
    <t>10.1016/j.epsl.2017.10.027</t>
  </si>
  <si>
    <t>WOS:000418626900014</t>
  </si>
  <si>
    <t>Fujiya, W</t>
  </si>
  <si>
    <t>Fujiya, Wataru</t>
  </si>
  <si>
    <t>Oxygen isotopic ratios of primordial water in carbonaceous chondrites</t>
  </si>
  <si>
    <t>carbonaceous chondrites; primordial water; oxygen isotopes; hydrogen abundances; water/rock ratios</t>
  </si>
  <si>
    <t>EARLY SOLAR-SYSTEM; AQUEOUS ALTERATION; CM CHONDRITES; PARENT BODIES; ORGANIC-MATTER; FRACTIONATION; METEORITES; MINERALOGY; ANOMALIES; CI</t>
  </si>
  <si>
    <t>In this work, I estimate the delta O-18 and delta O-17 values of primordial water in CM chondrites to be 55 +/- 13 and 35 9 parts per thousand, respectively, based on whole-rock O and H data. Also, I found that the O and/or H data of Antarctic meteorites are biased, which is attributed to terrestrial weathering. This characteristic O isotopic ratio of water together with corresponding water abundances in CM chondrites are consistent with the origin of water as ice processed by photochemical reactions at the outer regions of the solar nebula, where mass-independent O isotopic fractionation and water destruction may have occurred. Another possible mechanism to produce the inferred O isotopic ratio of water would be O isotopic fractionation between water vapor and ice, which likely occurred near the condensation front of H2O (snow line) in the solar nebula. The inferred O isotopic ratio of water suggests that carbonate in CM chondrites formed at low temperatures of &lt;150 degrees C. The O isotopic ratios of primordial water in chondrites other than CM chondrites are not well constrained. (C) 2017 Elsevier B.V. All rights reserved.</t>
  </si>
  <si>
    <t>[Fujiya, Wataru] Ibaraki Univ, Fac Sci, 2-1-1 Bunkyo, Mito, Ibaraki 3108512, Japan</t>
  </si>
  <si>
    <t>Ibaraki University</t>
  </si>
  <si>
    <t>Fujiya, W (corresponding author), Ibaraki Univ, Fac Sci, 2-1-1 Bunkyo, Mito, Ibaraki 3108512, Japan.</t>
  </si>
  <si>
    <t>wataru.fujiya.sci@vc.ibaraki..ac.jp</t>
  </si>
  <si>
    <t>Fujiya, Wataru/B-3490-2019</t>
  </si>
  <si>
    <t>Fujiya, Wataru/0000-0003-2578-5521</t>
  </si>
  <si>
    <t>JSPS [16K17838]; Grants-in-Aid for Scientific Research [16K17838]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</si>
  <si>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</si>
  <si>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I thank Conel M. O'D. Alexander, Ko Hashizume, Yasuhito Sekine, and Naoji Sugiura for discussion. I am grateful to Frederic Moynier for editorial handling and two anonymous reviewers for constructive comments. This work was supported by JSPS Grant-in-Aid for Young Scientists (B) (16K17838).</t>
  </si>
  <si>
    <t>10.1016/j.epsl.2017.10.046</t>
  </si>
  <si>
    <t>WOS:000418626900027</t>
  </si>
  <si>
    <t>Westwood, KJ; Thomson, PG; van den Enden, RL; Maher, LE; Wright, SW; Davidson, AT</t>
  </si>
  <si>
    <t>Westwood, K. J.; Thomson, P. G.; van den Enden, R. L.; Maher, L. E.; Wright, S. W.; Davidson, A. T.</t>
  </si>
  <si>
    <t>Ocean acidification impacts primary and bacterial production in Antarctic coastal waters during austral summer</t>
  </si>
  <si>
    <t>JOURNAL OF EXPERIMENTAL MARINE BIOLOGY AND ECOLOGY</t>
  </si>
  <si>
    <t>Ocean acidification; Primary production; Bacterial production; Net community production; Photosynthesis; Antarctica</t>
  </si>
  <si>
    <t>CARBON-CONCENTRATING MECHANISMS; DISSOLVED ORGANIC-CARBON; SOUTHERN-OCEAN; INORGANIC CARBON; HIGH CO2; PHYTOPLANKTON BLOOM; COMMUNITY STRUCTURE; IRON FERTILIZATION; METABOLIC BALANCE; CLIMATE-CHANGE</t>
  </si>
  <si>
    <t>Polar waters may be highly impacted by ocean acidification (OA) due to increased solubility of CO2 at colder water temperatures. Three experiments examining the influence of OA on primary and bacterial production were conducted during austral summer at Davis Station, East Antarctica (68 degrees 35'S, 77 degrees 58'E). For each experiment, six minicosm tanks (650 L) were filled with 200 mu m filtered coastal seawater containing natural communities of Antarctic marine microbes. Assemblages were incubated for 10 to 12 days at CO2 concentrations ranging from pre-industrial to post-2300. Primary and bacterial production rates were determined using (NaHCO3)-C-14 and C-14-leucine, respectively. Net community production (NCP) was also determined using dissolved oxygen. In all experiments, maximum photosynthetic rates (P-max mg C mg chl a(-1) h(-1)) decreased with elevated CO2, clearly reducing rates of total gross primary production (mg C L-1 h(-1)). Rates of cell-specific bacterial productivity (mu g C cell(-1) h(-1)) also decreased under elevated CO2, yet total bacterial production (mu g C L-1 h(-1)) and cell abundances increased with CO2 over Days 0-4. Initial increases in bacterial production and abundance were associated with fewer heterotrophic nanoflagellates and therefore less grazing pressure. The main changes in primary and bacterial productivity generally occurred at CO2 concentrations &gt; 2 x present day ( &gt; 780 ppm), with the same responses occurring regardless of seasonally changing environmental conditions and microbial assemblages. However, NCP varied both within and among experiments, largely due to changing nitrate + nitrite (NOx) availability. At NOx concentrations &lt; 1.5 mu M photosynthesis to respiration ratios showed that populations switched from net autotrophy to heterotrophy and CO2 responses were suppressed. Overall, OA may reduce production in Antarctic coastal waters, thereby reducing food availability to higher trophic levels and reducing draw-down of atmospheric CO2, thus forming a positive feedback to climate change. NOx limitation may suppress this OA response but cause a similar decline.</t>
  </si>
  <si>
    <t>[Westwood, K. J.; van den Enden, R. L.; Wright, S. W.; Davidson, A. T.] Australian Antarctic Div, Dept Environm &amp; Energy, 203 Channel Highway, Kingston, Tas 7050, Australia; [Westwood, K. J.; Wright, S. W.; Davidson, A. T.] Univ Tasmania, ACE CRC, Private Bag 80, Hobart;, Tas 7001, Australia; [Westwood, K. J.; Wright, S. W.; Davidson, A. T.] Univ Tasmania, IMAS, Private Bag 129, Hobart, Tas 7001, Australia; [Thomson, P. G.] Univ Western Australia, UWA Oceans Inst, Sch Environm Syst Engn, Mailstop 470,35 Stirling Highway, Crawley, WA 6009, Australia; [Maher, L. E.] City Hobart, Town Hall,Macquarie Street,GPO Box 503, Hobart, Tas 7001, Australia</t>
  </si>
  <si>
    <t>Australian Antarctic Division; University of Tasmania; Antarctic Climate &amp; Ecosystems Cooperative Research Centre (ACE CRC); University of Tasmania; University of Western Australia</t>
  </si>
  <si>
    <t>Westwood, KJ (corresponding author), Australian Antarctic Div, Dept Environm &amp; Energy, 203 Channel Highway, Kingston, Tas 7050, Australia.</t>
  </si>
  <si>
    <t>Karen.Westwood@aad.gov.au; paul.thomson@uwa.edu.au; Rick.Vandenenden@aad.gov.au; maherl@hobartcity.com.au; Simon.Wright@aad.gov.au; Andrew.Davidson@aad.gov.au</t>
  </si>
  <si>
    <t>Westwood, Karen/0000-0003-1060-7140</t>
  </si>
  <si>
    <t>Australian Antarctic Division [40, 4026]; Australian Government's Cooperative Research Centre Program through the Antarctic Climate and Ecosystems Cooperative Research Centre (ACE CRC)</t>
  </si>
  <si>
    <t>Australian Antarctic Division; Australian Government's Cooperative Research Centre Program through the Antarctic Climate and Ecosystems Cooperative Research Centre (ACE CRC)(Australian GovernmentDepartment of Industry, Innovation and ScienceCooperative Research Centres (CRC) Programme)</t>
  </si>
  <si>
    <t>This work was supported by Australian Antarctic Science grants #40 and #4026 at the Australian Antarctic Division, and the Australian Government's Cooperative Research Centre Program through the Antarctic Climate and Ecosystems Cooperative Research Centre (ACE CRC). We are grateful to Dr. Bronte Tilbrook and Kate Berry for analysis of dissolved inorganic carbon and total alkalinity at CSIRO Marine and Atmospheric Research Laboratories in Hobart. We also thank and Dr. Imojen Pearce and Greg Cawthray for method development and laboratory support, and the Davis infrastructure team for the location and set-up of the minicosm reefer, in particular Mark Pekin, Shane McEvoy and Ashley Pym. We thank two anonymous referees for their helpful comments.</t>
  </si>
  <si>
    <t>0022-0981</t>
  </si>
  <si>
    <t>1879-1697</t>
  </si>
  <si>
    <t>J EXP MAR BIOL ECOL</t>
  </si>
  <si>
    <t>J. Exp. Mar. Biol. Ecol.</t>
  </si>
  <si>
    <t>10.1016/j.jembe.2017.11.003</t>
  </si>
  <si>
    <t>FQ8QT</t>
  </si>
  <si>
    <t>WOS:000418628800007</t>
  </si>
  <si>
    <t>Tong, XH; Liu, S; Li, RX; Xie, H; Liu, SJ; Qiao, G; Feng, TT; Tian, YX; Ye, Z</t>
  </si>
  <si>
    <t>Tong, Xiaohua; Liu, Shuang; Li, Rongxing; Xie, Huan; Liu, Shijie; Qiao, Gang; Feng, Tiantian; Tian, Yixiang; Ye, Zhen</t>
  </si>
  <si>
    <t>Multi-track extraction of two-dimensional surface velocity by the combined use of differential and multiple-aperture InSAR in the Amery Ice Shelf, East Antarctica</t>
  </si>
  <si>
    <t>REMOTE SENSING OF ENVIRONMENT</t>
  </si>
  <si>
    <t>Ice velocity; MAI; DInSAR; Accuracy; Amery Ice Shelf</t>
  </si>
  <si>
    <t>MASS-BALANCE; SATELLITE RADAR; LAMBERT-GLACIER; FLOW VELOCITY; PINE ISLAND; MOTION; DISPLACEMENT; MODIS; INTERFEROMETRY; DYNAMICS</t>
  </si>
  <si>
    <t>Glaciers and ice streams drain the ice from the ice sheets to the ice shelves, and contribute to global sea-level changes. Therefore, ice velocity is an essential parameter for the assessment of mass balance. In this paper, we propose an approach for the multi-track extraction of two-dimensional ice surface velocity by the combined use of multiple-aperture interferometry (MAI) and differential synthetic aperture radar interferometry (DInSAR). The azimuth and ground range ice movements of each individual track are first estimated by the use of MAI and DInSAR, respectively. A seamless two-dimensional ice velocity map is then achieved by calibration andmosaicking of the estimated velocity of the multi-temporal and multi-track measurements over a large area. Finally, the dynamic behavior of the Amery Ice Shelf is analyzed by formulating a long-term series of ice flow velocities consisting of historical surface velocities (1968-1990), the estimated surface velocity by the proposed method with ERS-1/2 data (1996), existing surface velocity products such as the Radarsat-1 Antarctic Mapping Project (RAMP) velocities (1997-2000) and Rignot's results (2007-2010), as well as the estimated velocities obtained by the use of the offset tracking method from Landsat 8 images (2013-2014). The results show that the estimated velocity obtained by the use of the proposed method is superior to the other methods, and the long-term series of ice velocity measurements shows that the ice velocity in the Amery Ice Shelf has hardly changed over the past 45 years (1968-2014). We conclude that the ice flow velocity of the Amery Ice Shelf has showed a slight deceleration over the past 45 years.</t>
  </si>
  <si>
    <t>[Tong, Xiaohua; Liu, Shuang; Li, Rongxing; Xie, Huan; Liu, Shijie; Qiao, Gang; Feng, Tiantian; Tian, Yixiang; Ye, Zhen] Tongji Univ, Coll Surveying &amp; Geoinformat, 1239 Siping Rd, Shanghai 200092, Peoples R China; [Tong, Xiaohua; Liu, Shuang; Li, Rongxing; Xie, Huan; Liu, Shijie; Qiao, Gang; Feng, Tiantian; Tian, Yixiang] Tongji Univ, Ctr Spatial Informat Sci &amp; Sustainable Dev, 1239 Siping Rd, Shanghai 200092, Peoples R China</t>
  </si>
  <si>
    <t>Tong, XH (corresponding author), Tongji Univ, Coll Surveying &amp; Geoinformat, 1239 Siping Rd, Shanghai 200092, Peoples R China.</t>
  </si>
  <si>
    <t>xhtong@tongji.edu.cn</t>
  </si>
  <si>
    <t>xie, huan/GQQ-4398-2022; Qiao, Gang/AAU-5717-2020; YE, Zhen/IYS-1774-2023</t>
  </si>
  <si>
    <t>Qiao, Gang/0000-0002-2010-6238</t>
  </si>
  <si>
    <t>National Key R&amp;D Program of China [2017YFA0603102]; National Natural Science Foundation of China [41631178, 41325005, 41401531]; Fundamental Research Funds for the Central Universities</t>
  </si>
  <si>
    <t>National Key R&amp;D Program of China; National Natural Science Foundation of China(National Natural Science Foundation of China (NSFC)); Fundamental Research Funds for the Central Universities(Fundamental Research Funds for the Central Universities)</t>
  </si>
  <si>
    <t>The authors would like to thank the editor and anonymous reviewers for their valuable comments on the improvement of the paper. This research was substantially supported by the National Key R&amp;D Program of China (Project no. 2017YFA0603102), the National Natural Science Foundation of China (Project nos. 41631178, 41325005 and 41401531), and the Fundamental Research Funds for the Central Universities.</t>
  </si>
  <si>
    <t>ELSEVIER SCIENCE INC</t>
  </si>
  <si>
    <t>STE 800, 230 PARK AVE, NEW YORK, NY 10169 USA</t>
  </si>
  <si>
    <t>0034-4257</t>
  </si>
  <si>
    <t>1879-0704</t>
  </si>
  <si>
    <t>REMOTE SENS ENVIRON</t>
  </si>
  <si>
    <t>Remote Sens. Environ.</t>
  </si>
  <si>
    <t>10.1016/j.rse.2017.10.036</t>
  </si>
  <si>
    <t>Environmental Sciences; Remote Sensing; Imaging Science &amp; Photographic Technology</t>
  </si>
  <si>
    <t>Environmental Sciences &amp; Ecology; Remote Sensing; Imaging Science &amp; Photographic Technology</t>
  </si>
  <si>
    <t>FQ6HK</t>
  </si>
  <si>
    <t>WOS:000418464400009</t>
  </si>
  <si>
    <t>Lamont, T; Brewin, RJW; Barlow, RG</t>
  </si>
  <si>
    <t>Lamont, T.; Brewin, R. J. W.; Barlow, R. G.</t>
  </si>
  <si>
    <t>Seasonal variation in remotely-sensed phytoplankton size structure around southern Africa</t>
  </si>
  <si>
    <t>Phytoplankton; Biomass; Size structure; Benguela upwelling system; Agulhas current system; Sub-Antarctic zone</t>
  </si>
  <si>
    <t>BENGUELA UPWELLING SYSTEM; OCEAN-COLOR DATA; MOZAMBIQUE CHANNEL; SATELLITE DATA; AGULHAS ECOSYSTEM; SPATIOTEMPORAL VARIABILITY; MARINE-PHYTOPLANKTON; SURFACE CHLOROPHYLL; FUNCTIONAL TYPES; ATLANTIC SECTOR</t>
  </si>
  <si>
    <t>The three-component model of Brewin et al. (2010) computes fractional contributions of three phytoplankton size classes (micro- (&gt; 20 mu m), nano- (2-20 mu m), picophytoplankton (&lt; 2 mu m)) to the overall chlorophyll a concentration (Chla). Using in situ pigment data, model coefficients were adjusted for application to the southern African marine region. The refined model was applied to seasonal and monthly climatologies of MODIS Aqua Chla around Southern Africa. Chla &gt; 1 mg m(-3) was limited to shelf regions along the coasts of Southern Africa and Madagascar, while values &lt; 0.1 mg(-3) were found over most of the open ocean between the equator and 38 S during austral summer and autumn. In winter and spring, low values (&lt; 0.1 mg m(-3)) were restricted to smaller regions within subtropical gyres, while values up to 0.7 mg m(-3) extended over a much greater area of the open ocean. Shelf regions in the northern (NB) and southern Benguela (SB), Agulhas Bank (AB), Agulhas region (AR), and Mozambique Channel (MC) all showed similar seasonal cycles of size structure. On average, microphytoplankton comprised &gt; 50% of the total Chia in these regions with little change throughout the year. The AR shelf differed, with picophytoplankton dominating in summer, and micro- and nanophytoplankton the rest of the year. In the open ocean domains of the NB, SB, and AB regions, nanophytoplankton dominated for most of the year, with picophytoplankton being more prevalent during summer and autumn. In contrast, in the AR open ocean, nanophytoplankton were dominant only during winter and early spring, whereas picophytoplankton dominated throughout the year in the MC open ocean. The refined model characterised previously unknown spatial and temporal changes in size structure in various ecosystems around Southern Africa.</t>
  </si>
  <si>
    <t>[Lamont, T.] Dept Environm Affairs, Oceans &amp; Coasts Res, Private Bag X4390, ZA-8000 Cape Town, South Africa; [Lamont, T.; Barlow, R. G.] Univ Cape Town, Marine Res Inst, Dept Oceanog, Private Bag X3, ZA-7701 Rondebosch, South Africa; [Brewin, R. J. W.] PML, Prospect Pl, Plymouth PL1 3DH, Devon, England; [Brewin, R. J. W.] PML, Natl Ctr Earth Observat, Prospect Pl, Plymouth PL1 3DH, Devon, England; [Barlow, R. G.] Bayworld Ctr Res &amp; Educ, 5 Riesling Rd, ZA-7806 Cape Town, South Africa</t>
  </si>
  <si>
    <t>Department of Environment, Forestry &amp; Fisheries; University of Cape Town; Plymouth Marine Laboratory; Plymouth Marine Laboratory; UK Research &amp; Innovation (UKRI); Natural Environment Research Council (NERC); NERC National Centre for Earth Observation</t>
  </si>
  <si>
    <t>Lamont, T (corresponding author), Dept Environm Affairs, Oceans &amp; Coasts Res, Private Bag X4390, ZA-8000 Cape Town, South Africa.</t>
  </si>
  <si>
    <t>tarton.lamont@gmail.com</t>
  </si>
  <si>
    <t>Brewin, Robert/0000-0001-5134-8291; Lamont, Tarron/0000-0001-8464-891X</t>
  </si>
  <si>
    <t>NERC National Centre for Earth Observation; GCRF grant SOLSTICE-WIO [NE/P021050/1]; South African Department of Environmental Affairs (DEA); National Research Foundation (NRF); Natural Environment Research Council [pml010010, pml010009, pml010008, NE/P021050/1, NE/R016518/1, nceo020006, pml010007] Funding Source: researchfish; The British Council [SARCI150326116102] Funding Source: researchfish; NERC [pml010007, pml010008, nceo020006, NE/P021050/1, pml010010, NE/R016518/1, pml010009] Funding Source: UKRI</t>
  </si>
  <si>
    <t>NERC National Centre for Earth Observation(UK Research &amp; Innovation (UKRI)Natural Environment Research Council (NERC)); GCRF grant SOLSTICE-WIO; South African Department of Environmental Affairs (DEA); National Research Foundation (NRF); Natural Environment Research Council(UK Research &amp; Innovation (UKRI)Natural Environment Research Council (NERC)); The British Council; NERC(UK Research &amp; Innovation (UKRI)Natural Environment Research Council (NERC))</t>
  </si>
  <si>
    <t>Monthly-averaged MODIS-Aqua chlorophyll a concentrations were provided by the Ocean Biology Processing Group (OBGP) at NASA's Goddard Space Flight Center (GSFC). (NASA Goddard Space Flight Center, Ocean Ecology Laboratory, Ocean Biology Processing Group. Moderate-resolution Imaging Spectroradiometer (MODIS) Aqua Ocean Color Data; 2014 Reprocessing. NASA OB.DAAC, Greenbelt, MD, USA. doi: https://doi.org/10.5067/AQUA/MODIS_OC.2014.0. Accessed on 04/01/2016). RJWB was supported by the NERC National Centre for Earth Observation and by GCRF grant SOLSTICE-WIO (NE/P021050/1), and TL and RGB by the South African Department of Environmental Affairs (DEA) and the National Research Foundation (NRF).</t>
  </si>
  <si>
    <t>360 PARK AVE SOUTH, NEW YORK, NY 10010-1710 USA</t>
  </si>
  <si>
    <t>10.1016/j.rse.2017.09.038</t>
  </si>
  <si>
    <t>WOS:000418464400045</t>
  </si>
  <si>
    <t>Xiong, C; Shi, JC</t>
  </si>
  <si>
    <t>Xiong, Chuan; Shi, Jiancheng</t>
  </si>
  <si>
    <t>Snow specific surface area remote sensing retrieval using a microstructure based reflectance model</t>
  </si>
  <si>
    <t>Snow; Specific surface area; Grain size; MODIS; Antarctic; Reflectance model</t>
  </si>
  <si>
    <t>GRAIN-SIZE RETRIEVAL; BIDIRECTIONAL REFLECTANCE; INFRARED REFLECTANCE; SATELLITE DATA; PART II; ALBEDO; SCATTERING; VALIDATION; ANTARCTICA; ALGORITHM</t>
  </si>
  <si>
    <t>The snow specific area (SSA) is a quantity to describe the size of snow grains, which controls the albedo of snow surface. The remote sensing retrieval of snow SSA is important for large scale energy and snow physical properties studies. The previous SSA retrieval algorithms are based on snow reflectance forward models with shape assumptions of snow grains, which may cause bias in the quantitative retrieval of SSA. In this paper, a new SSA retrieval algorithm based on a recently developed snow reflectance model is presented. In the reflectance model, the microstructure of snow medium is simulated by computer and the light scattering process is modeled by Monte Carlo ray tracing and radiative transfer theory. Validation shows the model can accurately simulate snow surface reflectance even at large incident or observation zenith angles. Three datasets were used to validate the SSA retrieval algorithm. The validation results show that the SSA can be accurately estimated using MODIS data. The difference of SSA by using reflectance of different wavelengths are studied by MODIS band 5 and band 6 data. The SSA retrieval algorithm is then applied to seasonal snow cover to study the temporal and spatial pattern of snow surface optical grain size.</t>
  </si>
  <si>
    <t>[Xiong, Chuan; Shi, Jiancheng] Chinese Acad Sci, Inst Remote Sensing &amp; Digital Earth, State Key Lab Remote Sensing Sci, Beijing 100101, Peoples R China</t>
  </si>
  <si>
    <t>Chinese Academy of Sciences; The Institute of Remote Sensing &amp; Digital Earth, CAS</t>
  </si>
  <si>
    <t>Shi, JC (corresponding author), Chinese Acad Sci, Inst Remote Sensing &amp; Digital Earth, State Key Lab Remote Sensing Sci, Beijing 100101, Peoples R China.</t>
  </si>
  <si>
    <t>xiongchuan@radi.ac.cn; shijc@radi.ac.cn</t>
  </si>
  <si>
    <t>Shi, Jiancheng/HIU-0908-2022</t>
  </si>
  <si>
    <t>xiong, chuan/0000-0001-9164-4810</t>
  </si>
  <si>
    <t>National Natural Science Foundation of China [41401392]; National Key Basic Research Program of China [2015CB953701]</t>
  </si>
  <si>
    <t>National Natural Science Foundation of China(National Natural Science Foundation of China (NSFC)); National Key Basic Research Program of China(National Basic Research Program of China)</t>
  </si>
  <si>
    <t>This work was supported by the National Natural Science Foundation of China (No. 41401392) and National Key Basic Research Program of China (No. 2015CB953701).</t>
  </si>
  <si>
    <t>10.1016/j.rse.2017.09.017</t>
  </si>
  <si>
    <t>WOS:000418464400061</t>
  </si>
  <si>
    <t>Zheng, WL; Li, JD; Wang, XD; Yuan, YP; Zhang, JN; Xiu, ZL</t>
  </si>
  <si>
    <t>Zheng, Weilong; Li, Jingda; Wang, Xudong; Yuan, Yanping; Zhang, Jianing; Xiu, Zhilong</t>
  </si>
  <si>
    <t>Effects of Antarctic krill docosahexaenoic acid on MCF-7 cell migration and invasion induced by the interaction of CD95 with caveolin-1</t>
  </si>
  <si>
    <t>LIFE SCIENCES</t>
  </si>
  <si>
    <t>Antarctic krill; DHA; CD95; Caveolin-1; Migration; Invasion</t>
  </si>
  <si>
    <t>BREAST-CANCER; GROWTH; APOPTOSIS; ENHANCEMENT; SUPPRESSES; EFFICACY; RECEPTOR; THERAPY; DEATH; RAFTS</t>
  </si>
  <si>
    <t>Tumor metastasis leads to a poor prognosis in breast cancer, yet the mechanisms remain unclear. Docosahexaenoic acid (DHA) extracted from Antarctic krill is an optical isomer of common DHA and has a much stronger anti-neoplastic effect. In this work, the migration and invasion abilities of MCF-7 cells treated with low concentrations of Antarctic krill DHA were evaluated. Low concentrations of Antarctic krill DHA significantly reduced the numbers of migrating and invasive MCF-7 cells, whereas the cell numbers decreased slowly in the CD95-silenced MCF-7 cells, which implies that CD95 might be involved in cell migration and invasion. Additionally, co-immunoprecipitation and Western blotting demonstrated that Antarctic krill DHA induced the accumulation of CD95 and caveolin-1 interaction, resulting in the down-regulation of MMP2 expression through the FAK/SRC/PI3K/AKT signaling pathway. In conclusion, Antarctic krill DHA enhanced the interaction between CD95 and caveolin-1, which may led to an inhibitory effect on cell migration and invasion via the FAK/SRC/PI3K/AKT signaling pathway. Our study indicates that Antarctic krill DHA has great potential for tumor therapy and has revealed a new metastatic mechanism mediated by the interaction of CD95 with caveolin-1.</t>
  </si>
  <si>
    <t>[Zheng, Weilong; Li, Jingda; Wang, Xudong; Yuan, Yanping; Xiu, Zhilong] Dalian Univ Technol, Sch Life Sci &amp; Biotechnol, 2 Linggong Rd, Dalian 116024, Peoples R China; [Zhang, Jianing] Dalian Univ Technol, Sch Life Sci &amp; Med, 2 Dagong Rd, Panjin 124221, Peoples R China</t>
  </si>
  <si>
    <t>Dalian University of Technology; Dalian University of Technology</t>
  </si>
  <si>
    <t>Xiu, ZL (corresponding author), Dalian Univ Technol, Sch Life Sci &amp; Biotechnol, 2 Linggong Rd, Dalian 116024, Peoples R China.</t>
  </si>
  <si>
    <t>zhlxiu@dlut.edu.cn</t>
  </si>
  <si>
    <t>Li, Jingda/AGP-4626-2022</t>
  </si>
  <si>
    <t>National High Technology Research and Development Program (863 Program Project) of China [2011AA090800]</t>
  </si>
  <si>
    <t>National High Technology Research and Development Program (863 Program Project) of China(National High Technology Research and Development Program of China)</t>
  </si>
  <si>
    <t>We also thank Dr. Haina Wang for help with the experimental design and discussion. The study was supported by the National High Technology Research and Development Program (863 Program Project) of China (No. 2011AA090800).</t>
  </si>
  <si>
    <t>0024-3205</t>
  </si>
  <si>
    <t>1879-0631</t>
  </si>
  <si>
    <t>LIFE SCI</t>
  </si>
  <si>
    <t>Life Sci.</t>
  </si>
  <si>
    <t>10.1016/j.lfs.2017.11.011</t>
  </si>
  <si>
    <t>Medicine, Research &amp; Experimental; Pharmacology &amp; Pharmacy</t>
  </si>
  <si>
    <t>Research &amp; Experimental Medicine; Pharmacology &amp; Pharmacy</t>
  </si>
  <si>
    <t>FQ6ME</t>
  </si>
  <si>
    <t>WOS:000418477800035</t>
  </si>
  <si>
    <t>Kozai, M; Fuke, H; Yamada, M; Erjavec, T; Hailey, CJ; Kato, C; Madden, N; Munakata, K; Perez, K; Rogers, F; Saffold, N; Shimizu, Y; Tokuda, K; Xiao, M</t>
  </si>
  <si>
    <t>Kozai, M.; Fuke, H.; Yamada, M.; Erjavec, T.; Hailey, C. J.; Kato, C.; Madden, N.; Munakata, K.; Perez, K.; Rogers, F.; Saffold, N.; Shimizu, Y.; Tokuda, K.; Xiao, M.</t>
  </si>
  <si>
    <t>Development of Large-area Lithium-drifted Silicon Detectors for the GAPS Experiment</t>
  </si>
  <si>
    <t>2018 IEEE NUCLEAR SCIENCE SYMPOSIUM AND MEDICAL IMAGING CONFERENCE PROCEEDINGS (NSS/MIC)</t>
  </si>
  <si>
    <t>IEEE Nuclear Science Symposium and Medical Imaging Conference (NSS/MIC) / 25th International Symposium on Room-Temperature Semiconductor X-Ray and Gamma-Ray Detectors</t>
  </si>
  <si>
    <t>NOV 10-17, 2018</t>
  </si>
  <si>
    <t>Sydney, AUSTRALIA</t>
  </si>
  <si>
    <t>SI(LI) DETECTORS; DARK-MATTER; ION DRIFT; RAY</t>
  </si>
  <si>
    <t>We have developed large-area lithium-drifted silicon (Si(Li)) detectors to meet the unique requirements of the General Antiparticle Spectrometer (GAPS) experiment. GAPS is an Antarctic balloon-borne mission scheduled for the first flight in late 2020. The GAPS experiment aims to survey low-energy cosmic-ray antinuclei, particularly antideuterons, which are recognized as essentially background-free signals from dark matter annihilation or decay. The GAPS Si(Li) detector design is a thickness of 2.5 mm, diameter of 10 cm and 8 readout strips. The energy resolution of &lt;4 keV (FWHM) for 20 to 100 keV X-rays at temperature of -35 to -45 C, far above the liquid nitrogen temperatures frequently used to achieve fine energy resolution, is required. We developed a high-quality Si crystal and Li-evaporation, diffusion and drift methods to form a uniform Li-drifted layer. Guard ring structure and optimal etching of the surface are confirmed to suppress the leakage current, which is a main source of noise. We found a thin un-drifted layer retained on the p-side effectively suppresses the leakage current. By these developments, we succeeded in developing the GAPS Si(Li) detector. As the ultimate GAPS instrument will require &gt;1000 10-cm diameter Si(Li) detectors to achieve high sensitivity to rare antideuteron events, high-yield production is also a key factor for the success of the GAPS mission.</t>
  </si>
  <si>
    <t>[Kozai, M.; Fuke, H.] Japan Aerosp Explorat Agcy ISAS JAXA, Inst Space &amp; Astronaut Sci, Sagamihara, Kanagawa 2525210, Japan; [Yamada, M.; Tokuda, K.] Shimadzu Co Ltd, Sensor Device Business Unit, Device Dept, Atsugi, Kanagawa 2430213, Japan; [Erjavec, T.; Perez, K.; Rogers, F.; Xiao, M.] MIT, Cambridge, MA 02130 USA; [Hailey, C. J.; Madden, N.; Saffold, N.] Columbia Univ, New York, NY 10027 USA; [Kato, C.; Munakata, K.] Shinshu Univ, Dept Phys, Matsumoto, Nagano 3908621, Japan; [Shimizu, Y.] Kanagawa Univ, Yokohama, Kanagawa 2218686, Japan</t>
  </si>
  <si>
    <t>Japan Aerospace Exploration Agency (JAXA); Institute of Space &amp; Astronautical Science (ISAS); Shimadzu Corporation; Massachusetts Institute of Technology (MIT); Columbia University; Shinshu University; Kanagawa University</t>
  </si>
  <si>
    <t>Kozai, M (corresponding author), Japan Aerosp Explorat Agcy ISAS JAXA, Inst Space &amp; Astronaut Sci, Sagamihara, Kanagawa 2525210, Japan.</t>
  </si>
  <si>
    <t>kozai.masayoshi@jaxa.jp</t>
  </si>
  <si>
    <t>Rogers, Field/0000-0003-3791-0107</t>
  </si>
  <si>
    <t>JSPS KAKENHI [JP2670715, JP17H01136, JP17K14313]; Heising-Simons Foundation; Alfred P. Sloan Foundation; National Science Foundation Graduate Research Fellowship [1122374]; NASA APRA program [NNX17AB44G]; NASA [1003295, NNX17AB44G] Funding Source: Federal RePORTER</t>
  </si>
  <si>
    <t>JSPS KAKENHI(Ministry of Education, Culture, Sports, Science and Technology, Japan (MEXT)Japan Society for the Promotion of ScienceGrants-in-Aid for Scientific Research (KAKENHI)); Heising-Simons Foundation; Alfred P. Sloan Foundation(Alfred P. Sloan Foundation); National Science Foundation Graduate Research Fellowship(National Science Foundation (NSF)); NASA APRA program; NASA(National Aeronautics &amp; Space Administration (NASA))</t>
  </si>
  <si>
    <t>M. Kozai is supported by the JSPS KAKENHI under Grant No. JP17K14313. H. Fuke is supported by the JSPS KAKENHI under Grant No. JP2670715 and JP17H01136. K. Perez receives support from the Heising-Simons Foundation and the Alfred P. Sloan Foundation. F. Rogers is supported through the National Science Foundation Graduate Research Fellowship under Grant No. 1122374.; This work was partially supported by the NASA APRA program through grant NNX17AB44G.</t>
  </si>
  <si>
    <t>978-1-5386-8494-8</t>
  </si>
  <si>
    <t>Instruments &amp; Instrumentation; Nuclear Science &amp; Technology; Radiology, Nuclear Medicine &amp; Medical Imaging</t>
  </si>
  <si>
    <t>BQ5DC</t>
  </si>
  <si>
    <t>WOS:000601256000076</t>
  </si>
  <si>
    <t>King, P; Williams, G; Coleman, R; Zürcher, K; Bowden-Floyd, I; Ronan, A; Kaminski, C; Laframboise, JM; McPhail, S; Wilkinson, J; Bowen, A; Dutrieux, P; Bose, N; Wåhlin, A; Andersson, J; Boxall, P; Sherlock, M; Maki, T</t>
  </si>
  <si>
    <t>King, Peter; Williams, Guy; Coleman, Richard; Zurcher, Konrad; Bowden-Floyd, Isak; Ronan, Andrew; Kaminski, Chris; Laframboise, Jean-Marc; McPhail, Stephen; Wilkinson, Jeremy; Bowen, Andrew; Dutrieux, Pierre; Bose, Neil; Wahlin, Anna; Andersson, Jonas; Boxall, Phillip; Sherlock, Matthew; Maki, Toshihiro</t>
  </si>
  <si>
    <t>Deploying an AUV beneath the Sorsdal Ice Shelf: Recommendations from an expert-panel workshop</t>
  </si>
  <si>
    <t>To support future scientific missions beneath Antarctic ice shelves, the Antarctic Gateway Partnership, a special research initiative of the Australian Research Council, is trialling its Autonomous Underwater Vehicle, nupiri muka, at the Sorsdal Glacier in East Antarctica. As history has shown, deploying an AUV beneath ice is both challenging and inherently risky. To support the planning and execution of this mission a panel of experts were invited to participate in a workshop to provide both peer-review of the readiness of the AUV and team, and, to establish a set of recommendations and best-practices to maximise the data return and minimise the risk. This panel consisted of those working in the area of AUVs, Polar operations, and those with relevant experience. Recommendations from this panel included strict definition of mission objectives, a risk analysis methodology, and plans for a dress rehearsal. In addition a staged approach was formulated to both validate the AUV performance and parametrise the environment to reduce uncertainty.</t>
  </si>
  <si>
    <t>[King, Peter; Williams, Guy; Coleman, Richard; Zurcher, Konrad; Bowden-Floyd, Isak] Univ Tasmania, Hobart, Tas, Australia; [Ronan, Andrew; Kaminski, Chris; Laframboise, Jean-Marc] Int Submarine Engn, Port Coquitlam, BC, Canada; [McPhail, Stephen] Natl Ocean Ctr, Southampton, Hants, England; [Wilkinson, Jeremy] British Antarctic Survey, Cambridge, England; [Bowen, Andrew] Woods Hole Oceanog Inst, Woods Hole, MA 02543 USA; [Dutrieux, Pierre] Lamont Doherty Earth Observ, Palisades, NY USA; [Bose, Neil] Mem Univ Newfoundland, St John, NF, Canada; [Wahlin, Anna] Univ Gothenburg, Gothenburg, Sweden; [Andersson, Jonas] MMT, Vastra Frolunda, Sweden; [Boxall, Phillip] Australian Antarctic Div, Kingston, Tas, Australia; [Sherlock, Matthew] CSIRO, Canberra, ACT, Australia; [Maki, Toshihiro] Univ Tokyo, Tokyo, Japan</t>
  </si>
  <si>
    <t>University of Tasmania; NERC National Oceanography Centre; UK Research &amp; Innovation (UKRI); Natural Environment Research Council (NERC); NERC British Antarctic Survey; Woods Hole Oceanographic Institution; Columbia University; Memorial University Newfoundland; University of Gothenburg; Australian Antarctic Division; Commonwealth Scientific &amp; Industrial Research Organisation (CSIRO); University of Tokyo</t>
  </si>
  <si>
    <t>King, P (corresponding author), Univ Tasmania, Hobart, Tas, Australia.</t>
  </si>
  <si>
    <t>pdking@utas.edu.au</t>
  </si>
  <si>
    <t>Bose, Neil/AAG-6329-2019; Dutrieux, Pierre/GVS-2890-2022; Dutrieux, Pierre/B-7568-2012</t>
  </si>
  <si>
    <t>Bose, Neil/0000-0002-6444-0756; Dutrieux, Pierre/0000-0002-8066-934X; King, Peter/0000-0001-9436-0936</t>
  </si>
  <si>
    <t>Australian Research Council's Special Research Initiative for Antarctic Gateway Partnership [SR140300001]</t>
  </si>
  <si>
    <t>Australian Research Council's Special Research Initiative for Antarctic Gateway Partnership(Australian Research Council)</t>
  </si>
  <si>
    <t>The workshop and preparation of the manuscript was supported under Australian Research Council's Special Research Initiative for Antarctic Gateway Partnership (Project ID SR140300001).</t>
  </si>
  <si>
    <t>WOS:000492901600084</t>
  </si>
  <si>
    <t>Malinka, A; Blarel, L; Chaikovskaya, L; Chaikovsky, A; Denishchik-Nelubina, N; Denisov, S; Dick, V; Fedaranka, A; Goloub, P; Katsev, I; Korol, M; Lapyonok, A; Podvin, T; Prikhach, A; Svidinsky, V; Zege, E</t>
  </si>
  <si>
    <t>Nicolae, D; Makoto, A; Vassilis, A; Balis, D; Behrendt, A; Comeron, A; Gibert, F; Landulfo, E; McCormick, MP; Senff, C; Veselovskii, I; Wandinger, U</t>
  </si>
  <si>
    <t>Malinka, Aleksey; Blarel, Luc; Chaikovskaya, Ludmila; Chaikovsky, Anatoli; Denishchik-Nelubina, Natalia; Denisov, Sergei; Dick, Vladimir; Fedaranka, Anton; Goloub, Philippe; Katsev, Iosif; Korol, Michail; Lapyonok, Aleksandr; Podvin, Thierr; Prikhach, Alexander; Svidinsky, Vadim; Zege, Eleonora</t>
  </si>
  <si>
    <t>GROUND-BASED AND SATELLITE OPTICAL INVESTIGATION OF THE ATMOSPHERE AND SURFACE OF ANTARCTICA</t>
  </si>
  <si>
    <t>28TH INTERNATIONAL LASER RADAR CONFERENCE (ILRC 28)</t>
  </si>
  <si>
    <t>EPJ Web of Conferences</t>
  </si>
  <si>
    <t>28th International Laser Radar Conference (ILRC)</t>
  </si>
  <si>
    <t>JUN 25-30, 2017</t>
  </si>
  <si>
    <t>Politehnica Univ Bucharest, Bucharest, ROMANIA</t>
  </si>
  <si>
    <t>Politehnica Univ Bucharest</t>
  </si>
  <si>
    <t>RETRIEVAL</t>
  </si>
  <si>
    <t>This presentation contains the results of the 10 year research of Belarusian Antarctic expeditions. The set of instruments consists of a lidar, an albedometer, and a scanning sky radiometer CIMEL. Besides, the data from satellite radiometer MODIS were used to characterize the snow cover. The works focus on the study of aerosol, cloud and snow characteristics in the Antarctic, and their links with the long range transport of atmospheric pollutants and climate changes.</t>
  </si>
  <si>
    <t>[Malinka, Aleksey; Chaikovskaya, Ludmila; Chaikovsky, Anatoli; Denishchik-Nelubina, Natalia; Denisov, Sergei; Dick, Vladimir; Fedaranka, Anton; Katsev, Iosif; Korol, Michail; Prikhach, Alexander; Svidinsky, Vadim; Zege, Eleonora] Natl Acad Sci, Inst Phys, Minsk, BELARUS; [Blarel, Luc; Goloub, Philippe; Lapyonok, Aleksandr; Podvin, Thierr] Univ Lille, Lab Opt Atmospher, Lille, France</t>
  </si>
  <si>
    <t>National Academy of Sciences of Belarus (NASB); B.I. Stepanov Institute of Physics of the National Academy of Sciences of Belarus; Universite de Lille</t>
  </si>
  <si>
    <t>Malinka, A (corresponding author), Natl Acad Sci, Inst Phys, Minsk, BELARUS.</t>
  </si>
  <si>
    <t>mal@light.basnet.by</t>
  </si>
  <si>
    <t>Malinka, Aleksey/AAW-3377-2021</t>
  </si>
  <si>
    <t>Malinka, Aleksey/0000-0002-0651-5115</t>
  </si>
  <si>
    <t>State Program of Polar Research of Belarus; EU research and innovation Programme Horizon 2020 (ACTRIS-2) [654109]; Belarusian Republican Foundation for Fundamental, Research Agreement [F15SB023]</t>
  </si>
  <si>
    <t>State Program of Polar Research of Belarus; EU research and innovation Programme Horizon 2020 (ACTRIS-2); Belarusian Republican Foundation for Fundamental, Research Agreement</t>
  </si>
  <si>
    <t>The investigation was supported by: the State Program of Polar Research of Belarus, the EU research and innovation Programme Horizon 2020 (ACTRIS-2, grant agreement no. 654109), and the Belarusian Republican Foundation for Fundamental, Research Agreement No. F15SB023. We acknowledge the NASA/GSFC/Earth Science Data and Information System (ESDIS), the NOAA Air Resources Laboratory (ARL), and all the scientists, engineers, and technicians from Belarus, Russia and France, thanks to whom this study became possible.</t>
  </si>
  <si>
    <t>2100-014X</t>
  </si>
  <si>
    <t>EPJ WEB CONF</t>
  </si>
  <si>
    <t>10.1051/epjconf/201817610006</t>
  </si>
  <si>
    <t>Engineering, Electrical &amp; Electronic; Optics; Physics, Applied; Physics, Multidisciplinary</t>
  </si>
  <si>
    <t>Engineering; Optics; Physics</t>
  </si>
  <si>
    <t>BQ4NM</t>
  </si>
  <si>
    <t>WOS:000591360800196</t>
  </si>
  <si>
    <t>West, R; Johnson, V; Yeh, IC; Thomas, Z; Mendelowitz, E; Berg, L</t>
  </si>
  <si>
    <t>ACM</t>
  </si>
  <si>
    <t>West, Ruth; Johnson, Violet; Yeh, I. Chen; Thomas, Zach; Mendelowitz, Eitan; Berg, Lars</t>
  </si>
  <si>
    <t>INSTRUMENT / One Antarctic Night</t>
  </si>
  <si>
    <t>ACM SIGGRAPH 2018 ART GALLERY (SIGGRAPH'18)</t>
  </si>
  <si>
    <t>ACM-Special-Interest-Group-on-Computer-Graphics-and-Interactive-Techniques (SIGGRAPH) Conference</t>
  </si>
  <si>
    <t>AUG 12-16, 2018</t>
  </si>
  <si>
    <t>Vancouver, CANADA</t>
  </si>
  <si>
    <t>[West, Ruth; Johnson, Violet; Yeh, I. Chen; Thomas, Zach] Univ North Texas, xREZ Art Sderae Lab, Denton, TX 76203 USA; [Mendelowitz, Eitan] Mt Holyoke Coll, S Hadley, MA 01075 USA</t>
  </si>
  <si>
    <t>University of North Texas System; University of North Texas Denton; Mount Holyoke College</t>
  </si>
  <si>
    <t>West, R (corresponding author), Univ North Texas, xREZ Art Sderae Lab, Denton, TX 76203 USA.</t>
  </si>
  <si>
    <t>ruth.west@unt.edu; violetijohnson89@gmail.com; yeherics@gmail.com; zthomas.music@gmail.com; emendelo@mtholyoke.edu; lars@larsberg.net</t>
  </si>
  <si>
    <t>U.S. National Endowment for the Arts [15-5400-7043]; BenQ America Corporation</t>
  </si>
  <si>
    <t>U.S. National Endowment for the Arts; BenQ America Corporation</t>
  </si>
  <si>
    <t>One Antarctic Night is supported in part by an award from the U.S. National Endowment for the Arts (15-5400-7043) and by BenQ America Corporation. We thank Lifan Wang and Lingzhi Wang of Texas A&amp;M and the Beijing Astronomical Observatory for their generous consultation and support of this art-science installation. We thank the Antarctic Survey Telescope array and PI Lifan Wang for making available AST3-1 data. We thank Roger Malina, University of Texas.Dallas, for his generous consultation in astrophysics and art-science, and his support of this work. We thank astronomer Jason Young, Mount Holyoke College, for his generous consultation and assistance. We thank Stella Kafka, astronomer and director, American Association of Variable Star Observers, for her generous consultation. This artwork made use of the VizieR catalog access tool, CDS, Strasbourg, France. The original description of the VizieR service was published in A&amp;AS 143, 23. This work has made use of data from the European Space Agency (ESA) mission Gaia (), processed by the Gaia Data Processing and Analysis Consortium (DPAC, ).Funding for the DPAC has been provided by national institutions, in particular the institutions participating in the Gaia Multilateral Agreement.</t>
  </si>
  <si>
    <t>ASSOC COMPUTING MACHINERY</t>
  </si>
  <si>
    <t>1515 BROADWAY, NEW YORK, NY 10036-9998 USA</t>
  </si>
  <si>
    <t>978-1-4503-5778-4</t>
  </si>
  <si>
    <t>10.1145/3202918.3205924</t>
  </si>
  <si>
    <t>Computer Science, Interdisciplinary Applications</t>
  </si>
  <si>
    <t>Computer Science</t>
  </si>
  <si>
    <t>BS1OM</t>
  </si>
  <si>
    <t>WOS:000693936000023</t>
  </si>
  <si>
    <t>Wierzgon, M; Suchan, T; Ronikier, M</t>
  </si>
  <si>
    <t>Wierzgon, Mariusz; Suchan, Tomasz; Ronikier, Michal</t>
  </si>
  <si>
    <t>Two additions to the moss flora of the South Shetland Islands in the maritime Antarctic</t>
  </si>
  <si>
    <t>biodiversity; bryophytes; deglaciation; King George Island; maritime Antarctic; Southern Hemisphere</t>
  </si>
  <si>
    <t>GRIMMIACEAE; RECORDS; GENUS; POTTIACEAE; BRYOPHYTA; DIDYMODON; AFRICA</t>
  </si>
  <si>
    <t>Tortella fragilis (Drumm.) Limpr. (Pottiaceae) and Bryum nivale Mull. Hal. (Bryaceae) are recorded for the first time from the South Shetland Islands in the northern maritime Antarctic. They were discovered in the Admiralty Bay area on King George Island, the largest island of this archipelago. The two species are briefly characterized morphologically, their habitats are described, and their distribution in the Antarctic is mapped. Discovery of these species has increased the documented moss flora of King George Island to 67 species, strengthening it in the leading position among individual areas with the richest diversity of moss flora in Antarctica. Likewise, T. fragilis and B. nivale represent remarkable additions to the moss flora of the South Shetland Islands, which currently consists of 92 species and one variety, making this archipelago by far the richest bryofloristically amongst large geographic regions of the Antarctic. Comparison of recent (2018) and old (1985) photographs revealed a significant retreat of glacial cover and suggests that the collection site was likely opened for colonization only within the last several decades. The record of T. fragilis is biogeographically relevant, and constitutes an intermediate site between the species' occurrences in the Antarctic Peninsula and southern South America. The present record of B. nivale is the fourth discovery of the species worldwide, which may be helpful for the future designation of the distribution of this extremely rare species.</t>
  </si>
  <si>
    <t>[Wierzgon, Mariusz] Univ Silesia Katowice, Fac Biol &amp; Environm Protect, Dept Bot &amp; Nat Protect, Jagiellonska 28, PL-40032 Katowice, Poland; [Suchan, Tomasz; Ronikier, Michal] Polish Acad Sci, W Szafer Inst Bot, Mol Biogeog Grp, Lubicz 46, PL-31512 Krakow, Poland</t>
  </si>
  <si>
    <t>University of Silesia in Katowice; Polish Academy of Sciences; W. Szafer Institute of Botany of the Polish Academy of Sciences</t>
  </si>
  <si>
    <t>Wierzgon, M (corresponding author), Univ Silesia Katowice, Fac Biol &amp; Environm Protect, Dept Bot &amp; Nat Protect, Jagiellonska 28, PL-40032 Katowice, Poland.</t>
  </si>
  <si>
    <t>mariuszwierzgon@gmail.com</t>
  </si>
  <si>
    <t>Suchan, Tomasz/B-7765-2016</t>
  </si>
  <si>
    <t>Suchan, Tomasz/0000-0002-0811-8754; Wierzgon, Mariusz/0000-0002-4809-2202; Ronikier, Michal/0000-0001-7652-6787</t>
  </si>
  <si>
    <t>National Science Center, Poland [NCN 2015/17/B/NZ8/02475]; W. Szafer Institute of Botany, Polish Academy of Sciences</t>
  </si>
  <si>
    <t>This study was funded by the National Science Center, Poland, grant number NCN 2015/17/B/NZ8/02475/ and, partly, through the statutory funds of the W. Szafer Institute of Botany, Polish Academy of Sciences. The data used in the paper were collected based on Henryk Arctowski Polish Antarctic Station.</t>
  </si>
  <si>
    <t>10.5586/asbp.3598</t>
  </si>
  <si>
    <t>WOS:000455583800004</t>
  </si>
  <si>
    <t>Zhang, XD; Jung, T; Wang, MY; Luo, Y; Semmler, T; Orr, A</t>
  </si>
  <si>
    <t>Zhang, Xiangdong; Jung, Thomas; Wang, Muyin; Luo, Yong; Semmler, Tido; Orr, Andrew</t>
  </si>
  <si>
    <t>Preface to the special issue: Towards improving understanding and prediction of Arctic change and its linkage with Eurasian mid-latitude weather and climate</t>
  </si>
  <si>
    <t>ADVANCES IN ATMOSPHERIC SCIENCES</t>
  </si>
  <si>
    <t>SEA-ICE; OCEAN</t>
  </si>
  <si>
    <t>[Zhang, Xiangdong] Univ Alaska Fairbanks, Int Arctic Res Ctr, Fairbanks, AK 99775 USA; [Jung, Thomas; Semmler, Tido] Alfred Wegener Inst, Helmholtz Ctr Polar &amp; Marine Res, D-27570 Bremerhaven, Germany; [Wang, Muyin] Univ Washington, Joint Inst Study Atmosphere &amp; Oceans, Seattle, WA 98115 USA; [Luo, Yong] Tsinghua Univ, Ctr Earth Syst Sci, Beijing 100084, Peoples R China; [Orr, Andrew] British Antarctic Survey, Cambridge CB3 0ET, England</t>
  </si>
  <si>
    <t>University of Alaska System; University of Alaska Fairbanks; Helmholtz Association; Alfred Wegener Institute, Helmholtz Centre for Polar &amp; Marine Research; University of Washington; University of Washington Seattle; Tsinghua University; UK Research &amp; Innovation (UKRI); Natural Environment Research Council (NERC); NERC British Antarctic Survey</t>
  </si>
  <si>
    <t>Zhang, XD (corresponding author), Univ Alaska Fairbanks, Int Arctic Res Ctr, Fairbanks, AK 99775 USA.</t>
  </si>
  <si>
    <t>Jung, Thomas/J-5239-2012; Wang, Muyin/K-4006-2014; Zhang, Xiangdong/A-9711-2009; Semmler, Tido/AAH-4808-2020; ZHANG, XUCHEN/KBB-7989-2024</t>
  </si>
  <si>
    <t>Jung, Thomas/0000-0002-2651-1293; Wang, Muyin/0000-0001-5233-4588; Zhang, Xiangdong/0000-0001-5893-2888; Semmler, Tido/0000-0002-2254-4901;</t>
  </si>
  <si>
    <t>NERC [bas0100032] Funding Source: UKRI; Natural Environment Research Council [bas0100032] Funding Source: researchfish</t>
  </si>
  <si>
    <t>0256-1530</t>
  </si>
  <si>
    <t>1861-9533</t>
  </si>
  <si>
    <t>ADV ATMOS SCI</t>
  </si>
  <si>
    <t>Adv. Atmos. Sci.</t>
  </si>
  <si>
    <t>10.1007/s00376-017-7004-7</t>
  </si>
  <si>
    <t>FO9ZI</t>
  </si>
  <si>
    <t>Green Accepted, Bronze, Green Submitted</t>
  </si>
  <si>
    <t>WOS:000417257100001</t>
  </si>
  <si>
    <t>Lu, XX; Sun, C; Yu, C; Sun, JZ; Che, M; Xia, ZJ; Shang, ZH; Hu, Y</t>
  </si>
  <si>
    <t>Vaidya, J; Li, J</t>
  </si>
  <si>
    <t>Lu, Xiaoxiao; Sun, Chao; Yu, Ce; Sun, Jizhou; Che, Ming; Xia, Zijun; Shang, Zhaohui; Hu, Yi</t>
  </si>
  <si>
    <t>A Data-Aware Energy-Saving Storage Management Strategy for On-Site Astronomical Observation at Dome A</t>
  </si>
  <si>
    <t>ALGORITHMS AND ARCHITECTURES FOR PARALLEL PROCESSING, ICA3PP 2018, PT II</t>
  </si>
  <si>
    <t>Lecture Notes in Computer Science</t>
  </si>
  <si>
    <t>18th International Conference on Algorithms and Architectures for Parallel Processing (ICA3PP)</t>
  </si>
  <si>
    <t>NOV 15-17, 2018</t>
  </si>
  <si>
    <t>Astronomical observation data; Disk array; Disk reliability; Energy efficient; Storage system</t>
  </si>
  <si>
    <t>The high energy consumption of storage system has always been a thorny issue especially when power supply is limited, e.g. the case of astronomical observation at Dome A in the Antarctic. Many general-purpose energy-efficient strategies are designed to be applied in common data centers, which is still quite different from disk array at Dome A where extreme restrictions would influence the effect of solutions. Besides, maintaining the reliability is as important as saving energy because most of the time, nobody is there to solve the disk failure problem. In this paper we propose a data-aware energy-saving storage management strategy, named DAES, for astronomical observation whose purpose is to reduce the energy consumed while mitigating the loss of the reliability of disks. A metric named hit index is designed for each disk from the perspective of astronomy to manage the power state of disks more accurately. A customized file scheduler is also drafted to improve data layout dynamically. Simulation experiments show that it reduces energy consumption by up to 56.6% and cuts down the switches of power state by up to 66.8% compared with common energy-saving strategies.</t>
  </si>
  <si>
    <t>[Lu, Xiaoxiao; Sun, Chao; Yu, Ce; Sun, Jizhou; Che, Ming] Tianjin Univ, Sch Comp Sci &amp; Technol, Tianjin 300350, Peoples R China; [Xia, Zijun] Natl Supercomp Ctr Tianjin, Tianjin 300457, Peoples R China; [Shang, Zhaohui; Hu, Yi] Chinese Acad Sci, Natl Astron Observ, Beijing 100000, Peoples R China</t>
  </si>
  <si>
    <t>Tianjin University; Chinese Academy of Sciences; National Astronomical Observatory, CAS</t>
  </si>
  <si>
    <t>Sun, C; Yu, C (corresponding author), Tianjin Univ, Sch Comp Sci &amp; Technol, Tianjin 300350, Peoples R China.</t>
  </si>
  <si>
    <t>luxiaoxiao@tju.edu.cn; sch@tju.edu.cn; yuce@tju.edu.cn; jzsun@tju.edu.cn; cheming@tju.edu.cn; xiazj@nscc-tj.gov.cn; zshang@gmail.com; huyi.naoc@gmail.com</t>
  </si>
  <si>
    <t>National Natural Science Foundation of China [11573019, 61602336]; National Natural Science Foundation of China (NSFC) [U1531111]; Chinese Academy of Sciences (CAS) [U1531111]</t>
  </si>
  <si>
    <t>National Natural Science Foundation of China(National Natural Science Foundation of China (NSFC)); National Natural Science Foundation of China (NSFC)(National Natural Science Foundation of China (NSFC)); Chinese Academy of Sciences (CAS)(Chinese Academy of Sciences)</t>
  </si>
  <si>
    <t>This work is supported by the National Natural Science Foundation of China (11573019, 61602336), the Joint Research Fund in Astronomy (U1531111) under cooperative agreement between the National Natural Science Foundation of China (NSFC) and Chinese Academy of Sciences (CAS).</t>
  </si>
  <si>
    <t>0302-9743</t>
  </si>
  <si>
    <t>1611-3349</t>
  </si>
  <si>
    <t>978-3-030-05054-2; 978-3-030-05053-5</t>
  </si>
  <si>
    <t>LECT NOTES COMPUT SC</t>
  </si>
  <si>
    <t>10.1007/978-3-030-05054-2_42</t>
  </si>
  <si>
    <t>Computer Science, Hardware &amp; Architecture; Computer Science, Software Engineering; Computer Science, Theory &amp; Methods</t>
  </si>
  <si>
    <t>BS3ZY</t>
  </si>
  <si>
    <t>WOS:000717048400042</t>
  </si>
  <si>
    <t>King, AS; Elliott, NG; James, MA; MacLeod, CK; Bjorndal, T</t>
  </si>
  <si>
    <t>King, Andrew S.; Elliott, Nicholas G.; James, Mark A.; MacLeod, Catriona K.; Bjorndal, Trond</t>
  </si>
  <si>
    <t>Technology selectionthe impact of economic risk on decision making</t>
  </si>
  <si>
    <t>AQUACULTURE ECONOMICS &amp; MANAGEMENT</t>
  </si>
  <si>
    <t>Aquaculture; decision making; Monte Carlo simulation; production technology; risk; stochastic modeling</t>
  </si>
  <si>
    <t>OFFSHORE AQUACULTURE; PRODUCTION SYSTEMS; PERFORMANCE; MODEL</t>
  </si>
  <si>
    <t>Developing an understanding of economic variance (risk) is critical when evaluating alternative aquaculture production technologies. This article assesses the efficacy of employing a quantitative stochastic analysis technique to support technology selection decision making by undertaking a case study investment assessment of three alternative production expansion strategies (offshore sea-pens, land-based RAS growout and larger post-smolt) for the Tasmanian salmon industry. Results demonstrate that salmon aquaculture is undertaken with considerable underlying levels of economic risk, expansion offshore probably represents the lowest initial capital investment and greatest economic return, and that levels of financial uncertainty increase with land-based RAS production. The study highlights stochastic modeling provides significant added-value over single-point deterministic analysis and that developing an appreciation of the input variability is a key component in critically evaluating alternative production technologies.</t>
  </si>
  <si>
    <t>[King, Andrew S.; MacLeod, Catriona K.] Univ Tasmania, Inst Marine &amp; Antarctic Studies, Hobart, Tas 7000, Australia; [Elliott, Nicholas G.] CSIRO, Hobart, Tas, Australia; [James, Mark A.] Univ St Andrews, Scottish Oceans Inst, Sch Biol, St Andrews, Fife, Scotland; [Bjorndal, Trond] NTNU Norwegian Univ Sci &amp; Technol, Fac Int Business, Bergen, Norway; [Bjorndal, Trond] NHH, SNF Ctr Appl Res, Bergen, Norway</t>
  </si>
  <si>
    <t>University of Tasmania; Commonwealth Scientific &amp; Industrial Research Organisation (CSIRO); University of St Andrews; Norwegian University of Science &amp; Technology (NTNU); Norwegian School of Economics (NHH)</t>
  </si>
  <si>
    <t>King, AS (corresponding author), Univ Tasmania, Inst Marine &amp; Antarctic Studies, Hobart, Tas 7000, Australia.</t>
  </si>
  <si>
    <t>andrew.king@utas.edu.au</t>
  </si>
  <si>
    <t>James, Mark/E-5432-2018; Macleod, Catriona/J-7176-2014</t>
  </si>
  <si>
    <t>James, Mark/0000-0002-7182-1725; Macleod, Catriona/0000-0002-0539-6361</t>
  </si>
  <si>
    <t>Australian Seafood Cooperative Research Centre's (CRC) future aquaculture production program [2011-735]; Tasmanian Salmonid Growers Association</t>
  </si>
  <si>
    <t>Australian Seafood Cooperative Research Centre's (CRC) future aquaculture production program; Tasmanian Salmonid Growers Association</t>
  </si>
  <si>
    <t>Funding for the research was embedded with the Australian Seafood Cooperative Research Centre's (CRC) future aquaculture production program (Project 2011-735), and provided by the Tasmanian Salmonid Growers Association.</t>
  </si>
  <si>
    <t>1365-7305</t>
  </si>
  <si>
    <t>1551-8663</t>
  </si>
  <si>
    <t>AQUACULT ECON MANAG</t>
  </si>
  <si>
    <t>Aquac. Econ. Manag.</t>
  </si>
  <si>
    <t>10.1080/13657305.2016.1261962</t>
  </si>
  <si>
    <t>Agricultural Economics &amp; Policy; Fisheries</t>
  </si>
  <si>
    <t>Agriculture; Fisheries</t>
  </si>
  <si>
    <t>HH4RT</t>
  </si>
  <si>
    <t>WOS:000455713000001</t>
  </si>
  <si>
    <t>Oldham, T; Oppedal, F; Dempster, T</t>
  </si>
  <si>
    <t>Oldham, Tina; Oppedal, Frode; Dempster, Tim</t>
  </si>
  <si>
    <t>Cage size affects dissolved oxygen distribution in salmon aquaculture</t>
  </si>
  <si>
    <t>Hypoxia; Salmo salar; Tasmania; Welfare; Feeding; Environment</t>
  </si>
  <si>
    <t>AMEBIC GILL DISEASE; ATLANTIC SALMON; ENVIRONMENTAL HYPOXIA; FEED-INTAKE; SEA-CAGE; SALAR L.; ACCLIMATION; TEMPERATURE; ECONOMICS; RESPONSES</t>
  </si>
  <si>
    <t>Atlantic salmon aquaculture is shifting toward larger cages, but the water quality implications of this shift are unknown. While larger cages could improve profitability through economies of scale, they may increase the risk of low dissolved O-2 (DO) conditions due to reduced water exchange. Low DO conditions reduce feed intake, meaning that the benefits of shifting to larger cages must be weighed against potential negative impacts on fish growth. To test the impact of cage size on DO distribution, we recorded DO saturation in several circular cages of 2 different sizes on a commercial salmon farm: 6 with 168 m and 4 with 240 m circumference. Static strings of DO loggers at 1, 4.5, 8, 12 and 16 m depths recorded DO saturation once every 60 s throughout a 10 d period in midsummer. Overall, DO levels in standard 168 m circumference cages were suitable for salmon feeding and growth. DO levels were highly variable (57 to 134% saturation), and were lower in cages than at the reference site. On average, DO saturation decreased with depth, and was lowest during the early morning hours. Lowest DO measurements occurred in the large 240 m circumference cages, where 1 in 20 of all recordings were at levels known to reduce salmon feeding and growth. DO levels in larger cages can suit salmon production, but site-specific environmental conditions throughout the year must be considered to ensure there is sufficient capacity to tolerate reduced water exchange.</t>
  </si>
  <si>
    <t>[Oldham, Tina] Univ Tasmania, Inst Marine &amp; Antarctic Studies, Aquat Anim Hlth Grp, Launceston, Tas 7250, Australia; [Oppedal, Frode] Inst Marine Res, N-5984 Matredal, Norway; [Dempster, Tim] Univ Melbourne, Sch BioSci, SALTT, Melbourne, Vic 3010, Australia</t>
  </si>
  <si>
    <t>University of Tasmania; Institute of Marine Research - Norway; University of Melbourne; Melbourne Genomics Health Alliance</t>
  </si>
  <si>
    <t>Oldham, T (corresponding author), Univ Tasmania, Inst Marine &amp; Antarctic Studies, Aquat Anim Hlth Grp, Launceston, Tas 7250, Australia.</t>
  </si>
  <si>
    <t>tina.oldham@utas.edu.au</t>
  </si>
  <si>
    <t>Oldham, Tina Marie Weier/E-4779-2015</t>
  </si>
  <si>
    <t>Oldham, Tina Marie Weier/0000-0002-8994-0052; Oppedal, Frode/0000-0001-8625-0331</t>
  </si>
  <si>
    <t>Australian Research Council Future Fellowship grant; Norwegian Research Council 'Future Welfare' project [267800]; Huon Aquaculture Company; Australian Government Research Training Program Scholarship</t>
  </si>
  <si>
    <t>Australian Research Council Future Fellowship grant(Australian Research Council); Norwegian Research Council 'Future Welfare' project; Huon Aquaculture Company; Australian Government Research Training Program Scholarship(Australian GovernmentDepartment of Industry, Innovation and Science)</t>
  </si>
  <si>
    <t>The authors thank the personnel at Huon Aquaculture and Fletcher Warren-Myers, Daniel William Wright, Francisca Samsing, Michael Sievers, Cassandra Pert, Juan Manuel Valero Rodriguez, Matthew Le Feuvre and Kris Oldham for their hard work and assistance in the field. Funding for this work was provided by an Australian Research Council Future Fellowship grant to T.P., the Norwegian Research Council 'Future Welfare' project (267800), Huon Aquaculture Company and an Australian Government Research Training Program Scholarship awarded to T.O.</t>
  </si>
  <si>
    <t>10.3354/aei00263</t>
  </si>
  <si>
    <t>GD3KN</t>
  </si>
  <si>
    <t>WOS:000430402900004</t>
  </si>
  <si>
    <t>Liu, HG; Jiang, P; Huang, XX; Yu, ZY; Yang, M; Jia, MH; Awiphan, S; Pan, X; Liu, B; Zhang, HF; Wang, J; Li, ZY; Du, FJ; Li, XY; Lu, HP; Zhang, ZY; Tian, QG; Li, B; Ji, T; Zhang, SH; Shi, XH; Wang, J; Zhou, JL; Zhou, HY</t>
  </si>
  <si>
    <t>Liu, Hui-Gen; Jiang, Peng; Huang, Xingxing; Yu, Zhou-Yi; Yang, Ming; Jia, Minghao; Awiphan, Supachai; Pan, Xiang; Liu, Bo; Zhang, Hongfei; Wang, Jian; Li, Zhengyang; Du, Fujia; Li, Xiaoyan; Lu, Haiping; Zhang, Zhiyong; Tian, Qi-Guo; Li, Bin; Ji, Tuo; Zhang, Shaohua; Shi, Xiheng; Wang, Ji; Zhou, Ji-Lin; Zhou, Hongyan</t>
  </si>
  <si>
    <t>Searching for the Transit of the Earth-mass Exoplanet Proxima Centauri b in Antarctica: Preliminary Result</t>
  </si>
  <si>
    <t>ASTRONOMICAL JOURNAL</t>
  </si>
  <si>
    <t>methods: data analysis; planets and satellites: terrestrial planets; stars: individual (Proxima Centauri); techniques: photometric</t>
  </si>
  <si>
    <t>GAUSSIAN PROCESS FRAMEWORK; TERRESTRIAL PLANETS; TELESCOPE; STARS; DOME; NOISE</t>
  </si>
  <si>
    <t>Proxima. Centauri is known as the closest star to the Sun. Recently, radial velocity (RV) observations revealed the existence of an Earth-mass planet around it. With an orbital period of similar to 11 days, Proxima Centauri b is probably in the habitable zone of its host star. We undertook a photometric monitoring campaign to search for its transit, using the Bright Star Survey Telescope at the Zhongshan Station in Antarctica. A transit-like signal appearing on 2016 September 8 has been tentatively identified. Its midtime, T-C = 2,457,640.1990 +/- 0.0017 HJD, is consistent with the predicted ephemeris based on the RV orbit in a 1 sigma confidence interval. Time-correlated noise is pronounced in the light curve of Proxima. Centauri, affecting the detection of transits. We develop a technique, in a Gaussian process framework, to gauge the statistical significance of a potential transit detection. The tentative transit signal reported here has a confidence level of 2.5 sigma. Further detection of its periodic signals is necessary to confirm the planetary transit of Proxima. Centauri. b. We plan to monitor Proxima. Centauri in the next polar night at Dome. A in Antarctica, taking advantage of continuous darkness. Kipping et al. reported two tentative transit-like signals of Proxima. Centauri. b observed by the Microvariability and Oscillation of Stars space telescope in 2014 and 2015. The midtransit time of our detection is 138. minutes later than that predicted by their transit ephemeris. If all of the signals are real transits, the misalignment of the epochs plausibly suggests transit timing variations of Proxima. Centauri. b induced by an outer planet in this system.</t>
  </si>
  <si>
    <t>[Liu, Hui-Gen; Yu, Zhou-Yi; Yang, Ming; Zhou, Ji-Lin] Nanjing Univ, Sch Astron &amp; Space Sci, Nanjing 210093, Jiangsu, Peoples R China; [Liu, Hui-Gen; Yu, Zhou-Yi; Yang, Ming; Zhou, Ji-Lin] Nanjing Univ, Minist Educ, Key Lab Modern Astron &amp; Astrophys, Nanjing, Jiangsu, Peoples R China; [Jiang, Peng; Pan, Xiang; Liu, Bo; Tian, Qi-Guo; Li, Bin; Ji, Tuo; Zhang, Shaohua; Shi, Xiheng; Zhou, Hongyan] Polar Res Inst China, Jinqiao Rd 451, Shanghai 200136, Peoples R China; [Jiang, Peng; Huang, Xingxing; Liu, Bo; Tian, Qi-Guo; Ji, Tuo; Zhang, Shaohua; Shi, Xiheng; Zhou, Hongyan] Univ Sci &amp; Technol China, Chinese Acad Sci, Key Lab Res Galaxies &amp; Cosmol, Hefei, Anhui, Peoples R China; [Huang, Xingxing; Pan, Xiang; Liu, Bo; Zhou, Hongyan] Univ Sci &amp; Technol China, Dept Astron, Hefei 230026, Anhui, Peoples R China; [Yang, Ming; Zhang, Hongfei; Wang, Jian] Univ Sci &amp; Technol China, Dept Modern Phys, Hefei 230026, Anhui, Peoples R China; [Jia, Minghao; Zhang, Hongfei; Wang, Jian] Univ Sci &amp; Technol China, Dept Modern Phys, State Key Lab Technol Particle Detect &amp; Elect, Hefei 230026, Anhui, Peoples R China; [Awiphan, Supachai] Natl Astron Res Inst Thailand, 191 Huay Kaew Rd, Chiang Mai 50200, Thailand; [Li, Zhengyang; Du, Fujia; Li, Xiaoyan; Lu, Haiping; Zhang, Zhiyong] Chinese Acad Sci, Natl Astron Observ, Nanjing Inst Astron Opt &amp; Technol, Nanjing 210042, Jiangsu, Peoples R China; [Wang, Ji] CALTECH, Dept Astron, MC 249-17,1200 E Calif Blvd, Pasadena, CA 91106 USA</t>
  </si>
  <si>
    <t>Nanjing University; Nanjing University; Polar Research Institute of China; Chinese Academy of Sciences; University of Science &amp; Technology of China, CAS; Chinese Academy of Sciences; University of Science &amp; Technology of China, CAS; Chinese Academy of Sciences; University of Science &amp; Technology of China, CAS; Chinese Academy of Sciences; University of Science &amp; Technology of China, CAS; Chinese Academy of Sciences; Nanjing Institute of Astronomical Optics &amp; Technology, NAOC, CAS; National Astronomical Observatory, CAS; California Institute of Technology</t>
  </si>
  <si>
    <t>Liu, HG (corresponding author), Nanjing Univ, Sch Astron &amp; Space Sci, Nanjing 210093, Jiangsu, Peoples R China.;Liu, HG (corresponding author), Nanjing Univ, Minist Educ, Key Lab Modern Astron &amp; Astrophys, Nanjing, Jiangsu, Peoples R China.</t>
  </si>
  <si>
    <t>huigen@nju.edu.cn; jpaty@mail.ustc.edu.cn</t>
  </si>
  <si>
    <t>Li, Bin/P-7806-2014; Ji, Tuo/O-2611-2017; Yang, Ming/GWV-1365-2022; Awiphan, Supachai/AEA-3972-2022; Liu, Hui-Gen/HLQ-5128-2023</t>
  </si>
  <si>
    <t>Yang, Ming/0000-0002-6926-2872; Awiphan, Supachai/0000-0003-3251-3583; Liu, Hui-Gen/0000-0001-5162-1753</t>
  </si>
  <si>
    <t>Astronomical Project for the Chinese Antarctic Inland Station; SOC Program [CHINARE2012-02-03, CHINARE2013-02-03, CHINARE2014-02-03, CHINARE2015-02-03, CHINARE2016-02-03]; National Basic Research Program of China [2013CB834905, 2013CB834900, 2015CB857005]; National Natural Science Foundation of China [11503009, 11333002, 11233002, U1431229, 11503023, 11473025, 11421303, 11033007]; China Postdoctoral Science Foundation [2015M582000]; Natural Science Foundation of Shanghai [14ZR1444100]; Polar Research Institute of China [CX20130201]</t>
  </si>
  <si>
    <t>Astronomical Project for the Chinese Antarctic Inland Station; SOC Program; National Basic Research Program of China(National Basic Research Program of China); National Natural Science Foundation of China(National Natural Science Foundation of China (NSFC)); China Postdoctoral Science Foundation(China Postdoctoral Science Foundation); Natural Science Foundation of Shanghai(Natural Science Foundation of Shanghai); Polar Research Institute of China</t>
  </si>
  <si>
    <t>The authors appreciate the enlightening suggestions from the anonymous referee, which helped to greatly improve the quality of this paper. This work is supported by the Astronomical Project for the Chinese Antarctic Inland Station, the SOC Program (CHINARE2012-02-03, CHINARE2013-02-03, CHINARE2014-02-03, CHINARE2015-02-03, and CHINARE2016-02-03), and the National Basic Research Program of China (2013CB834905, 2013CB834900, and 2015CB857005). H.-G.L. is supported by the National Natural Science Foundation of China (11503009, 11333002). P.J. is supported by the National Natural Science Foundation of China (11233002, U1431229). X.H. acknowledges support from the China Postdoctoral Science Foundation (2015M582000). Q.-G.T. is supported by the National Natural Science Foundation of China (11503023), the Natural Science Foundation of Shanghai (14ZR1444100), and the Polar Science Innovation Fund for Young Scientists of Polar Research Institute of China (CX20130201). H.Z. is supported by the National Natural Science Foundation of China (11473025, 11421303, 11033007). The authors express sincere appreciation to Mr. Yongxiang Tang (the leader) and all team members at the Chinese Zhongshan Station, who made the operation of BSST in Antarctica possible in the winter of 2016.</t>
  </si>
  <si>
    <t>IOP Publishing Ltd</t>
  </si>
  <si>
    <t>0004-6256</t>
  </si>
  <si>
    <t>1538-3881</t>
  </si>
  <si>
    <t>ASTRON J</t>
  </si>
  <si>
    <t>Astron. J.</t>
  </si>
  <si>
    <t>10.3847/1538-3881/aa9b86</t>
  </si>
  <si>
    <t>FP8UK</t>
  </si>
  <si>
    <t>Bronze, Green Submitted, Green Accepted</t>
  </si>
  <si>
    <t>WOS:000417921400001</t>
  </si>
  <si>
    <t>d'Acoz, CD; Schön, I; Robert, H</t>
  </si>
  <si>
    <t>d'Acoz, Cedric d'Udekem; Schon, Isa; Robert, Henri</t>
  </si>
  <si>
    <t>The genus Charcotia Chevreux, 1906 in the Southern Ocean, with the description of a new species (Crustacea, Amphipoda, Lysianassoidea)</t>
  </si>
  <si>
    <t>BELGIAN JOURNAL OF ZOOLOGY</t>
  </si>
  <si>
    <t>Waldeckia; Lysianassidae; Antarctica; taxonomy; DNA barcoding; new species</t>
  </si>
  <si>
    <t>WALDECKIA-OBESA CHEVREUX; KING GEORGE ISLAND; ADMIRALTY BAY; ANTARCTIC AMPHIPODS; SHELF; METABOLISM; STARVATION; MORPHOLOGY; LIPOFUSCIN; DIVERSITY</t>
  </si>
  <si>
    <t>It is demonstrated here that Charcotia Chevreux, 1906 (Amphipoda) has priority over Charcotia Vayssiere, 1906 (Gastropoda), and that Waldeckia Chevreux, 1906 has to be treated as an invalid objective junior synonym of Charcotia Chevreux, 1906. An analysis of a part of the mitochondrial COI gene of Charcotia indicates that Charcotia obesa sensu lato, consists of two genetically distant clades that fulfil the criteria of genetic species. Each genetic clade corresponds to a different morphotype. The first one has a low triangular protrusion on the dorsal border of urosomite 1, a strong tooth on epimeron 3, and the posterodistal corner of the basis of pereiopod 7 is regularly rounded. It agrees with the original description of Charcotia obesa Chevreux, 1906. The second one has a protrusion of urosomite 1 prolongated by a sharp and usually long denticle, a small tooth on epimeron 3, and the posterodistal corner of the basis of pereiopod 7 is bluntly angular. The second form is treated herein as a new species, Charcotia amundseni sp. nov., which is described in detail. While the bathymetric distribution of the two Antarctic Charcotia species overlaps (0-300 m for C. obesa and 7-1200 m for C. amundseni sp. nov.), C. obesa largely predominates at depths of less than 150 m, while Charcotia amundseni sp. nov. predominates at greater depths. Both species are widely distributed and presumably circum-Antarctic.</t>
  </si>
  <si>
    <t>[d'Acoz, Cedric d'Udekem; Schon, Isa; Robert, Henri] Royal Belgian Inst Nat Sci, Directorate Nat Environm, Rue Vautier 29, B-1000 Brussels, Belgium; [Schon, Isa] Univ Hasselt, Res Grp Zool, Agoralaan Bldg D, B-3590 Diepenbeek, Belgium</t>
  </si>
  <si>
    <t>Royal Belgian Institute of Natural Sciences; Hasselt University</t>
  </si>
  <si>
    <t>d'Acoz, CD (corresponding author), Royal Belgian Inst Nat Sci, Directorate Nat Environm, Rue Vautier 29, B-1000 Brussels, Belgium.</t>
  </si>
  <si>
    <t>cdudekem@naturalsciences.be</t>
  </si>
  <si>
    <t>Institut polaire franeais Paul Emile Victor (IPEV) [REVOLTA 1124]; Museum national d'Histoire naturelle (MNHN); Belgian Science Policy Office (BELSPO) [13R/132/A1/vERSO, 13R/154/A1/RECTO]; Australian Antarctic Division [53]; Japanese Science Foundation; Institut polaire francais Paul Emile Victor (IPEV) (programme ICOTA)</t>
  </si>
  <si>
    <t>Institut polaire franeais Paul Emile Victor (IPEV); Museum national d'Histoire naturelle (MNHN); Belgian Science Policy Office (BELSPO)(Belgian Federal Science Policy Office); Australian Antarctic Division; Japanese Science Foundation; Institut polaire francais Paul Emile Victor (IPEV) (programme ICOTA)</t>
  </si>
  <si>
    <t>Cyril Gallut (Pierre et Marie Curie Universite, Paris) and Marc Eleaume (Museum National d'Histoire Naturelle, Paris) invited the first author to the Antarctic Biodiversity Workshop in Concarneau, 24 Oct. -2 Nov. 2016, where specimens used in the genetic study were found. Catherine Ozouf-Costaz (Museum national d'Histoire naturelle, Paris) proposed, as a hypothesis, that the toxicity of Charcotia obcsa to humans might be the consequence of fluoride accumulation (information communicated to us by Cyril Galin. The research programme led by Guillaume Lecointre, REVOLTA 1124 supported by the Institut polaire franeais Paul Emile Victor (IPEV) and the Museum national d'Histoire naturelle (MNHN) (via Laure Corbari) are acknowledged for giving us access to biological material of invaluable interest. The CAML-CEAMARC cruise of RSV Aurora Australis (IPY project no 53) was supported by the Australian Antarctic Division, the Japanese Science Foundation and the Institut polaire francais Paul Emile Victor (IPEV) (programme ICOTA). The authors wish to thank HIM Griffiths and Katrin Linse (British Antarctic Survey) who made the specimens collected by the RRS James Clark Ross available to us. Anton Van de Putte (RBINS) created the map. This publication is registered as CAML (Census of Antarctic Marine Life) publication No. 32 and ANDEEP contribution No. 216. This is contribution no. 018 to the vERSO project and contribution no. 002 of the rECTO project, funded by the Belgian Science Policy Office (BELSPO, contracts no 13R/132/A1/vERSO and no 13R/154/A1/RECTO). SEM photographs were carried out by Julien Cillis (RBINS) and we thank him for his efforts to generate the best pictures possible. Grcgorio Fernandez-Leborans (Universidad Complutense, Madrid) provided us with infotniation on epibiont protozoans living on crustaceans. Marlyn E.Y. Low (National University of Singapore) provided essential information for establishing the dates of publication of Charcotia Chevreux, 1906 and Charcotia Vayssiare, 1906. Sammy Dc Grave (Oxford Natural History Museum) and Philippe Bouchet (MNHN) also provided pertinent advice for handling this thorny nomenclatural issue. Tasnim Patel (PhD student at RBINS) checked the English text.</t>
  </si>
  <si>
    <t>ROYAL BELGIAN ZOOLOGICAL SOC</t>
  </si>
  <si>
    <t>BRUSSELS</t>
  </si>
  <si>
    <t>C/O PROF DR ISA SCHON, ROYAL BELGIAN INST NATURAL SCIENCES, DEPT FRESHWATER BIOLOGY, B-1000 BRUSSELS, BELGIUM</t>
  </si>
  <si>
    <t>0777-6276</t>
  </si>
  <si>
    <t>2295-0451</t>
  </si>
  <si>
    <t>BELG J ZOOL</t>
  </si>
  <si>
    <t>Belg. J. Zool.</t>
  </si>
  <si>
    <t>10.26496/bjz.2018.18</t>
  </si>
  <si>
    <t>GM1EZ</t>
  </si>
  <si>
    <t>WOS:000437808200004</t>
  </si>
  <si>
    <t>Skinner, SJ; Stickland, AD; Scales, PJ</t>
  </si>
  <si>
    <t>Skinner, Samuel J.; Stickland, Anthony D.; Scales, Peter J.</t>
  </si>
  <si>
    <t>Predicting Transmembrane Pressure Rise from Biofouling Layer Compressibility and Permeability</t>
  </si>
  <si>
    <t>CHEMICAL ENGINEERING &amp; TECHNOLOGY</t>
  </si>
  <si>
    <t>Filter cake; Fouling; Microfiltration; Modeling; Wastewater</t>
  </si>
  <si>
    <t>WASTE-WATER TREATMENT; MEMBRANE BIOREACTOR; ACTIVATED-SLUDGE; CAKE BUILDUP; MICROFILTRATION MEMBRANES; FRAME FILTRATION; FLOW FILTRATION; BIO-CAKE; RESISTANCE; ULTRAFILTRATION</t>
  </si>
  <si>
    <t>The operation of filtration membranes for wastewater treatment is severely affected by biofouling formation, which causes a rapid increase in transmembrane pressure (TMP) in constant rate filtration. The TMP rise is often attributed to particulate fouling within the membrane, but the external fouling layer or filter cake contributes significantly. The fouling is highly compressible, so any model must incorporate cake compression. A one-dimensional controlled rate model based on compressible cakes and accurate sludge properties is proposed to predict the TMP rise needed to maintain constant flux. Increased compressibility results in more rapid TMP rise. Model predictions were compared to pilot-plant data and showed good correlation, without assuming fouling within the membrane. Optimization of cycle times and flux rates are performed.</t>
  </si>
  <si>
    <t>[Skinner, Samuel J.; Stickland, Anthony D.; Scales, Peter J.] Univ Melbourne, Particulate Fluids Proc Ctr, Dept Chem Engn, Grattan St, Parkville, Vic 3010, Australia</t>
  </si>
  <si>
    <t>University of Melbourne</t>
  </si>
  <si>
    <t>Scales, PJ (corresponding author), Univ Melbourne, Particulate Fluids Proc Ctr, Dept Chem Engn, Grattan St, Parkville, Vic 3010, Australia.</t>
  </si>
  <si>
    <t>peterjs@unimelb.edu.au</t>
  </si>
  <si>
    <t>Stickland, Anthony D/B-4862-2008; Scales, Peter j/I-8103-2013; Skinner, Samuel/O-6882-2019</t>
  </si>
  <si>
    <t>Scales, Peter j/0000-0002-8033-3686; Skinner, Samuel/0000-0001-7979-2538</t>
  </si>
  <si>
    <t>Elizabeth and Vernon Puzey Scholarship; Australian Government Research Training Program Scholarship</t>
  </si>
  <si>
    <t>Elizabeth and Vernon Puzey Scholarship; Australian Government Research Training Program Scholarship(Australian GovernmentDepartment of Industry, Innovation and Science)</t>
  </si>
  <si>
    <t>An earlier version of this paper [47] was presented by the lead author at FILTECH2016 in Cologne, Germany, October 11-13, 2016. Adrian Knight is thanked for facilitating collection of biofouling samples in backwash from the Davis Station Advanced Water Treatment Plant. Michael Packer from the Australian Antarctic Division and Jianhua Zhang from Victoria University are also thanked for providing information and access to the pilot plant. Daniel Green and the staff at Selfs Point Laboratory (TasWater) are acknowledged for sample testing. Samuel Skinner is supported by the Elizabeth and Vernon Puzey Scholarship and an Australian Government Research Training Program Scholarship. Infrastructure support was provided by the Particulate Fluids Processing Centre, a Special Research Centre of the Australian Research Council.</t>
  </si>
  <si>
    <t>0930-7516</t>
  </si>
  <si>
    <t>1521-4125</t>
  </si>
  <si>
    <t>CHEM ENG TECHNOL</t>
  </si>
  <si>
    <t>Chem. Eng. Technol.</t>
  </si>
  <si>
    <t>10.1002/ceat.201700117</t>
  </si>
  <si>
    <t>Engineering, Chemical</t>
  </si>
  <si>
    <t>FQ5HZ</t>
  </si>
  <si>
    <t>WOS:000418390800007</t>
  </si>
  <si>
    <t>Watkins, L</t>
  </si>
  <si>
    <t>Fossati, G; Jackson, V; Lameris, B; RongenKaynakci, E; Street, S; Yumibe, J</t>
  </si>
  <si>
    <t>Watkins, Liz</t>
  </si>
  <si>
    <t>Liminal Perceptions Intermediality and the Exhibition of Nonfiction Film</t>
  </si>
  <si>
    <t>COLOUR FANTASTIC: CHROMATIC WORLDS OF SILENT CINEMA</t>
  </si>
  <si>
    <t>Framing Film</t>
  </si>
  <si>
    <t>Ponting; Wilson; exhibition; lantern slides; Antarctic; scientific expedition; colour; performance; script; photography; Hurley</t>
  </si>
  <si>
    <t>Colour in early 1900s nonfiction films was designed to be viewed sensuously (Yumibe, 2012; Peterson, 2014), a practice that persisted in the public exhibition of scientific expedition photography. An analysis of polar expeditions, contemporary to the emergence of cinema, reads references to colour (sunrise, sunsets, Aurora Australis) recorded at a specific time and place as coordinates mapping the interactions of body and environment. Liminal perceptions, signalled through a configuration of references (sketches, journals, photographs), trace a combination of interests in the scientific study of landscape and its elaboration as spectacle in modern visual culture. In exhibition, the sensual appeal and connection of technologies and subject matter in visual display (Gunning, 1991) conveyed what eluded direct registration: chroma, sound, touch, odour.</t>
  </si>
  <si>
    <t>[Watkins, Liz] Univ Leeds, Leeds, W Yorkshire, England</t>
  </si>
  <si>
    <t>University of Leeds</t>
  </si>
  <si>
    <t>Watkins, L (corresponding author), Univ Leeds, Leeds, W Yorkshire, England.</t>
  </si>
  <si>
    <t>AMSTERDAM UNIV PRESS</t>
  </si>
  <si>
    <t>AMSTERDAM 1071</t>
  </si>
  <si>
    <t>PRINSENGRACHI 747-51, AMSTERDAM 1071, NETHERLANDS</t>
  </si>
  <si>
    <t>2352-5576</t>
  </si>
  <si>
    <t>978-9-04-853298-8; 978-9-46-298301-4</t>
  </si>
  <si>
    <t>FRAM FILM</t>
  </si>
  <si>
    <t>10.5117/9789462983014/CH02</t>
  </si>
  <si>
    <t>10.5117/9789462984714</t>
  </si>
  <si>
    <t>Film, Radio, Television</t>
  </si>
  <si>
    <t>Film, Radio &amp; Television</t>
  </si>
  <si>
    <t>BO5EZ</t>
  </si>
  <si>
    <t>WOS:000517287300004</t>
  </si>
  <si>
    <t>Duarte, AWF; dos Santos, JA; Vianna, MV; Vieira, JMF; Mallagutti, VH; Inforsato, FJ; Wentzel, LCP; Lario, LD; Rodrigues, A; Pagnocca, FC; Pessoa, A; Sette, LD</t>
  </si>
  <si>
    <t>Fernandes Duarte, Alysson Wagner; dos Santos, Juliana Aparecida; Vianna, Marina Vitti; Freitas Vieira, Juliana Maira; Mallagutti, Vitor Hugo; Inforsato, Fabio Jose; Pinto Wentzel, Lia Costa; Lario, Luciana Daniela; Rodrigues, Andre; Pagnocca, Fernando Carlos; Pessoa Junior, Adalberto; Sette, Lara Duraes</t>
  </si>
  <si>
    <t>Cold-adapted enzymes produced by fungi from terrestrial and marine Antarctic environments</t>
  </si>
  <si>
    <t>CRITICAL REVIEWS IN BIOTECHNOLOGY</t>
  </si>
  <si>
    <t>Antarctica; bioprospecting; cold-adapted enzymes; extremophiles; filamentous fungi; mycology; psychrophiles; yeasts</t>
  </si>
  <si>
    <t>LIQUID-LIQUID-EXTRACTION; ICE-FREE AREA; BASIDIOMYCETOUS YEAST; SP NOV.; LOW-TEMPERATURE; PHYLOGENETIC CLASSIFICATION; EXTRACELLULAR PROTEASE; DESCHAMPSIA-ANTARCTICA; ALPHA-AMYLASE; ROSS ISLAND</t>
  </si>
  <si>
    <t>Antarctica is the coldest, windiest, and driest continent on Earth. In this sense, microorganisms that inhabit Antarctica environments have to be adapted to harsh conditions. Fungal strains affiliated with Ascomycota and Basidiomycota phyla have been recovered from terrestrial and marine Antarctic samples. They have been used for the bioprospecting of molecules, such as enzymes. Many reports have shown that these microorganisms produce cold-adapted enzymes at low or mild temperatures, including hydrolases (e.g. alpha-amylase, cellulase, chitinase, glucosidase, invertase, lipase, pectinase, phytase, protease, subtilase, tannase, and xylanase) and oxidoreductases (laccase and superoxide dismutase). Most of these enzymes are extracellular and their production in the laboratory has been carried out mainly under submerged culture conditions. Several studies showed that the cold-adapted enzymes exhibit a wide range in optimal pH (1.0-9.0) and temperature (10.0-70.0 degrees C). A myriad of methods have been applied for cold-adapted enzyme purification, resulting in purification factors and yields ranging from 1.70 to 1568.00-fold and 0.60 to 86.20%, respectively. Additionally, some fungal cold-adapted enzymes have been cloned and expressed in host organisms. Considering the enzyme-producing ability of microorganisms and the properties of cold-adapted enzymes, fungi recovered from Antarctic environments could be a prolific genetic resource for biotechnological processes (industrial and environmental) carried out at low or mild temperatures.</t>
  </si>
  <si>
    <t>[Fernandes Duarte, Alysson Wagner] Univ Fed Alagoas, Campus Arapiraca,Manoel Severino Barbosa S-N, BR-57309005 Arapiraca, Brazil; [Fernandes Duarte, Alysson Wagner] Univ Estadual Campinas, Div Recursos Microbianos, Ctr Pluridisciplinar Pesquisas Quim Biol &amp; Agr, Paulinia, Brazil; [dos Santos, Juliana Aparecida; Vianna, Marina Vitti; Freitas Vieira, Juliana Maira; Mallagutti, Vitor Hugo; Inforsato, Fabio Jose; Pinto Wentzel, Lia Costa; Rodrigues, Andre; Pagnocca, Fernando Carlos; Sette, Lara Duraes] Univ Estadual Paulistra UNESP, Dept Bioquim &amp; Microbiol, Campus Rio Claro, Rio Claro, Brazil; [Lario, Luciana Daniela] Univ Nacl Rosario, Ctr Estudios Fotosintet &amp; Bioquim, Rosario, Santa Fe, Argentina; [Lario, Luciana Daniela; Pessoa Junior, Adalberto] Univ Sao Paulo, Dept Tecnol Bioquim Farmaceut, Fac Ciencias Farmaceut, Sao Paulo, Brazil</t>
  </si>
  <si>
    <t>Universidade Federal de Alagoas; Universidade Estadual de Campinas; National University of Rosario; Universidade de Sao Paulo</t>
  </si>
  <si>
    <t>Duarte, AWF (corresponding author), Univ Fed Alagoas, Campus Arapiraca,Manoel Severino Barbosa S-N, BR-57309005 Arapiraca, Brazil.;Sette, LD (corresponding author), Univ Estadual Paulistra, Dept Bioquim &amp; Microbiol, 24A,1515, BR-13506900 Rio Claro, Brazil.</t>
  </si>
  <si>
    <t>alysson.duarte@arapiraca.ufal.br; larasette@rc.unesp.br</t>
  </si>
  <si>
    <t>Pessoa-Junior, Adalberto/B-7963-2012; Rodrigues, Andre/B-8148-2012; dos Santos, Juliana Aparecida/ITW-1493-2023; rodrigues, andre/JWP-8432-2024; Sette, Lara Durães/C-8298-2013; Duarte, Alysson Wagner Fernandes/S-8062-2019</t>
  </si>
  <si>
    <t>Pessoa-Junior, Adalberto/0000-0002-5268-8690; Rodrigues, Andre/0000-0002-4164-9362; dos Santos, Juliana Aparecida/0000-0003-4654-4698; Sette, Lara Durães/0000-0002-5980-3786; Duarte, Alysson Wagner Fernandes/0000-0001-9626-7524; Wentzel, Lia/0000-0001-9018-8569</t>
  </si>
  <si>
    <t>0738-8551</t>
  </si>
  <si>
    <t>1549-7801</t>
  </si>
  <si>
    <t>CRIT REV BIOTECHNOL</t>
  </si>
  <si>
    <t>Crit. Rev. Biotechnol.</t>
  </si>
  <si>
    <t>10.1080/07388551.2017.1379468</t>
  </si>
  <si>
    <t>GA4IE</t>
  </si>
  <si>
    <t>WOS:000428292300009</t>
  </si>
  <si>
    <t>Forcada, J; Staniland, IJ</t>
  </si>
  <si>
    <t>Wursig, B; Thewissen, JGM; Kovacs, KM</t>
  </si>
  <si>
    <t>Forcada, Jaume; Staniland, Iain J.</t>
  </si>
  <si>
    <t>ANTARCTIC FUR SEAL Arctocephalus gazella</t>
  </si>
  <si>
    <t>ENCYCLOPEDIA OF MARINE MAMMALS, 3RD EDITION</t>
  </si>
  <si>
    <t>MALES</t>
  </si>
  <si>
    <t>[Forcada, Jaume] British Antarctic Survey, Cambridge, England; [Staniland, Iain J.] British Antarctic Survey, Nat Environm Res Council, Cambridge, England</t>
  </si>
  <si>
    <t>UK Research &amp; Innovation (UKRI); Natural Environment Research Council (NERC); NERC British Antarctic Survey; UK Research &amp; Innovation (UKRI); Natural Environment Research Council (NERC); NERC British Antarctic Survey</t>
  </si>
  <si>
    <t>Forcada, J (corresponding author), British Antarctic Survey, Cambridge, England.</t>
  </si>
  <si>
    <t>Staniland, Iain/I-4725-2012; Forcada, Jaume/GYU-0677-2022</t>
  </si>
  <si>
    <t>Staniland, Iain/0000-0003-2736-9134;</t>
  </si>
  <si>
    <t>ACADEMIC PRESS LTD-ELSEVIER SCIENCE LTD</t>
  </si>
  <si>
    <t>125 LONDON WALL, LONDON EC2Y 5AS, ENGLAND</t>
  </si>
  <si>
    <t>978-0-12-804381-3; 978-0-12-804327-1</t>
  </si>
  <si>
    <t>10.1016/C2015-0-00820-6</t>
  </si>
  <si>
    <t>BP0SZ</t>
  </si>
  <si>
    <t>WOS:000537008800009</t>
  </si>
  <si>
    <t>Lowther, AD</t>
  </si>
  <si>
    <t>Lowther, Andrew D.</t>
  </si>
  <si>
    <t>ANTARCTIC MARINE MAMMALS</t>
  </si>
  <si>
    <t>SEALS HYDRURGA-LEPTONYX; QUEEN-MAUD-LAND; OMMATOPHOCA-ROSSII; DIET; WHALES; BEHAVIOR</t>
  </si>
  <si>
    <t>[Lowther, Andrew D.] Norwegian Polar Res Inst, Tromso, Norway</t>
  </si>
  <si>
    <t>Norwegian Polar Institute</t>
  </si>
  <si>
    <t>Lowther, AD (corresponding author), Norwegian Polar Res Inst, Tromso, Norway.</t>
  </si>
  <si>
    <t>WOS:000537008800010</t>
  </si>
  <si>
    <t>Forcada, J</t>
  </si>
  <si>
    <t>Forcada, Jaume</t>
  </si>
  <si>
    <t>DISTRIBUTION</t>
  </si>
  <si>
    <t>[Forcada, Jaume] British Antarctic Survey, Cambridge, England</t>
  </si>
  <si>
    <t>Forcada, Jaume/GYU-0677-2022</t>
  </si>
  <si>
    <t>WOS:000537008800072</t>
  </si>
  <si>
    <t>McKnight, JC; Boyd, IL</t>
  </si>
  <si>
    <t>McKnight, J. Chris; Boyd, Ian L.</t>
  </si>
  <si>
    <t>PINNIPED LIFE HISTORY</t>
  </si>
  <si>
    <t>ZEALAND SEA LIONS; NORTHERN ELEPHANT SEAL; ANTARCTIC FUR SEALS; POPULATION-DYNAMICS; GREY SEALS; BREEDING EXPERIENCE; DENSITY-DEPENDENCE; HALICHOERUS-GRYPUS; SURVIVAL RATES; CLIMATE-CHANGE</t>
  </si>
  <si>
    <t>[McKnight, J. Chris; Boyd, Ian L.] Univ St Andrews, St Andrews, Fife, Scotland</t>
  </si>
  <si>
    <t>McKnight, JC (corresponding author), Univ St Andrews, St Andrews, Fife, Scotland.</t>
  </si>
  <si>
    <t>WOS:000537008800173</t>
  </si>
  <si>
    <t>Faria, SH; Kipfstuhl, S; Lambrecht, A</t>
  </si>
  <si>
    <t>Faria, S. H.; Kipfstuhl, S.; Lambrecht, A.</t>
  </si>
  <si>
    <t>EPICA-DML Deep Ice Core: A Visual Record</t>
  </si>
  <si>
    <t>EPICA-DML DEEP ICE CORE: A VISUAL RECORD</t>
  </si>
  <si>
    <t>Frontiers in Earth Sciences</t>
  </si>
  <si>
    <t>DRONNING MAUD LAND; C-AXIS FABRICS; POLAR ICE; ANTARCTIC ICE; AIR BUBBLES; GRAIN-GROWTH; DOME FUJI; CLIMATE VARIABILITY; EAST ANTARCTICA; DYNAMIC RECRYSTALLIZATION</t>
  </si>
  <si>
    <t>Faria, Sérgio Henrique/K-9454-2013</t>
  </si>
  <si>
    <t>1863-4621</t>
  </si>
  <si>
    <t>978-3-662-55308-4; 978-3-662-55306-0</t>
  </si>
  <si>
    <t>FRONT EARTH SCI SER</t>
  </si>
  <si>
    <t>10.1007/978-3-662-55308-4</t>
  </si>
  <si>
    <t>10.4324/9781315406282</t>
  </si>
  <si>
    <t>Geosciences, Multidisciplinary; Meteorology &amp; Atmospheric Sciences</t>
  </si>
  <si>
    <t>Geology; Meteorology &amp; Atmospheric Sciences</t>
  </si>
  <si>
    <t>BL0IG</t>
  </si>
  <si>
    <t>WOS:000445864800007</t>
  </si>
  <si>
    <t>Microcystins, BMAA and BMAA isomers in 100-year-old Antarctic cyanobacterial mats collected during Captain RF Scott's Discovery Expedition</t>
  </si>
  <si>
    <t>Antarctica; benthic; BMAA; cyanobacteria; fresh water; historic collections; microbial mat; microcystin</t>
  </si>
  <si>
    <t>METHYLAMINO-L-ALANINE; NEUROTOXIC AMINO-ACID; NEURODEGENERATIVE DISEASE; CYCAS CIRCINALIS; TOXIN PRODUCTION; WATER; LR; GUAM; BIOMAGNIFICATION; IDENTIFICATION</t>
  </si>
  <si>
    <t>Microcystins (MCN), -N-methylamino-L-alanine (BMAA) and anatoxin-a were investigated in Antarctic cyanobacterial mats collected from Ross Island and the McMurdo Ice Shelf, East Antarctica during Captain Scott's Discovery' National Antarctic Expedition (1901-1904). Ultra-performance liquid chromatography-photodiode array detection (UPLC-PDA) and tandem mass spectrometry (MS/MS) analysis were used to quantify the cyanotoxins in seven cyanobacterial mat samples. MCNs were identified in six of the mat samples at concentrations from 0.5 to 16.1 mu gg(-1) dry weight. BMAA was found in one sample (528 ngg(-1) dry weight, total BMAA), as well as two BMAA isomers, 2,4-diaminobutyric acid (DAB) and N-(2-aminoethyl) glycine (AEG) in six samples up to 6.56 and 6.79 gg(-1) dry weight, respectively. No anatoxin-a was detected. The findings confirm that MCNs, BMAA and BMAA isomers are preserved under dry herbarium conditions. The Discovery' cyanobacterial mat samples represent the oldest polar cyanobacterial samples found to contain cyanotoxins to date and provide new baseline data for cyanotoxins in Antarctic freshwater cyanobacterial mats from prior to human activity in Antarctica, the development of the ozone hole and current levels of climatic change.</t>
  </si>
  <si>
    <t>[Jungblut, A. D.; Wilbraham, J.] Nat Hist Museum, Life Sci Dept, London SW7 5BD, England; [Banack, S. A.; Metcalf, J. S.] Inst Ethnomed, Brain Chem Labs, Jackson, WY 83001 USA; [Metcalf, J. S.; Codd, G. A.] Univ Dundee, Div Mol Microbiol, Dundee DD1 5EH, Scotland; [Codd, G. A.] Univ Stirling, Sch Nat Sci, Stirling FK9 4LA, Scotland</t>
  </si>
  <si>
    <t>Natural History Museum London; University of Dundee; University of Stirling</t>
  </si>
  <si>
    <t>Jungblut, AD (corresponding author), Nat Hist Museum, Life Sci Dept, London SW7 5BD, England.</t>
  </si>
  <si>
    <t>a.jungblut@nhm.ac.uk</t>
  </si>
  <si>
    <t>metcalf, james/0000-0003-3011-3973; Wilbraham, Joanna/0000-0003-4101-0611; Jungblut, Anne D./0000-0002-4569-8233</t>
  </si>
  <si>
    <t>10.1080/09670262.2018.1442587</t>
  </si>
  <si>
    <t>WOS:000431546100001</t>
  </si>
  <si>
    <t>Pichrtová, M; Holzinger, A; Kulichová, J; Rysánek, D; Soljaková, T; Trumhová, K; Nemcova, Y</t>
  </si>
  <si>
    <t>Pichrtova, Martina; Holzinger, Andreas; Kulichova, Jana; Rysanek, David; Soljakova, Tereza; Trumhova, Katerina; Nemcova, Yvonne</t>
  </si>
  <si>
    <t>Molecular and morphological diversity of Zygnema and Zygnemopsis (Zygnematophyceae, Streptophyta) from Svalbard (High Arctic)</t>
  </si>
  <si>
    <t>Arctic; chloroplast shape; cryptic diversity; microscopy; molecular phylogeny; rbcL; Svalbard; Zygnema; Zygnemopsis</t>
  </si>
  <si>
    <t>GREEN-ALGA ZYGNEMA; FRESH-WATER; TERRESTRIAL ALGAE; ANTARCTIC STRAINS; OSMOTIC-STRESS; NY-ALESUND; PHYLOGENY; CHLOROPHYTA; SPIROGYRA; DESMIDS</t>
  </si>
  <si>
    <t>Filamentous conjugating green microalgae (Zygnematophyceae, Streptophyta) belong to the most common primary producers in polar hydro-terrestrial environments such as meltwater streamlets and shallow pools. The mats formed by these organisms are mostly composed of sterile filaments with Zygnema morphology, but the extent of their diversity remains unknown. Traditional taxonomy of this group is based on reproductive morphology, but sexual reproduction (conjugation and formation of resistant zygospores) is very rare in extreme conditions. In the present study we gave the first record of zygospore formation in Svalbard field samples, and identified conjugating filaments as Zygnemopsis lamellata and Zygnema cf. calosporum. We applied molecular phylogeny to study genetic diversity of sterile Zygnema filaments from Svalbard in the High Arctic. Based on analysis of 143 rbcL sequences, we revealed a surprisingly high molecular diversity: 12 Arctic Zygnema genotypes and one Zygnemopsis genotype were found. In addition, we characterized individual Arctic genotypes based on cell width and chloroplast morphology using light and confocal laser scanning microscopy. Our findings highlight the importance of a molecular approach when working with sterile filamentous Zygnematophyceae, as hidden diversity might be very beneficial for adaptation to harsh environmental conditions, and experimental results could be misinterpreted when hidden diversity is neglected.</t>
  </si>
  <si>
    <t>[Pichrtova, Martina; Kulichova, Jana; Rysanek, David; Soljakova, Tereza; Trumhova, Katerina; Nemcova, Yvonne] Charles Univ Prague, Dept Bot, Fac Sci, Benatska 2, Prague 12800, Czech Republic; [Holzinger, Andreas] Univ Innsbruck, Inst Bot, Funct Plant Biol, Sternwartestr 15, A-6020 Innsbruck, Austria</t>
  </si>
  <si>
    <t>Charles University Prague; University of Innsbruck</t>
  </si>
  <si>
    <t>Pichrtová, M (corresponding author), Charles Univ Prague, Dept Bot, Fac Sci, Benatska 2, Prague 12800, Czech Republic.</t>
  </si>
  <si>
    <t>martina.pichrtova@natur.cuni.cz</t>
  </si>
  <si>
    <t>Nemcova, Yvonne/I-6989-2015; Ryšánek, David/G-8312-2018; Nemcova, Yvonne/HGC-1581-2022; Kulichová, Jana/A-2486-2013; Pichrtová, Martina/N-1298-2014; Holzinger, Andreas/Z-2659-2019</t>
  </si>
  <si>
    <t>Nemcova, Yvonne/0000-0002-5396-5717; Kulichová, Jana/0000-0001-8035-4770; Pichrtová, Martina/0000-0002-6003-9666; Holzinger, Andreas/0000-0002-7745-3978; Trumhova, Katerina/0000-0003-2581-6674</t>
  </si>
  <si>
    <t>Czech Science Foundation (GACR) [15-34645L]; Austrian Science Fund (FWF) [1951-B16, P 24242-B16]; Charles University Grant Agency (GAUK) [924916]; Charles University Research Centre program [204069]; European Regional Development Fund; state budget of the Czech Republic [CZ.1.05/4.1.00/16.0347, CZ.2.16/3.1.00/21515]; Austrian Science Fund (FWF) [I1951] Funding Source: Austrian Science Fund (FWF)</t>
  </si>
  <si>
    <t>Czech Science Foundation (GACR)(Grant Agency of the Czech Republic); Austrian Science Fund (FWF)(Austrian Science Fund (FWF)); Charles University Grant Agency (GAUK); Charles University Research Centre program; European Regional Development Fund(European Union (EU)); state budget of the Czech Republic; Austrian Science Fund (FWF)(Austrian Science Fund (FWF))</t>
  </si>
  <si>
    <t>This work was supported by The Czech Science Foundation (GACR) project 15-34645L to MP; by Austrian Science Fund (FWF) projects 1951-B16 and P 24242-B16 to AH; by the Charles University Grant Agency (GAUK) project 924916 to TS; and by the Charles University Research Centre program No. 204069 to JK. Confocal microscopy was performed in the Laboratory of Confocal and Fluorescence Microscopy co-financed by the European Regional Development Fund and the state budget of the Czech Republic projects no. CZ.1.05/4.1.00/16.0347 and CZ.2.16/3.1.00/21515.</t>
  </si>
  <si>
    <t>10.1080/09670262.2018.1476920</t>
  </si>
  <si>
    <t>HA9FS</t>
  </si>
  <si>
    <t>WOS:000450604200004</t>
  </si>
  <si>
    <t>Sommers, P; Darcy, JL; Gendron, EMS; Stanish, LF; Bagshaw, EA; Porazinska, DL; Schmidt, SK</t>
  </si>
  <si>
    <t>Sommers, Pacifica; Darcy, John L.; Gendron, Eli M. S.; Stanish, Lee F.; Bagshaw, Elizabeth A.; Porazinska, Dorota L.; Schmidt, Steven K.</t>
  </si>
  <si>
    <t>Diversity patterns of microbial eukaryotes mirror those of bacteria in Antarctic cryoconite holes</t>
  </si>
  <si>
    <t>FEMS MICROBIOLOGY ECOLOGY</t>
  </si>
  <si>
    <t>high-throughput sequencing; dispersal; cryoconite hole; Antarctica; bacteria; eukaryotes</t>
  </si>
  <si>
    <t>MCMURDO DRY VALLEYS; TAYLOR VALLEY; VICTORIA LAND; BIODIVERSITY; COMMUNITIES; SOIL; BIOGEOCHEMISTRY; CONNECTIVITY; DISPERSAL; EVOLUTION</t>
  </si>
  <si>
    <t>Ice-lidded cryoconite holes on glaciers in the Taylor Valley, Antarctica, provide a unique system of natural mesocosms for studying community structure and assembly. We used high-throughput DNA sequencing to characterize both microbial eukaryotic communities and bacterial communities within cryoconite holes across three glaciers to study similarities in their spatial patterns. We expected that the alpha (phylogenetic diversity) and beta (pairwise community dissimilarity) diversity patterns of eukaryotes in cryoconite holes would be related to those of bacteria, and that they would be related to the biogeochemical gradient within the Taylor Valley. We found that eukaryotic alpha and beta diversity were strongly related to those of bacteria across scales ranging from 140 m to 41 km apart. Alpha diversity of both was significantly related to position in the valley and surface area of the cryoconite hole, with pH also significantly correlated with the eukaryotic diversity. Beta diversity for both bacteria and eukaryotes was significantly related to position in the valley, with bacterial beta diversity also related to nitrate. These results are consistent with transport of sediments onto glaciers occurring primarily at local scales relative to the size of the valley, thus creating feedbacks in local chemistry and diversity.</t>
  </si>
  <si>
    <t>[Sommers, Pacifica; Gendron, Eli M. S.; Porazinska, Dorota L.; Schmidt, Steven K.] Univ Colorado, Dept Ecol &amp; Evolutionary Biol, UCB 334,1900 Pleasant St, Boulder, CO 80309 USA; [Darcy, John L.] Univ Hawaii Manoa, Dept Bot, Honolulu, HI 96822 USA; [Gendron, Eli M. S.] Univ Colorado, Dept Mol Cellular &amp; Dev Biol, Boulder, CO 80309 USA; [Stanish, Lee F.] Natl Ecol Observ Network, Boulder, CO 80301 USA; [Bagshaw, Elizabeth A.] Cardiff Univ, Sch Earth &amp; Ocean Sci, Cardiff CF10 3AT, S Glam, Wales</t>
  </si>
  <si>
    <t>University of Colorado System; University of Colorado Boulder; University of Hawaii System; University of Hawaii Manoa; University of Colorado System; University of Colorado Boulder; Cardiff University</t>
  </si>
  <si>
    <t>Sommers, P (corresponding author), Univ Colorado, Dept Ecol &amp; Evolutionary Biol, UCB 334,1900 Pleasant St, Boulder, CO 80309 USA.</t>
  </si>
  <si>
    <t>pacifica.sommers@colorado.edu</t>
  </si>
  <si>
    <t>Facility, BioFrontiers Next Generation Sequencing/AAJ-8616-2020; SCHMIDT, STEVEN K/G-2771-2010</t>
  </si>
  <si>
    <t>Sommers, Pacifica/0000-0002-7797-7341; SCHMIDT, STEVEN K/0000-0002-9175-2085; Bagshaw, Elizabeth/0000-0001-8392-1750</t>
  </si>
  <si>
    <t>NSF Polar Programs Award [1443578]; Duke University; Office of Polar Programs (OPP); Directorate For Geosciences [1443578] Funding Source: National Science Foundation</t>
  </si>
  <si>
    <t>NSF Polar Programs Award(National Science Foundation (NSF)NSF - Directorate for Geosciences (GEO)); Duke University; Office of Polar Programs (OPP); Directorate For Geosciences(National Science Foundation (NSF)NSF - Directorate for Geosciences (GEO))</t>
  </si>
  <si>
    <t>This work was funded by NSF Polar Programs Award 1443578 and by Duke University.</t>
  </si>
  <si>
    <t>0168-6496</t>
  </si>
  <si>
    <t>1574-6941</t>
  </si>
  <si>
    <t>FEMS MICROBIOL ECOL</t>
  </si>
  <si>
    <t>FEMS Microbiol. Ecol.</t>
  </si>
  <si>
    <t>fix167</t>
  </si>
  <si>
    <t>10.1093/femsec/fix167</t>
  </si>
  <si>
    <t>GA2BM</t>
  </si>
  <si>
    <t>WOS:000428121600010</t>
  </si>
  <si>
    <t>Kovalev, SM; Smirnov, VN; Borodkin, VA; Kolabutin, NV</t>
  </si>
  <si>
    <t>Kovalev, S. M.; Smirnov, V. N.; Borodkin, V. A.; Kolabutin, N., V</t>
  </si>
  <si>
    <t>Research of the physical-mechanical properties of sea ice at the scientific research station Ice base the cape of Baranov</t>
  </si>
  <si>
    <t>FIFTH ALL-RUSSIAN CONFERENCE WITH INTERNATIONAL PARTICIPATION POLAR MECHANICS</t>
  </si>
  <si>
    <t>: 5th All-Russian Conference with International Participation on Polar Mechanics</t>
  </si>
  <si>
    <t>OCT 09-11, 2018</t>
  </si>
  <si>
    <t>Technopark Novosibirsk Akademgorodok, Novosibirsk, RUSSIA</t>
  </si>
  <si>
    <t>Technopark Novosibirsk Akademgorodok</t>
  </si>
  <si>
    <t>In 2013, on the island of Bolshevik, the Northern Earth archipelago, the scientific research station Ice base the cape of Baranov resumed a permanent work. The composition of complex studies of sea ice cover is continuously expanding and now it includes: standard visual ice observations; researches of morphological characteristics of level ice; researches of the physical-mechanical properties of ice; researches of the dynamics of the ice cover; the study of spatial and temporal non-homogeneity of the fast ice structure and physical properties.</t>
  </si>
  <si>
    <t>[Kovalev, S. M.; Smirnov, V. N.; Borodkin, V. A.; Kolabutin, N., V] Arctic &amp; Antarctic Res Inst, Bering Str 38, St Petersburg 199397, Russia</t>
  </si>
  <si>
    <t>Kovalev, SM (corresponding author), Arctic &amp; Antarctic Res Inst, Bering Str 38, St Petersburg 199397, Russia.</t>
  </si>
  <si>
    <t>skovalev@aari.ru</t>
  </si>
  <si>
    <t>Kolabutin, Nikolay/G-7252-2015</t>
  </si>
  <si>
    <t>Kolabutin, Nikolay/0000-0002-4107-5223; Kovalev, Sergey/0000-0002-2908-2674</t>
  </si>
  <si>
    <t>10.1088/1755-1315/193/1/012030</t>
  </si>
  <si>
    <t>Geochemistry &amp; Geophysics; Engineering, Petroleum; Environmental Sciences; Mechanics</t>
  </si>
  <si>
    <t>Geochemistry &amp; Geophysics; Engineering; Environmental Sciences &amp; Ecology; Mechanics</t>
  </si>
  <si>
    <t>BP3BI</t>
  </si>
  <si>
    <t>WOS:000546169800030</t>
  </si>
  <si>
    <t>Makarenko, NI; Maltseva, JL; Morozov, EG; Tarakanov, RY; Ivanova, KA</t>
  </si>
  <si>
    <t>Makarenko, N., I; Maltseva, J. L.; Morozov, E. G.; Tarakanov, R. Yu; Ivanova, K. A.</t>
  </si>
  <si>
    <t>Nonlinear waves in marginally stable flows of Antarctic Bottom Water</t>
  </si>
  <si>
    <t>INTERNAL WAVES</t>
  </si>
  <si>
    <t>In this paper, we study internal waves and stratified flows in the Romanche Fracture Zone of the Mid Atlantic Ridge. Theoretical analysis involves mathematical formulation of stratified flows which uses LADCP- and CTD-data obtained from field observation in the cruises of RV Akademik Sergey Vavilov. We discuss the 2.5-layer model of the fluid with exponential stratification of both layers. The long-wave approximate model describing travelling waves is constructed by means of scaling procedure with a small Boussinesq parameter. It is demonstrated that solitary wave regimes can be affected by the Kelvin - Helmholtz instability arising due to interfacial velocity shear in upstream flow.</t>
  </si>
  <si>
    <t>[Makarenko, N., I; Maltseva, J. L.] Lavrentyev Inst Hydrodynam, Lavrentyev Pr 15, Novosibirsk 630090, Russia; [Makarenko, N., I; Maltseva, J. L.] Novosibirsk State Univ, Pirogova St 2, Novosibirsk 630090, Russia; [Morozov, E. G.; Tarakanov, R. Yu] Shirshov Inst Oceanol, Nakhimovski Pr 36, Moscow 117997, Russia; [Ivanova, K. A.] Aix Marseille Univ, Marseille 06, France</t>
  </si>
  <si>
    <t>Lavrentyev Institute of Hydrodynamics; Novosibirsk State University; Russian Academy of Sciences; Shirshov Institute of Oceanology; Aix-Marseille Universite</t>
  </si>
  <si>
    <t>Makarenko, NI (corresponding author), Lavrentyev Inst Hydrodynam, Lavrentyev Pr 15, Novosibirsk 630090, Russia.;Makarenko, NI (corresponding author), Novosibirsk State Univ, Pirogova St 2, Novosibirsk 630090, Russia.</t>
  </si>
  <si>
    <t>makarenko@hydro.nsc.ru</t>
  </si>
  <si>
    <t>Tarakanov, Roman/R-3325-2016; Morozov, Eugene G/L-3023-2018</t>
  </si>
  <si>
    <t>Tarakanov, Roman/0000-0002-8711-1859; Morozov, Eugene/0000-0002-0251-3454</t>
  </si>
  <si>
    <t>Russian Foundation for Basic Research [17-08-00085, 18-01-00648]; Interdisciplinary Program II.1 of SB RAS; Russian Science Foundation [16-17-10149]</t>
  </si>
  <si>
    <t>Russian Foundation for Basic Research(Russian Foundation for Basic Research (RFBR)Spanish Government); Interdisciplinary Program II.1 of SB RAS; Russian Science Foundation(Russian Science Foundation (RSF))</t>
  </si>
  <si>
    <t>This work was supported by the grants of the Russian Foundation for Basic Research (project nos. 17-08-00085, 18-01-00648) and Interdisciplinary Program II.1 of SB RAS (project No 2). Roman Tarakanov was supported by the Russian Science Foundation (grant No 16-17-10149).</t>
  </si>
  <si>
    <t>10.1088/1755-1315/193/1/012041</t>
  </si>
  <si>
    <t>WOS:000546169800041</t>
  </si>
  <si>
    <t>Tulloch, VJD; Plagányi, ÉE; Matear, R; Brown, CJ; Richardson, AJ</t>
  </si>
  <si>
    <t>Tulloch, Vivitskaia J. D.; Plaganyi, Eva E.; Matear, Richard; Brown, Christopher J.; Richardson, Anthony J.</t>
  </si>
  <si>
    <t>Ecosystem modelling to quantify the impact of historical whaling on Southern Hemisphere baleen whales</t>
  </si>
  <si>
    <t>FISH AND FISHERIES</t>
  </si>
  <si>
    <t>Antarctic; baleen whale; commercial whaling; ecosystem model; krill; multispecies model</t>
  </si>
  <si>
    <t>ANTARCTIC KRILL; PRIMARY PRODUCTIVITY; PREDATOR DYNAMICS; EUPHAUSIA-SUPERBA; CLIMATE-CHANGE; SCOTIA SEA; AGE; MANAGEMENT; FISHERY; VARIABILITY</t>
  </si>
  <si>
    <t>Many baleen whales were commercially harvested during the 20th century almost to extinction. Reliable assessments of how this mass depletion impacted whale populations, and projections of their recovery, are crucial but there are uncertainties regarding the status of Southern Hemisphere whale populations. We developed a Southern Hemisphere spatial Model of Intermediate Complexity for Ecosystem Assessments (MICE) for phytoplankton, krill (Euphausia superba) and five baleen whale species, to estimate whale population trajectories from 1890 to present. To forward project to 2100, we couple the predator-prey model to a global climate model. We used the most up to date catch records, fitted to survey data and accounted for key uncertainties. We predict Antarctic blue (Balaenoptera musculus intermedia), fin (Balaenoptera physalus) and southern right (Eubalaena australis) whales will be at less than half their pre-exploitation numbers (K) even given 100years of future protection from whaling, because of slow growth rates. Some species have benefited greatly from cessation of harvesting, particularly humpbacks (Megaptera novaeangliae), currently at 32% of K, with full recovery predicted by 2050. We highlight spatial differences in the recovery of whale species between oceanic areas, with current estimates of Atlantic/Indian area blue (1,890, &lt;1% of K) and fin (16,950, &lt;4% of K) whales suggesting slower recovery from harvesting, whilst Pacific southern right numbers are &lt;7% of K (2,680). Antarctic minke (Balaenoptera bonaerensis) population trajectories track future expected increases in primary productivity. Population estimates and plausible future predicted trajectories for Southern Hemisphere baleen whales are key requirements for management and conservation.</t>
  </si>
  <si>
    <t>[Tulloch, Vivitskaia J. D.] Univ Queensland, ARC Ctr Excellence Environm Decis, Brisbane, Qld, Australia; [Tulloch, Vivitskaia J. D.; Plaganyi, Eva E.; Richardson, Anthony J.] CSIRO Oceans &amp; Atmosphere, QBP, Brisbane, Qld, Australia; [Matear, Richard] CSIRO Oceans &amp; Atmosphere, Hobart, Tas, Australia; [Brown, Christopher J.] Griffith Univ, Australian Rivers Inst, Nathan, Qld, Australia; [Richardson, Anthony J.] Univ Queensland, Ctr Applicat Nat Resource Math, Sch Math &amp; Phys, St Lucia, Qld, Australia</t>
  </si>
  <si>
    <t>University of Queensland; ARC Centre of Excellence for Environmental Decisions; Commonwealth Scientific &amp; Industrial Research Organisation (CSIRO); Commonwealth Scientific &amp; Industrial Research Organisation (CSIRO); Griffith University; University of Queensland</t>
  </si>
  <si>
    <t>Tulloch, VJD (corresponding author), Univ Queensland, ARC Ctr Excellence Environm Decis, Brisbane, Qld, Australia.</t>
  </si>
  <si>
    <t>v.tulloch@uq.edu.au</t>
  </si>
  <si>
    <t>Tulloch, Vivitskaia/GNH-4554-2022; Tulloch, Vivitskaia/G-1336-2013; Plaganyi, Eva E/C-5130-2011; Richardson, Anthony J/B-3649-2010; Brown, Christopher J/G-4287-2011; matear, richard/C-5133-2011</t>
  </si>
  <si>
    <t>Tulloch, Vivitskaia/0000-0002-7673-3716; Plaganyi, Eva E/0000-0002-4740-4200; Richardson, Anthony J/0000-0002-9289-7366; Brown, Christopher J/0000-0002-7271-4091; matear, richard/0000-0002-3225-0800</t>
  </si>
  <si>
    <t>UQ/CSIRO NRM</t>
  </si>
  <si>
    <t>1467-2960</t>
  </si>
  <si>
    <t>1467-2979</t>
  </si>
  <si>
    <t>FISH FISH</t>
  </si>
  <si>
    <t>Fish. Fish.</t>
  </si>
  <si>
    <t>10.1111/faf.12241</t>
  </si>
  <si>
    <t>FR2WE</t>
  </si>
  <si>
    <t>WOS:000418927100008</t>
  </si>
  <si>
    <t>Zhu, GP; Yang, Y; Song, Q; Zhang, HT</t>
  </si>
  <si>
    <t>Zhu, Guoping; Yang, Yang; Song, Qi; Zhang, Haiting</t>
  </si>
  <si>
    <t>Precision of growth band determination from eyestalk sections of Antarctic krill (Euphausia superba) preserved in formalin</t>
  </si>
  <si>
    <t>FISHERIES RESEARCH</t>
  </si>
  <si>
    <t>Antarctic hill; Growth band; Eyestalk; Age determination</t>
  </si>
  <si>
    <t>AGE-DETERMINATION; GASTRIC MILL; POPULATION; VALIDATION; SHRINKAGE; PIGMENTS</t>
  </si>
  <si>
    <t>Age information for commercial fish species is crucial to fishery management. Age information for Antarctic krill (Euphausia superba) will be important for stock assessment modeling and future feedback management of krill fisheries. Samples stored in 70% ethanol provide an opportunity to detect the growth bands of eyestalk sections. Moreover, information derived from samples preserved in formalin will have a greater impact on the feedback management process because this preservation method was more common in previous decades. Out of 162 Antarctic krill individuals preserved in 5% formalin, the growth bands from eyestalk sections of 134 samples were readable. The relationship between the total length and the growth bands in the eyestalk was analyzed. Three main parameters, including exact percent agreement (EPA), coefficient of variation (CV), and average percentage error (APE), were used to evaluate the precision of the growth bands. Results show decreased CV and APE values and an increase in the EPA value with the accumulation of reading runs. This method is direct and uses a grinding and polishing technique before reading, contrary to Krafft et al. (2016) and Kilada et al. (2017). Combined with published studies, specimens collected from autumn to winter in this study can provide a better understanding of Antarctic krill growth. This study presents important information for age determination, particularly for specimens preserved in formalin, and will benefit the stock assessment and acoustic estimation of this species in the future. Further studies are required to validate the correlation between growth bands and age. Additionally, more samples from different seasons and regions are also needed to fully understand the growth dynamics of this species.</t>
  </si>
  <si>
    <t>[Zhu, Guoping; Yang, Yang; Song, Qi; Zhang, Haiting] Shanghai Ocean Univ, Coll Marine Sci, Shanghai 201306, Peoples R China; [Zhu, Guoping] Natl Engn Res Ctr Ocean Fisheries, Shanghai 201306, Peoples R China; [Zhu, Guoping; Yang, Yang; Song, Qi; Zhang, Haiting] Shanghai Ocean Univ, Polar Marine Ecosyst Grp, Key Lab Sustainable Exploitat Ocean Fisheries Res, Minist Educ, Shanghai 201306, Peoples R China</t>
  </si>
  <si>
    <t>Shanghai Ocean University; National Engineering Research Center for Oceanic Fisheries; Shanghai Ocean University</t>
  </si>
  <si>
    <t>Zhu, GP (corresponding author), Shanghai Ocean Univ, Coll Marine Sci, Shanghai 201306, Peoples R China.</t>
  </si>
  <si>
    <t>gpzhu@shou.edu.cn</t>
  </si>
  <si>
    <t>ZHU, Guo-ping/D-1002-2010</t>
  </si>
  <si>
    <t>Zhang, Haiting/0000-0002-4938-0900; Zhu, Guoping/0000-0001-6081-7811; Yang, Yang/0000-0002-0928-0219</t>
  </si>
  <si>
    <t>Key Laboratory of Sustainable Exploitation of Oceanic Fisheries Resources, Shanghai Ocean University; National Natural Science Foundation of China [41776185, 41606210]; National Key Technology R &amp; D Program of China [2013BAD13B03]; Special Fund for Agro-scientific Research in the Public Interest of China [201203018]</t>
  </si>
  <si>
    <t>Key Laboratory of Sustainable Exploitation of Oceanic Fisheries Resources, Shanghai Ocean University; National Natural Science Foundation of China(National Natural Science Foundation of China (NSFC)); National Key Technology R &amp; D Program of China(National Key Technology R&amp;D Program); Special Fund for Agro-scientific Research in the Public Interest of China</t>
  </si>
  <si>
    <t>The authors would like to thank Dr. Bjorn A. Krafft (Institute of Marine Research, Norway) for his very helpful comments on processing the eyestalk sections and detecting the growth band of Antarctic krill, Ms Beibei Wei for her help in processing the photos of eyestalk sections. We are especially grateful for the captain and scientific observers on-board trawler Kaili for their help in collecting and preserving the samples used in this study that made our research possible. We also thank the Key Laboratory of Sustainable Exploitation of Oceanic Fisheries Resources, Shanghai Ocean University for their support and the utilization of their laboratory facilitates. The present study was partly sponsored by the National Natural Science Foundation of China (grant no 41776185, 41606210), the National Key Technology R &amp; D Program of China (grant no 2013BAD13B03) and the Special Fund for Agro-scientific Research in the Public Interest of China (grant no 201203018). We acknowledge Dr. Dean Steer of University of Tasmania for his help in polishing the language. Finally, we would also like to thank three anonymous reviewers for their contributions to improve this manuscript.</t>
  </si>
  <si>
    <t>0165-7836</t>
  </si>
  <si>
    <t>1872-6763</t>
  </si>
  <si>
    <t>FISH RES</t>
  </si>
  <si>
    <t>Fish Res.</t>
  </si>
  <si>
    <t>10.1016/j.fishres.2017.09.020</t>
  </si>
  <si>
    <t>FL0CU</t>
  </si>
  <si>
    <t>WOS:000413879700001</t>
  </si>
  <si>
    <t>Crego, RD; Rozzi, R; Jiménez, JE</t>
  </si>
  <si>
    <t>Rozzi, R; May, RH; Chapin, FS; Massardo, F; Gavin, MC; Klaver, IJ; Pauchard, A; Nunez, MA; Simberloff, D</t>
  </si>
  <si>
    <t>Crego, Ramiro D.; Rozzi, Ricardo; Jimenez, Jaime E.</t>
  </si>
  <si>
    <t>Fur Trade and the Biotic Homogenization of Subpolar Ecosystems</t>
  </si>
  <si>
    <t>FROM BIOCULTURAL HOMOGENIZATION TO BIOCULTURAL CONSERVATION</t>
  </si>
  <si>
    <t>Ecology and Ethics</t>
  </si>
  <si>
    <t>Cape Horn Biosphere Reserve; Biocultural homogenization; Invasive meltdown; Invasive species</t>
  </si>
  <si>
    <t>BEAVER CASTOR-CANADENSIS; HORN BIOSPHERE RESERVE; TIERRA-DEL-FUEGO; MINK NEOVISON-VISON; AMERICAN MINK; CAPE-HORN; EARTH STEWARDSHIP; POTENTIAL IMPACT; NAVARINO ISLAND; MUSTELA-VISON</t>
  </si>
  <si>
    <t>At the southern end of the Americas exist one of the last pristine ecosystems in the world, the sub-Antarctic Magellanic forests ecoregion, protected by the Cape Horn Biosphere Reserve (CHBR). Despite its remote location, the CHBR has been subject to the growing influences of globalization, a process that has driven cultural, biotic, and economic transformations in the region since the mid-twentieth century. One of the most important threats to these unique ecosystems is the increase of biological invasions. Motivated by the expanding fur industry that responded to the globalization process, American beavers (Castor canadensis), muskrats (Ondatra zibethicus), and American minks (Neovison vison) were introduced, independently, to the southern tip of South America. Research has shown that these three North American species have reassembled their native interactions to affect negatively the invaded ecosystems of the CHBR. Beavers affect river flow and native vegetation, changing forests into wetlands, creating suitable habitats for muskrats. Muskrats, in turn, are the main prey of inland mink populations. The latter has major impacts by preying opportunistically on the native biota, especially native birds and small rodents. In this chapter, we explore this multi-species invasive system as an example of biotic homogenization, in which the introduction of these species and their subsequent reassembling of their interactions, together with the ecosystem impacts, offer a novel example of complex processes of biotic homogenization involving both biological and sociocultural dimensions.</t>
  </si>
  <si>
    <t>[Crego, Ramiro D.; Rozzi, Ricardo; Jimenez, Jaime E.] Univ North Texas, Dept Biol Sci, Denton, TX 76203 USA; [Crego, Ramiro D.; Jimenez, Jaime E.] Inst Ecol &amp; Biodiversidad, Santiago, Chile; [Crego, Ramiro D.; Rozzi, Ricardo; Jimenez, Jaime E.] Univ North Texas, SubAntarctic Biocultural Conservat Program, Denton, TX 76203 USA; [Rozzi, Ricardo; Jimenez, Jaime E.] Univ North Texas, Dept Philosophy &amp; Relig, Denton, TX 76203 USA; [Rozzi, Ricardo] Inst Ecol &amp; Biodiversidad, Punta Arenas, Chile; [Rozzi, Ricardo; Jimenez, Jaime E.] Univ Magallanes, Punta Arenas, Chile</t>
  </si>
  <si>
    <t>University of North Texas System; University of North Texas Denton; University of North Texas System; University of North Texas Denton; University of North Texas System; University of North Texas Denton; Universidad de Magallanes</t>
  </si>
  <si>
    <t>Crego, RD (corresponding author), Univ North Texas, Dept Biol Sci, Denton, TX 76203 USA.;Crego, RD (corresponding author), Inst Ecol &amp; Biodiversidad, Santiago, Chile.;Crego, RD (corresponding author), Univ North Texas, SubAntarctic Biocultural Conservat Program, Denton, TX 76203 USA.</t>
  </si>
  <si>
    <t>Rozzi, Ricardo/G-1047-2012; Crego, Ramiro Daniel/I-3964-2019</t>
  </si>
  <si>
    <t>Rozzi, Ricardo/0000-0001-5265-8726; Crego, Ramiro Daniel/0000-0001-8583-5936</t>
  </si>
  <si>
    <t>978-3-319-99513-7; 978-3-319-99512-0</t>
  </si>
  <si>
    <t>ECOL ETHIC</t>
  </si>
  <si>
    <t>10.1007/978-3-319-99513-7_14</t>
  </si>
  <si>
    <t>10.1007/978-3-319-99513-7</t>
  </si>
  <si>
    <t>Biodiversity Conservation; Ecology; Ethics; Environmental Studies</t>
  </si>
  <si>
    <t>Biodiversity &amp; Conservation; Environmental Sciences &amp; Ecology; Social Sciences - Other Topics</t>
  </si>
  <si>
    <t>BQ5RJ</t>
  </si>
  <si>
    <t>WOS:000606983500015</t>
  </si>
  <si>
    <t>Noro, K; Hattori, S; Uemura, R; Fukui, K; Hirabayashi, M; Kawamura, K; Motoyama, H; Takenaka, N; Yoshida, N</t>
  </si>
  <si>
    <t>Noro, Kazushi; Hattori, Shohei; Uemura, Ryu; Fukui, Kotaro; Hirabayashi, Motohiro; Kawamura, Kenji; Motoyama, Hideaki; Takenaka, Norimichi; Yoshida, Naohiro</t>
  </si>
  <si>
    <t>Spatial variation of isotopic compositions of snowpack nitrate related to post-depositional processes in eastern Dronning Maud Land, East Antarctica</t>
  </si>
  <si>
    <t>GEOCHEMICAL JOURNAL</t>
  </si>
  <si>
    <t>nitrate; photolysis; delta N-15; Antarctica; snowpack</t>
  </si>
  <si>
    <t>ICE CORES; ATMOSPHERIC NITRATE; FORMATION PATHWAYS; TRIPLE OXYGEN; SURFACE SNOW; NITROGEN; CONSTRAINTS; EXCHANGE; PLATEAU; SULFATE</t>
  </si>
  <si>
    <t>To evaluate post-depositional loss from the snow surface and subsequent redistribution of nitrate, we determined the spatial variation of nitrate concentrations, as well as delta N-15 and Delta O-17 values of nitrate in surface snow, sampled along a latitudinal transect in eastern Dronning Maud Land, East Antarctica. The NO3- concentrations of surface snow ranged from 40.0 to 130.8 mu g L-1, showing no obvious trends with latitude, while the delta N-15(NO3-) in surface snow increased from coastal sites to inland sites, ranging from -19.4 to 165.5 parts per thousand. The relationship between the isotopic values (delta N-15 and Delta O-17) of nitrate and snow accumulation rate are consistent with other traverses studied in East Antarctica (e.g., from Dumont d'Urville station to Vostok, and from East Antarctic coast to Dome Argus), implying that post-depositional loss and redistribution occur similarly throughout East Antarctica.</t>
  </si>
  <si>
    <t>[Noro, Kazushi; Takenaka, Norimichi] Osaka Prefecture Univ, Grad Sch Engn, Osaka 5998531, Japan; [Hattori, Shohei; Yoshida, Naohiro] Tokyo Inst Technol, Sch Mat &amp; Chem Technol, Dept Chem Sci &amp; Engn, Yokohama, Kanagawa 2268502, Japan; [Uemura, Ryu] Univ Ryukyus, Dept Chem Biol &amp; Marine Sci, Fac Sci, Nishihara, Okinawa 9030213, Japan; [Fukui, Kotaro] Tateyama Caldera Sabo Museum, Toyama 9301405, Japan; [Hirabayashi, Motohiro; Kawamura, Kenji; Motoyama, Hideaki] Natl Inst Polar Res, Tokyo 1908518, Japan; [Yoshida, Naohiro] Tokyo Inst Technol, ELSI, Tokyo 1528550, Japan</t>
  </si>
  <si>
    <t>Osaka Metropolitan University; Tokyo Institute of Technology; University of the Ryukyus; Research Organization of Information &amp; Systems (ROIS); National Institute of Polar Research (NIPR) - Japan; Tokyo Institute of Technology</t>
  </si>
  <si>
    <t>Hattori, S (corresponding author), Tokyo Inst Technol, Sch Mat &amp; Chem Technol, Dept Chem Sci &amp; Engn, Yokohama, Kanagawa 2268502, Japan.</t>
  </si>
  <si>
    <t>hattori.s.ab@m.titech.ac.jp</t>
  </si>
  <si>
    <t>Yoshida, Naohiro/A-8335-2010; Takenaka, Norimichi T/A-1791-2013; Hattori, Shohei/KGK-4865-2024; Noro, Kazushi/ABF-7312-2020; Uemura, Ryu/C-9793-2012; Uemura, Ryu/AGR-0677-2022; FUKUI, Kotaro/H-5600-2018; Kawamura, Kenji/C-7660-2011</t>
  </si>
  <si>
    <t>Yoshida, Naohiro/0000-0003-0454-3849; Hattori, Shohei/0000-0002-4438-5462; Noro, Kazushi/0000-0001-9937-232X; Uemura, Ryu/0000-0002-4236-0085; Uemura, Ryu/0000-0002-4236-0085; Kawamura, Kenji/0000-0003-1163-700X</t>
  </si>
  <si>
    <t>Japan Society for the Promotion of Science (JSPS) from the Ministry of Education, Culture, Sports, Science and Technology (MEXT) [16H05884, 16H04947, 26550013, 17H06105]; System-inspired Leaders in Material Science (SiMS) Program; Program for Leading Graduate Schools of Osaka Prefecture University; Grants-in-Aid for Scientific Research [16H04947, 16H05884, 17H06105, 26550013] Funding Source: KAKEN</t>
  </si>
  <si>
    <t>Japan Society for the Promotion of Science (JSPS) from the Ministry of Education, Culture, Sports, Science and Technology (MEXT); System-inspired Leaders in Material Science (SiMS) Program; Program for Leading Graduate Schools of Osaka Prefecture University; Grants-in-Aid for Scientific Research(Ministry of Education, Culture, Sports, Science and Technology, Japan (MEXT)Japan Society for the Promotion of ScienceGrants-in-Aid for Scientific Research (KAKENHI))</t>
  </si>
  <si>
    <t>We thank the members of JARE54 and JARE57 traverse teams for assistance with fieldwork. We also thank Kazuki Kamezaki, Asuka Tsuruta, Sakiko Ishino, and Yoshio Nunez Palma (Tokyo Institute of Technology) for assistance with laboratory experiments and data presentations. Thoughtful and constructive reviews by Becky Alexander and an anonymous reviewer led to significant improvements to the paper. This work is supported by the Japan Society for the Promotion of Science (JSPS): Grants-in-Aid for Scientific Research 16H05884 (S.H.), 16H04947 (S.H.), 26550013 (R.U.), and 17H06105 (N.Y.) from the Ministry of Education, Culture, Sports, Science and Technology (MEXT). The JARE57 traverse was partially supported by the System-inspired Leaders in Material Science (SiMS) Program, and the Program for Leading Graduate Schools of Osaka Prefecture University. We thank Dr. Trudi Semeniuk from Edanz Group (www.edanzediting.com/ac) for editing a draft of this manuscript.</t>
  </si>
  <si>
    <t>GEOCHEMICAL SOC JAPAN</t>
  </si>
  <si>
    <t>358-5 YAMABUKI-CHO, SHINJUKU-KU, TOKYO, 162-0801, JAPAN</t>
  </si>
  <si>
    <t>0016-7002</t>
  </si>
  <si>
    <t>1880-5973</t>
  </si>
  <si>
    <t>GEOCHEM J</t>
  </si>
  <si>
    <t>Geochem. J.</t>
  </si>
  <si>
    <t>E7</t>
  </si>
  <si>
    <t>E14</t>
  </si>
  <si>
    <t>10.2343/geochemj.2.0519</t>
  </si>
  <si>
    <t>GE9MX</t>
  </si>
  <si>
    <t>WOS:000431554900002</t>
  </si>
  <si>
    <t>Tretyak, KR; Al-Alusi, FKF; Babiy, LV</t>
  </si>
  <si>
    <t>Tretyak, K. R.; Al-Alusi, F. K. F.; Babiy, L. V.</t>
  </si>
  <si>
    <t>INVESTIGATION OF THE INTERRELATIONSHIP BETWEEN CHANGES AND REDISTRIBUTION OF ANGULAR MOMENTUM OF THE EARTH, THE ANTARCTIC TECTONIC PLATE, THE ATMOSPHERE, AND THE OCEAN</t>
  </si>
  <si>
    <t>GEODYNAMICS</t>
  </si>
  <si>
    <t>antarctic plate; angular momentum; tensor of inertia; angular velocity; Euler pole; GNSS-stations</t>
  </si>
  <si>
    <t>GENERAL-CIRCULATION; MODEL; EXCITATION; SIGNALS; MOTION; VARIABILITY; PARAMETERS; VELOCITIES; BALANCE</t>
  </si>
  <si>
    <t>Purpose. The purpose of this work is elaboration of the results of long-term GNSS-observations at permanent stations located on the Antarctic tectonic plate; the determination of the change in its rotational parameters and angular momentum, the calculation of the angular momentum of the Earth, the oceanic and atmospheric masses, and the establishment of the interrelationship between these parameters. Methods. The work represents an improved algorithm for determining the parameters of the Euler pole and the angular velocity of the tectonic plate, taking into account the continuity and unevenness of time series of daily solutions of the spatial location of permanent GNSS-stations. Results. According to the results of daily solutions of 28 permanent GNSS-stations in Antarctica for the period (1996-2014), the average position of Euler pole, the angular velocity of the plate, and their annual changes are determined. The annual parameters of the tensor of inertia and angular momentum of the Antarctic tectonic plate are determined. Using the data of the Earth's rotation service and geophysical observations, the annual changes in the angular momentum of the Earth, the tensors of moment of inertia and angular momentum of oceanic and atmospheric masses for the period (19962014) have been calculated. Scientific novelty. It is established that during the whole observation period the increasing of angular momentum of the Antarctic tectonic plate corresponds to the decreasing of the angular momentum of the Earth and the atmosphere. This indicates about the conservation of angular momentum. The increasing of the angular momentum of Antarctic tectonic plate corresponds to the increasing of the angular momentum of the ocean. Explanation of this interrelationship requires additional researches.</t>
  </si>
  <si>
    <t>[Tretyak, K. R.] Lviv Polytech Natl Univ, Dept High Geodesy &amp; Astron, Stepana Bandery Str 12, UA-79013 Lvov, Ukraine; [Al-Alusi, F. K. F.] Lviv Polytech Natl Univ, Educ &amp; Sci Lab Proc Satellite Measurements, Stepana Bandery Str 12, UA-79013 Lvov, Ukraine; [Babiy, L. V.] Lviv Polytech Natl Univ, Dept Photogrammetry &amp; Geoinformat, Stepana Bandery Str 12, UA-79013 Lvov, Ukraine</t>
  </si>
  <si>
    <t>Ministry of Education &amp; Science of Ukraine; Lviv Polytechnic National University; Ministry of Education &amp; Science of Ukraine; Lviv Polytechnic National University; Ministry of Education &amp; Science of Ukraine; Lviv Polytechnic National University</t>
  </si>
  <si>
    <t>Tretyak, KR (corresponding author), Lviv Polytech Natl Univ, Dept High Geodesy &amp; Astron, Stepana Bandery Str 12, UA-79013 Lvov, Ukraine.</t>
  </si>
  <si>
    <t>Babiy, Lyubov/E-2921-2019; Tretyak, Kornyliy R/B-8678-2018; van Hunen, Jeroen/A-2225-2010</t>
  </si>
  <si>
    <t>Babiy, Lyubov/0000-0002-5772-4865; Tretyak, Kornyliy/0000-0001-5231-3517</t>
  </si>
  <si>
    <t>LVIV POLYTECHNIC NATL UNIV</t>
  </si>
  <si>
    <t>LVIV</t>
  </si>
  <si>
    <t>ST S BANDERA, 12, LVIV, 13, UKRAINE</t>
  </si>
  <si>
    <t>1992-142X</t>
  </si>
  <si>
    <t>2519-2663</t>
  </si>
  <si>
    <t>Geodynamics</t>
  </si>
  <si>
    <t>10.23939/jgd2018.01.005</t>
  </si>
  <si>
    <t>GQ0UN</t>
  </si>
  <si>
    <t>WOS:000441335200001</t>
  </si>
  <si>
    <t>Hart, JK; Clayton, AI; Martinez, K; Robson, BA</t>
  </si>
  <si>
    <t>Hart, Jane K.; Clayton, Alexander I.; Martinez, Kirk; Robson, Benjamin A.</t>
  </si>
  <si>
    <t>Erosional and depositional subglacial streamlining processes at Skalafellsjokull, Iceland: an analogue for a new bedform continuum model</t>
  </si>
  <si>
    <t>Glaciers; wireless sensors; dGPS; remote sensing; UAV photography; structure from motion (SfM); subglacial bedforms; flutes; subglacial processes; till; drumlins</t>
  </si>
  <si>
    <t>ANTARCTIC ICE STREAM; SURGE-TYPE GLACIER; ACTIVE DRUMLIN FIELD; GLACIOTECTONIC DEFORMATION; INTERNAL STRUCTURE; WEST ANTARCTICA; SENSOR NETWORK; LATE HOLOCENE; TILL; BENEATH</t>
  </si>
  <si>
    <t>We combine the use of the unique Glacsweb in situ embedded sensors, surface velocity measurements (from dGPS and remote sensing), and UAV and field photographic surveys, to understand the subglacial processes responsible for the formation of a series of subglacial bedforms composed of both till and bedrock. There is till deformation throughout the year, with spatial and temporal variations. We estimate the ice velocity associated with the formation of a range of subglacial bedforms (9.2-31m a(-1)) and the erosion rate on the bedrock flutes (2.13mm a(-1)). We show that there is simultaneous deposition and erosion (either at the base of till or directly by ice) which generates flutes, large flutes and drumlins (rather than just depositional processes required by the instability theory). The flutes form behind obstacles associated with mobile till. Where a stationary obstacle is below a threshold height (which at this site is 1.56m), either till tails will form behind the obstacle or a large flute will develop. Where a stationary obstacle is above a threshold height, then drumlins may form. Using these results as an analogue for larger bedforms, we discuss the bedform continuum in relation to elongation ratio, height, glacier velocity and bed mobility. These bedforms form associated with an overall net erosional regime, and once bedforms are produced, they may become fixed due to the presence of stationary obstacles, and so the resultant bedforms result from the most recent, as well as legacy, processes as they evolve over time.</t>
  </si>
  <si>
    <t>[Hart, Jane K.; Clayton, Alexander I.] Univ Southampton, Geog &amp; Environm, Southampton, Hants, England; [Martinez, Kirk] Univ Southampton, Elect &amp; Comp Sci, Southampton, Hants, England; [Robson, Benjamin A.] Univ Bergen, Dept Geog, Bergen, Norway; [Clayton, Alexander I.] Winchester Coll, Coll St, Winchester SO23 9NA, Hants, England</t>
  </si>
  <si>
    <t>University of Southampton; University of Southampton; University of Bergen</t>
  </si>
  <si>
    <t>Hart, JK (corresponding author), Univ Southampton, Geog &amp; Environm, Southampton, Hants, England.</t>
  </si>
  <si>
    <t>jhart@soton.ac.uk</t>
  </si>
  <si>
    <t>Facility, NERC Geophysical Equipment/G-5260-2010; Hart, Jane/J-4321-2012</t>
  </si>
  <si>
    <t>Hart, Jane/0000-0002-2348-3944; Martinez, Kirk/0000-0003-3859-5700; Robson, Benjamin Aubrey/0000-0002-4987-7378</t>
  </si>
  <si>
    <t>EPSRC [EP/C511050/1]; Leverhulme [F/00 180/AK]; National Geographic [GEFNE45-12]; NERC</t>
  </si>
  <si>
    <t>EPSRC(UK Research &amp; Innovation (UKRI)Engineering &amp; Physical Sciences Research Council (EPSRC)); Leverhulme(Leverhulme Trust); National Geographic(National Geographic Society); NERC(UK Research &amp; Innovation (UKRI)Natural Environment Research Council (NERC))</t>
  </si>
  <si>
    <t>This research was funded by EPSRC [grant number EP/C511050/1], Leverhulme [grant number F/00 180/AK], National Geographic [grant number GEFNE45-12] and NERC [studentship AIC]. The GPR and Leica 1200 GPS units were loaned from the NERC Geophysical Equipment Facility.</t>
  </si>
  <si>
    <t>10.1080/11035897.2018.1477830</t>
  </si>
  <si>
    <t>WOS:000436327300005</t>
  </si>
  <si>
    <t>Bliakharskii, D; Florinsky, I</t>
  </si>
  <si>
    <t>Grueau, C; Laurini, R; Ragia, L</t>
  </si>
  <si>
    <t>Bliakharskii, Dmitrii; Florinsky, Igor</t>
  </si>
  <si>
    <t>Unmanned Aerial Survey for Modelling Glacier Topography in Antarctica: First Results</t>
  </si>
  <si>
    <t>GISTAM: PROCEEDINGS OF THE 4TH INTERNATIONAL CONFERENCE ON GEOGRAPHICAL INFORMATION SYSTEMS THEORY, APPLICATIONS AND MANAGEMENT</t>
  </si>
  <si>
    <t>4th International Conference on Geographical Information Systems Theory, Applications and Management (GISTAM)</t>
  </si>
  <si>
    <t>MAR 17-19, 2018</t>
  </si>
  <si>
    <t>Funchal, PORTUGAL</t>
  </si>
  <si>
    <t>Unmanned Aerial System; Unmanned Aerial Vehicle; Photogrammetry; Digital Elevation Model; Crevasse</t>
  </si>
  <si>
    <t>FROM-MOTION PHOTOGRAMMETRY; VEHICLE UAV; GEOLOGY</t>
  </si>
  <si>
    <t>For Antarctic research, one of the most important support tasks is a rapid and safe monitoring of sledge routes, snow / ice airfields, and other visited areas for detection of open crevasses, revealing of hidden, snow-covered ones, as well as studying of their dynamics. We present the first results from a study of applying unmanned aerial systems (UASs) and UAS-derived data to model glacier topography in contexts of detecting crevasses and monitoring changes in glacier surfaces. The study was conducted in East Antarctica in the austral summer 2016/2017. The surveyed areas included an eastern part of the Larsemann Hills, an airfield of the Progress Station, an initial section of a sledge route from the Progress to Vostok Stations, and a north-western portion of the Dalk Glacier before and after its collaps. The surveying was performed by Geoscan 201, a flying-wing UAS. For the photogrammetric processing of imagery, we applied software Agisoft PhotoScan Professional. High-resolution digital elevation models (DEMs) for surveyed areas were produced. For the Dalk Glacier, we derived two DEMs related to the pre- and post-collapsed glacier surface. A further analysis will be performed by methods of geomorphometry. The focus will be on the revealing of crevasses.</t>
  </si>
  <si>
    <t>[Bliakharskii, Dmitrii] St Petersburg Univ, Inst Earth Sci, St Petersburg 199034, Russia; [Bliakharskii, Dmitrii; Florinsky, Igor] Russian Acad Sci, Inst Math Problems Biol, Keldysh Inst Appl Math, Pushchino 142290, Moscow Region, Russia</t>
  </si>
  <si>
    <t>Saint Petersburg State University; Russian Academy of Sciences; Keldysh Institute of Applied Mathematics; Pushchino Scientific Center for Biological Research (PSCBI) of the Russian Academy of Sciences</t>
  </si>
  <si>
    <t>Bliakharskii, D (corresponding author), St Petersburg Univ, Inst Earth Sci, St Petersburg 199034, Russia.;Bliakharskii, D (corresponding author), Russian Acad Sci, Inst Math Problems Biol, Keldysh Inst Appl Math, Pushchino 142290, Moscow Region, Russia.</t>
  </si>
  <si>
    <t>Florinsky, Igor/C-4529-2013; Bliakharskii, Dmitrii P./G-3792-2015</t>
  </si>
  <si>
    <t>Florinsky, Igor/0000-0003-1273-5912;</t>
  </si>
  <si>
    <t>Russian Foundation for Basic Research [17-37-50011]</t>
  </si>
  <si>
    <t>Russian Foundation for Basic Research(Russian Foundation for Basic Research (RFBR)Spanish Government)</t>
  </si>
  <si>
    <t>The aerial surveying was conducted during the 62nd Russian Antarctic Expedition in cooperation with Geoscan Ltd. Data processing is supported by the Russian Foundation for Basic Research, grant 17-37-50011.</t>
  </si>
  <si>
    <t>SCITEPRESS</t>
  </si>
  <si>
    <t>SETUBAL</t>
  </si>
  <si>
    <t>AV D MANUELL, 27A 2 ESQ, SETUBAL, 2910-595, PORTUGAL</t>
  </si>
  <si>
    <t>978-989-758-294-3</t>
  </si>
  <si>
    <t>10.5220/0006812603190326</t>
  </si>
  <si>
    <t>Computer Science, Information Systems; Environmental Sciences; Geography, Physical; Remote Sensing</t>
  </si>
  <si>
    <t>Computer Science; Environmental Sciences &amp; Ecology; Physical Geography; Remote Sensing</t>
  </si>
  <si>
    <t>BP9RB</t>
  </si>
  <si>
    <t>hybrid, Green Submitted</t>
  </si>
  <si>
    <t>WOS:000570662600038</t>
  </si>
  <si>
    <t>Griffith, GP; Strutton, PG; Semmens, JM</t>
  </si>
  <si>
    <t>Griffith, Gary P.; Strutton, Peter G.; Semmens, Jayson M.</t>
  </si>
  <si>
    <t>Climate change alters stability and species potential interactions in a large marine ecosystem</t>
  </si>
  <si>
    <t>biodiversity; climate change; fisheries; marine conservation; marine ecosystems; ocean warming; species interactions</t>
  </si>
  <si>
    <t>INTERACTION STRENGTHS; IMPACTS; NETWORKS; ASYMMETRY; DISPERSAL; DYNAMICS; FISH; SEA</t>
  </si>
  <si>
    <t>We have little empirical evidence of how large-scale overlaps between large numbers of marine species may have altered in response to human impacts. Here, we synthesized all available distribution data (&gt;1 million records) since 1992 for 61 species of the East Australian marine ecosystem, a global hot spot of ocean warming and continuing fisheries exploitation. Using a novel approach, we constructed networks of the annual changes in geographical overlaps between species. Using indices of changes in species overlap, we quantified changes in the ecosystem stability, species robustness, species sensitivity and structural keystone species. We then compared the species overlap indices with environmental and fisheries data to identify potential factors leading to the changes in distributional overlaps between species. We found that the structure of the ecosystem has changed with a decrease in asymmetrical geographical overlaps between species. This suggests that the ecosystem has become less stable and potentially more susceptible to environmental perturbations. Most species have shown a decrease in overlaps with other species. The greatest decrease in species overlap robustness and sensitivity to the loss of other species has occurred in the pelagic community. Some demersal species have become more robust and less sensitive. Pelagic structural keystone species, predominately the tunas and billfish, have been replaced by demersal fish species. The changes in species overlap were strongly correlated with regional oceanographic changes, in particular increasing ocean warming and the southward transport of warmer and saltier water with the East Australian Current, but less correlated with fisheries catch. Our study illustrates how large-scale multispecies distribution changes can help identify structural changes in marine ecosystems associated with climate change.</t>
  </si>
  <si>
    <t>[Griffith, Gary P.; Strutton, Peter G.; Semmens, Jayson M.] Univ Tasmania, Inst Marine &amp; Antarctic Studies, Hobart, Tas, Australia; [Griffith, Gary P.] Norwegian Polar Res Inst, Tromso, Norway; [Strutton, Peter G.] Univ Tasmania, Australian Res Council, Ctr Excellence Climate Syst Sci, Hobart, Tas, Australia</t>
  </si>
  <si>
    <t>University of Tasmania; Norwegian Polar Institute; University of Tasmania</t>
  </si>
  <si>
    <t>Griffith, GP (corresponding author), Univ Tasmania, Inst Marine &amp; Antarctic Studies, Hobart, Tas, Australia.</t>
  </si>
  <si>
    <t>gary.griffith@utas.edu.au</t>
  </si>
  <si>
    <t>; Strutton, Peter/C-4466-2011</t>
  </si>
  <si>
    <t>griffith, gary/0000-0002-7136-4237; Semmens, Jayson/0000-0003-1742-6692; Strutton, Peter/0000-0002-2395-9471</t>
  </si>
  <si>
    <t>Department of Education, Employment and Workplace Relations Grant-ANNIMS Springboard Program</t>
  </si>
  <si>
    <t>We would like to thank Neil Klaer of the Commonwealth Scientific and Industrial Research Organisation (CSIRO) for his help with collating the fisheries catch data. Lara Wilcox of the University of Otago for his assistance with data analysis. The Department of Education, Employment and Workplace Relations Grant-ANNIMS Springboard Program funding supported the work. We thank Caleb Gardner, Colin Simpfendorfer, Michelle Heupel and Anya Waite for their roles in obtaining the funding and getting the project started.</t>
  </si>
  <si>
    <t>E90</t>
  </si>
  <si>
    <t>E100</t>
  </si>
  <si>
    <t>10.1111/gcb.13891</t>
  </si>
  <si>
    <t>WOS:000426506100008</t>
  </si>
  <si>
    <t>Scott, KN</t>
  </si>
  <si>
    <t>Zou, K</t>
  </si>
  <si>
    <t>Scott, Karen N.</t>
  </si>
  <si>
    <t>Protecting the Commons in the Polar South Progress and Prospects for Marine Protected Areas in the Antarctic</t>
  </si>
  <si>
    <t>GLOBAL COMMONS AND THE LAW OF THE SEA</t>
  </si>
  <si>
    <t>Maritime Cooperation in East Asia</t>
  </si>
  <si>
    <t>IMPACTS</t>
  </si>
  <si>
    <t>[Scott, Karen N.] Univ Canterbury, Sch Law, Canterbury, New Zealand; [Scott, Karen N.] Australian New Zealand Soc Int Law ANZSIL, Canberra, ACT, Australia</t>
  </si>
  <si>
    <t>University of Canterbury</t>
  </si>
  <si>
    <t>Scott, KN (corresponding author), Univ Canterbury, Sch Law, Canterbury, New Zealand.;Scott, KN (corresponding author), Australian New Zealand Soc Int Law ANZSIL, Canberra, ACT, Australia.</t>
  </si>
  <si>
    <t>BRILL</t>
  </si>
  <si>
    <t>PO BOX 9000, 2300 PA LEIDEN, NETHERLANDS</t>
  </si>
  <si>
    <t>2405-934X</t>
  </si>
  <si>
    <t>978-90-04-37333-4; 978-90-04-37332-7</t>
  </si>
  <si>
    <t>MAR COOP E ASIA</t>
  </si>
  <si>
    <t>10.1163/9789004373334_017</t>
  </si>
  <si>
    <t>International Relations; Law</t>
  </si>
  <si>
    <t>International Relations; Government &amp; Law</t>
  </si>
  <si>
    <t>BT3ID</t>
  </si>
  <si>
    <t>WOS:000820254500016</t>
  </si>
  <si>
    <t>Murray, S; Hallegraeff, G</t>
  </si>
  <si>
    <t>Shumway, SE; Burkholder, JM; Morton, SL</t>
  </si>
  <si>
    <t>Murray, Shauna; Hallegraeff, Gustaaf</t>
  </si>
  <si>
    <t>Harmful Algae Introductions: Vectors of Transfer, Mitigation, and Management</t>
  </si>
  <si>
    <t>HARMFUL ALGAL BLOOMS: A COMPENDIUM DESK REFERENCE</t>
  </si>
  <si>
    <t>DINOFLAGELLATE GYMNODINIUM-CATENATUM; POPULATION GENETIC-STRUCTURE; BALLAST WATER; DIDYMOSPHENIA-GEMINATA; MOLECULAR EVIDENCE; ALEXANDRIUM-CATENELLA; SHIPS; DIATOM; BLOOM; PHYTOPLANKTON</t>
  </si>
  <si>
    <t>[Murray, Shauna] Univ Technol Sydney, Climate Change Cluster C3, Ultimo, NSW, Australia; [Hallegraeff, Gustaaf] Univ Tasmania, Inst Marine &amp; Antarctic Studies IMAS, Hobart, Tas, Australia</t>
  </si>
  <si>
    <t>University of Technology Sydney; University of Tasmania</t>
  </si>
  <si>
    <t>Murray, S (corresponding author), Univ Technol Sydney, Climate Change Cluster C3, Ultimo, NSW, Australia.</t>
  </si>
  <si>
    <t>Hallegraeff, Gustaaf/C-8351-2013; Murray, Shauna A/K-5781-2015</t>
  </si>
  <si>
    <t>Hallegraeff, Gustaaf/0000-0001-8464-7343; Murray, Shauna A/0000-0001-7096-1307</t>
  </si>
  <si>
    <t>JOHN WILEY &amp; SONS LTD</t>
  </si>
  <si>
    <t>CHICHESTER</t>
  </si>
  <si>
    <t>THE ATRIUM, SOUTHERN GATE, CHICHESTER PO19 8SQ, WEST SUSSEX, ENGLAND</t>
  </si>
  <si>
    <t>978-1-11-899469-6; 978-1-11-899465-8</t>
  </si>
  <si>
    <t>Environmental Sciences; Public, Environmental &amp; Occupational Health; Toxicology</t>
  </si>
  <si>
    <t>Environmental Sciences &amp; Ecology; Public, Environmental &amp; Occupational Health; Toxicology</t>
  </si>
  <si>
    <t>BP2OH</t>
  </si>
  <si>
    <t>WOS:000544019400014</t>
  </si>
  <si>
    <t>Angulo-Preckler, C; San Miguel, O; García-Aljaro, C; Avila, C</t>
  </si>
  <si>
    <t>Angulo-Preckler, Carlos; San Miguel, Olatz; Garcia-Aljaro, Cristina; Avila, Conxita</t>
  </si>
  <si>
    <t>Antibacterial defenses and palatability of shallow-water Antarctic sponges</t>
  </si>
  <si>
    <t>HYDROBIOLOGIA</t>
  </si>
  <si>
    <t>Chemical ecology; Feeding deterrence; Sympatric and pathogenic bacteria; Porifera</t>
  </si>
  <si>
    <t>ANTIMICROBIAL ACTIVITY; CHEMICAL DEFENSES; NATURAL-PRODUCTS; MARINE SPONGES; SECONDARY METABOLITES; KIRKPATRICKIA-VARIALOSA; CARIBBEAN SPONGES; ECOLOGY; INVERTEBRATES; DIVERSITY</t>
  </si>
  <si>
    <t>Marine sponges are exposed to predation as well as to a wide array of potentially harmful microorganisms, and therefore they often possess chemical activity against putative predators and/or pathogens. Some crude extracts from sponges are effective in avoiding microbial colonization or potential infections, and in protecting them against predation. Here, the antibacterial activity of 18 sponge species of Antarctic shallow-waters was tested against four Antarctic and four human pathogenic bacteria. Moreover, all sponge extracts were tested for feeding repellence against the seastar Odontaster validus, one of the main predators living in those habitats. All the sponges showed antibacterial activity against at least one bacterial isolate, although not all of them were active against pathogenic bacteria. The antibacterial effect against sympatric bacteria was stronger than to pathogenic bacteria. In contrast, feeding deterrence was low, with similar activities in both hydrophilic and lipophilic extracts. Only four sponges (Myxilla lyssostyla, Phorbas areolatus, Polymastia invaginata and Iophon sp.), presented repellent chemical defenses. Therefore, we conclude that chemical defenses are widespread in Antarctic shallow-water sponges, and in fact, these sponges are better protected against bacteria than against the seastar predator. We conclude that Antarctic sponges represent a valuable source of biological active compounds with pharmacological and potential ecological relevance.</t>
  </si>
  <si>
    <t>[Angulo-Preckler, Carlos; San Miguel, Olatz; Avila, Conxita] Univ Barcelona, Dept Evolutionary Biol Ecol &amp; Environm Sci, Fac Biol, Catalonia, Spain; [Angulo-Preckler, Carlos; Avila, Conxita] Univ Barcelona, Biodivers Res Inst IrBIO, Catalonia, Spain; [Garcia-Aljaro, Cristina] Univ Barcelona, Dept Genet Microbiol &amp; Stat, Fac Biol, Catalonia, Spain</t>
  </si>
  <si>
    <t>University of Barcelona; University of Barcelona; University of Barcelona</t>
  </si>
  <si>
    <t>Angulo-Preckler, C (corresponding author), Univ Barcelona, Dept Evolutionary Biol Ecol &amp; Environm Sci, Fac Biol, Catalonia, Spain.</t>
  </si>
  <si>
    <t>carlospreckler@hotmail.com</t>
  </si>
  <si>
    <t>Avila, Conxita/B-9466-2008; Angulo_Preckler, Carlos/A-6456-2011; Garcia-Aljaro, Cristina/F-3893-2016</t>
  </si>
  <si>
    <t>Avila, Conxita/0000-0002-5489-8376; Angulo_Preckler, Carlos/0000-0001-9028-274X; Garcia-Aljaro, Cristina/0000-0003-4863-3547</t>
  </si>
  <si>
    <t>Spanish Government [CTM2010-17415, CTM2013-42667/ANT]</t>
  </si>
  <si>
    <t>Spanish Government(Spanish Government)</t>
  </si>
  <si>
    <t>Thanks are due to J. Cristobo, J. Moles, M. Bas, and L. Nunez-Pons for their help with the fieldwork, and to J. Cristobo, A. Riesgo, and P. Rios for their help with sponge's taxonomy. Thanks are also due to the crew of BAE Gabriel de Castilla for their logistic support during the Antarctic cruise. This work was developed within the ACTIQUIM-II (CTM2010-17415) and DISTANTCOM (CTM2013-42667/ANT) research projects funded by the Spanish Government. This is a contribution to the AntEco (State of the Antarctic Ecosystem) SCAR Programme.</t>
  </si>
  <si>
    <t>0018-8158</t>
  </si>
  <si>
    <t>1573-5117</t>
  </si>
  <si>
    <t>Hydrobiologia</t>
  </si>
  <si>
    <t>10.1007/s10750-017-3346-5</t>
  </si>
  <si>
    <t>FO4IA</t>
  </si>
  <si>
    <t>WOS:000416804200009</t>
  </si>
  <si>
    <t>Smith, D; Jabour, J</t>
  </si>
  <si>
    <t>Smith, Danielle; Jabour, Julia</t>
  </si>
  <si>
    <t>MPAs in ABNJ: lessons from two high seas regimes</t>
  </si>
  <si>
    <t>areas beyond national jurisdiction; CCAMLR; marine-protected areas; OSPAR</t>
  </si>
  <si>
    <t>MARINE PROTECTED AREAS; NATIONAL JURISDICTION; SOUTHERN-OCEAN; MANAGEMENT; BIODIVERSITY; CHALLENGES; CONVENTION; NETWORK; CCAMLR; OSPAR</t>
  </si>
  <si>
    <t>Establishing a network of marine-protected areas (MPAs) in areas beyond national jurisdiction (ABNJ) is viewed as an important measure to protect marine biodiversity. To date 12 MPAs have been established: two in the Southern Ocean and 10 in the North-East Atlantic region, and more are proposed. The Southern Ocean MPAs were adopted by Members of the Commission for the Conservation of Antarctic Marine Living Resources (CCAMLR) in a complex, slow and challenging process. The North-East Atlantic MPAs were established under the OSPAR Convention and although the MPA network was established swiftly, doubts remain about whether it was a successful institutional development for the protection of marine biodiversity or just a network of 'paper parks'. This article analyses the planning and negotiation processes that took place in establishing the 12 current MPAs to identify lessons useful for establishing MPAs in ABNJ in the future.</t>
  </si>
  <si>
    <t>[Smith, Danielle] Univ Tasmania, Fac Law, Private Bag 89, Hobart, Tas 7001, Australia; [Smith, Danielle] Univ Tasmania, Inst Marine &amp; Antarctic Studies, Private Bag 89, Hobart, Tas 7001, Australia; [Jabour, Julia] Univ Tasmania, Inst Marine &amp; Antarctic Studies, Private Bag 129, Hobart, Tas 7001, Australia</t>
  </si>
  <si>
    <t>University of Tasmania; University of Tasmania; University of Tasmania</t>
  </si>
  <si>
    <t>Smith, D (corresponding author), Univ Tasmania, Fac Law, Private Bag 89, Hobart, Tas 7001, Australia.;Smith, D (corresponding author), Univ Tasmania, Inst Marine &amp; Antarctic Studies, Private Bag 89, Hobart, Tas 7001, Australia.</t>
  </si>
  <si>
    <t>danielle.smith0@utas.edu.au</t>
  </si>
  <si>
    <t>10.1093/icesjms/fsx189</t>
  </si>
  <si>
    <t>WOS:000424080500038</t>
  </si>
  <si>
    <t>Leduc-Leballeur, M; Picard, G; Macelloni, G; Mialon, A; Kerr, YH</t>
  </si>
  <si>
    <t>Leduc-Leballeur, M.; Picard, G.; Macelloni, G.; Mialon, A.; Kerr, Y. H.</t>
  </si>
  <si>
    <t>SMOS IN ANTARCTICA FOR THE SNOWMELT MONITORING</t>
  </si>
  <si>
    <t>Cryosphere; Remote sensing; Passive microwave</t>
  </si>
  <si>
    <t>In Antarctica, the coastal and ice-shelves areas are affected by snowmelt during the austral summer. The length and extend of this melting period are key parameters in the study of climate and its interannual variations in these regions. Melting events have a significant impact on the microwave emissivity of the surface. Thus, satellite microwave observations can be used in order to provide useful information over the whole Antarctic coast and ice-shelves. Several studies exploited the 19 and 37 GHz long time series to retrieve snowmelt events. In this study, these algorithms previously developed have been used to detect melt from the Soil Moisture and Ocean Salinity (SMOS) satellite observations at 1.4 GHz. Snowmelt dataset was obtained from April 2010 and March 2017 with SMOS observations. Finally, the potential of combined low and high frequencies to provide a synergetic description of surface melting events in Antarctica have been highlighted.</t>
  </si>
  <si>
    <t>[Leduc-Leballeur, M.; Macelloni, G.] CNR, Inst Appl Phys IFAC, Sesto Fiorentino, Italy; [Picard, G.] UGA, CNRS, IGE, UMR5001, Grenoble, France; [Mialon, A.; Kerr, Y. H.] Univ Toulouse, CESBIO, CNRS, CNES,IRD,UPS, F-31401 Toulouse 09, France</t>
  </si>
  <si>
    <t>Consiglio Nazionale delle Ricerche (CNR); Istituto di Fisica Applicata Nello Carrara (IFAC-CNR); Centre National de la Recherche Scientifique (CNRS); CNRS - National Institute for Earth Sciences &amp; Astronomy (INSU); Communaute Universite Grenoble Alpes; Universite Grenoble Alpes (UGA); Universite de Toulouse; Universite Toulouse III - Paul Sabatier; Centre National de la Recherche Scientifique (CNRS); Institut de Recherche pour le Developpement (IRD)</t>
  </si>
  <si>
    <t>Leduc-Leballeur, M (corresponding author), CNR, Inst Appl Phys IFAC, Sesto Fiorentino, Italy.</t>
  </si>
  <si>
    <t>mialon, arnaud/ABA-3062-2020; Kerr, Yann/Z-2432-2019; Leduc-Leballeur, Marion/AAK-9880-2021; Macelloni, Giovanni/B-7518-2015; Picard, Ghislain/D-4246-2013</t>
  </si>
  <si>
    <t>mialon, arnaud/0000-0001-7970-0701; Leduc-Leballeur, Marion/0000-0001-7579-7024; Picard, Ghislain/0000-0003-1475-5853; MACELLONI, GIOVANNI/0000-0002-9738-7939</t>
  </si>
  <si>
    <t>CryoSMOS project [4000112262/14/I-NB]; French space agency (CNES) through the SMOS TOSCA project</t>
  </si>
  <si>
    <t>CryoSMOS project; French space agency (CNES) through the SMOS TOSCA project</t>
  </si>
  <si>
    <t>Thanks for funding to ESA through CryoSMOS project (contract 4000112262/14/I-NB) and to the French space agency (CNES) through the SMOS TOSCA project.</t>
  </si>
  <si>
    <t>WOS:000451039801162</t>
  </si>
  <si>
    <t>Karanovic, T; Lee, S; Lee, W</t>
  </si>
  <si>
    <t>Karanovic, Tomislav; Lee, Seunghan; Lee, Wonchoel</t>
  </si>
  <si>
    <t>Instant taxonomy: choosing adequate characters for species delimitation and description through congruence between molecular data and quantitative shape analysis</t>
  </si>
  <si>
    <t>barcoding; Copepoda; geometric morphometrics; Harpacticidae; integrative taxonomy</t>
  </si>
  <si>
    <t>TIGRIOPUS-JAPONICUS CRUSTACEA; COPEPODA HARPACTICOIDA HARPACTICIDAE; BAYESIAN PHYLOGENETIC INFERENCE; GEOMETRIC MORPHOMETRICS; CRYPTIC SPECIATION; INTEGRATIVE TAXONOMY; GENETIC DIFFERENTIATION; OUTBREEDING DEPRESSION; FLUCTUATING ASYMMETRY; BOOTSTRAP FREQUENCIES</t>
  </si>
  <si>
    <t>The lack of university funding is one of the major impediments to taxonomy, partly because traditional taxonomic training takes longer than a PhD course. Understanding ranges of phenotypic variability for different morphological structures, and their use as characters for delimitation and description of taxa, is a tedious task. We argue that the advent of molecular barcoding and quantitative shape analysis makes it unnecessary. As an example, we tackle a problematic species-complex of marine copepods from Korea and Japan, approaching it as a starting taxonomist might. Samples were collected from 14 locations and the mitochondrial COI gene was sequenced from 42 specimens. Our phylogenetic analyses reveal four distinct clades in Korea and Japan, and an additional nine belonging to a closely related complex from other parts of the Northern Pacific. Twenty different morphological structures were analysed for one Japanese and two Korean clades using landmark-based two-dimensional geometric morphometrics. Although there is no single morphological character that can distinguish with absolute certainty all three cryptic species, most show statistically significant interspecific differences in shape and size. We use five characters to describe two new species from Korea and to re-describe Tigriopus japonicus Mori, 1938 from near its type locality.</t>
  </si>
  <si>
    <t>[Karanovic, Tomislav] Sungkyunkwan Univ, Coll Sci, Gen Studies Bldg,Room 51311, Suwon 16419, South Korea; [Karanovic, Tomislav] Univ Tasmania, Inst Marine &amp; Antarctic Studies, Hobart, Tas 7001, Australia; [Lee, Seunghan; Lee, Wonchoel] Hanyang Univ, Coll Nat Sci, Dept Life Sci, Lab Biodivers, Seoul 04763, South Korea; [Lee, Seunghan] Marine Act Co, Biodivers Res Inst, Seoul 04790, South Korea</t>
  </si>
  <si>
    <t>Sungkyunkwan University (SKKU); University of Tasmania; Hanyang University</t>
  </si>
  <si>
    <t>Karanovic, T (corresponding author), Sungkyunkwan Univ, Coll Sci, Gen Studies Bldg,Room 51311, Suwon 16419, South Korea.;Karanovic, T (corresponding author), Univ Tasmania, Inst Marine &amp; Antarctic Studies, Hobart, Tas 7001, Australia.</t>
  </si>
  <si>
    <t>Tomislav.Karanovic@utas.edu.au</t>
  </si>
  <si>
    <t>Lee, Wonchoel/L-9822-2018</t>
  </si>
  <si>
    <t>Lee, Wonchoel/0000-0002-9873-1033</t>
  </si>
  <si>
    <t>National Institute of Biological Resources (NIBR) - ministry of Environment (MOE) of the Republic of Korea [NIBR201704101]</t>
  </si>
  <si>
    <t>National Institute of Biological Resources (NIBR) - ministry of Environment (MOE) of the Republic of Korea(Ministry of Environment (ME), Republic of Korea)</t>
  </si>
  <si>
    <t>This work was supported by a grant from the National Institute of Biological Resources (NIBR), funded by the ministry of Environment (MOE) of the Republic of Korea (NIBR201704101). The third author expresses special thanks to Hyunwoo Bang, Eunjung Nam, Kanghyun Lee, Jinwook Back, Dongju Lee, Kichoon Kim, Min Jae Kim, Donggu Jeon and other members of the Biodiversity Laboratory, Hanyang University, for their help in sampling and observation during this study. The scanning electron microscope was made available through the courtesy of Jin Hyun Jun (Eulji University, Seoul), and we also want to thank Junho Kim (Eulji University, Seoul) for the technical help provided. Two anonymous reviewers are acknowledged for many constructive remarks.</t>
  </si>
  <si>
    <t>10.1071/IS17002</t>
  </si>
  <si>
    <t>WOS:000435406900004</t>
  </si>
  <si>
    <t>Nicorelli, E; Gerdol, M; Buonocore, F; Pallavicini, A; Scapigliati, G; Guidolin, L; Irato, P; Corrà, F; Santovito, G</t>
  </si>
  <si>
    <t>Nicorelli, E.; Gerdol, M.; Buonocore, F.; Pallavicini, A.; Scapigliati, G.; Guidolin, L.; Irato, P.; Corra, F.; Santovito, G.</t>
  </si>
  <si>
    <t>First evidence of T cell restricted intracellular antigen (TIA) protein gene expression in Antarctic fish</t>
  </si>
  <si>
    <t>[Nicorelli, E.; Guidolin, L.; Irato, P.; Corra, F.; Santovito, G.] Univ Padua, Dept Biol, Padua, Italy; [Gerdol, M.; Pallavicini, A.] Univ Trieste, Dept Life Sci Biol, Trieste, Italy; [Buonocore, F.; Scapigliati, G.] Univ Tuscia, Dept Innovat Biol Agrofood &amp; Forest Syst, Viterbo, Italy</t>
  </si>
  <si>
    <t>University of Padua; University of Trieste; Tuscia University</t>
  </si>
  <si>
    <t>Pallavicini, Alberto/J-4158-2012; Buonocore, Francesco/AAA-5236-2020; Pallavicini, Alberto/H-9281-2019; Santovito, Gianfranco/ABB-9484-2021</t>
  </si>
  <si>
    <t>Pallavicini, Alberto/0000-0001-7174-4603; Santovito, Gianfranco/0000-0001-8260-7006</t>
  </si>
  <si>
    <t>P.N.R.A; M.I.U.R</t>
  </si>
  <si>
    <t>P.N.R.A; M.I.U.R(Ministry of Education, Universities and Research (MIUR))</t>
  </si>
  <si>
    <t>Supported by P.N.R.A. and M.I.U.R. grants.</t>
  </si>
  <si>
    <t>WOS:000430116300054</t>
  </si>
  <si>
    <t>Calado, JG; Matos, DM; Ramos, JA; Moniz, F; Ceia, FR; Granadeiro, JP; Paiva, VH</t>
  </si>
  <si>
    <t>Calado, J. G.; Matos, D. M.; Ramos, J. A.; Moniz, F.; Ceia, F. R.; Granadeiro, J. P.; Paiva, V. H.</t>
  </si>
  <si>
    <t>Seasonal and annual differences in the foraging ecology of two gull species breeding in sympatry and their use of fishery discards</t>
  </si>
  <si>
    <t>JOURNAL OF AVIAN BIOLOGY</t>
  </si>
  <si>
    <t>niche partitioning; isotopic ecology; diet composition</t>
  </si>
  <si>
    <t>YELLOW-LEGGED GULL; ANTARCTIC FULMARINE PETRELS; ISOTOPE MIXING MODELS; STABLE-ISOTOPES; EBRO DELTA; LARUS-AUDOUINII; FEEDING ECOLOGY; DIET; FOOD; SEABIRDS</t>
  </si>
  <si>
    <t>Niche segregation between similar species will result from an avoidance of competition but also from environmental variability, including nowadays anthropogenic activities. Gulls are among the seabirds with greater behavioural plasticity, being highly opportunistic and feeding on a wide range of prey, mostly from anthropogenic origin. Here, we analysed blood and feather stable isotopes combined with pellet analysis to investigate niche partitioning between Audouin's gull Larus audouinii and yellow-legged gull Larus michahellis breeding in sympatry at Deserta Island, southern Portugal, during 2014 and 2015. During the breeding season there was considerable overlap in the adults' diet, as their stable isotope values of blood and primary feather (P1) did not differ, and their pellets were comprised mainly by marine fish species. However, Audouin's gulls presented higher occurrences of pelagic fish, while yellow-legged gulls fed more on demersal fish, insects, and refuse. SIAR mixing models also estimated a higher proportion of demersal fish in the diet of yellow-legged gulls. We also found differences between the two gull species in chicks' feathers, suggesting that Audouin's gull adults selected prey with lower carbon isotope values to feed their young. Secondary feather (S8) of Audouin's gull presented higher isotope values compared to yellow-legged gulls, indicating different foraging areas (C-13) and/ or trophic levels (N-15) between the two species in the non-breeding season. During both the all-year and non-breeding periods the yellow-legged gull showed a broader isotopic niche width than Audouin's gull in 2013, and in 2014 the two gull species exhibited different isotopic niche spaces. Our study suggests that both gull species foraged in association with fisheries during the breeding season. In this sense, a discard ban implemented under the new European Union Common Fisheries Policy may lead to a food shortage, therefore future research should closely monitor the population dynamics of Audouin's and yellow-legged gulls.</t>
  </si>
  <si>
    <t>[Calado, J. G.; Matos, D. M.; Ramos, J. A.; Ceia, F. R.; Paiva, V. H.] Univ Coimbra, MARE Marine &amp; Environm Sci Ctr, Fac Ciencias &amp; Tecnol, Dept Ciencias Vida, Coimbra, Portugal; [Moniz, F.] RNSCMVRSA, ICNF Inst Nat Conservat &amp; Forest, Castro Marim, Portugal; [Granadeiro, J. P.] Univ Lisbon, CESAM Ctr Environm &amp; Marine Studies, Dept Biol Anim, Fac Ciencias, Lisbon, Portugal</t>
  </si>
  <si>
    <t>Universidade de Coimbra; Universidade de Lisboa</t>
  </si>
  <si>
    <t>Calado, JG (corresponding author), Univ Coimbra, MARE Marine &amp; Environm Sci Ctr, Fac Ciencias &amp; Tecnol, Dept Ciencias Vida, Coimbra, Portugal.</t>
  </si>
  <si>
    <t>joana.gomes.calado@gmail.com</t>
  </si>
  <si>
    <t>Calado, Joana/B-1799-2019; Paiva, Vitor H./J-1092-2019; Matos, Diana/B-4056-2019; Paiva, Vitor Hugo/GRX-9179-2022; Ramos, Jaime A./B-6616-2018; Ceia, Filipe R./A-2196-2012; Granadeiro, José Pedro/E-8060-2011</t>
  </si>
  <si>
    <t>Calado, Joana/0000-0003-3535-3386; Paiva, Vitor H./0000-0001-6368-9579; Ramos, Jaime A./0000-0002-9533-987X; Ceia, Filipe R./0000-0002-5470-5183; Granadeiro, José Pedro/0000-0002-7207-3474</t>
  </si>
  <si>
    <t>'Fundacao para a Ciencia e a Tecnologia' (FCT) [UID/MAR/04292/2013, UID/AMB/50017/2013, PTDC/MAR-PRO/0929/2014, PD/BD/127991/2016, SFRH/BPD/85024/2012, SFRH/BPD/95372/2013]; Fundação para a Ciência e a Tecnologia [PTDC/MAR-PRO/0929/2014, PD/BD/127991/2016] Funding Source: FCT</t>
  </si>
  <si>
    <t>'Fundacao para a Ciencia e a Tecnologia' (FCT)(Fundacao para a Ciencia e a Tecnologia (FCT)); Fundação para a Ciência e a Tecnologia(Fundacao para a Ciencia e a Tecnologia (FCT))</t>
  </si>
  <si>
    <t>We acknowledge the support provided by 'Fundacao para a Ciencia e a Tecnologia' (FCT), through the strategic project UID/MAR/04292/2013 granted to MARE and UID/AMB/50017/2013 granted to CESAM, the project PTDC/MAR-PRO/0929/2014, and the fellowships PD/BD/127991/2016, SFRH/BPD/85024/2012 and SFRH/BPD/95372/2013 granted to JGC, VHP and FRC, respectively.</t>
  </si>
  <si>
    <t>0908-8857</t>
  </si>
  <si>
    <t>1600-048X</t>
  </si>
  <si>
    <t>J AVIAN BIOL</t>
  </si>
  <si>
    <t>J. Avian Biol.</t>
  </si>
  <si>
    <t>e01463</t>
  </si>
  <si>
    <t>10.1111/jav.01463</t>
  </si>
  <si>
    <t>FW1UL</t>
  </si>
  <si>
    <t>WOS:000425085000002</t>
  </si>
  <si>
    <t>Armitage, TWK; Kwok, R; Thompson, AF; Cunningham, G</t>
  </si>
  <si>
    <t>Armitage, Thomas W. K.; Kwok, Ron; Thompson, Andrew F.; Cunningham, Glenn</t>
  </si>
  <si>
    <t>Dynamic Topography and Sea Level Anomalies of the Southern Ocean: Variability and Teleconnections</t>
  </si>
  <si>
    <t>Southern Ocean; sea surface height; circulation; radar altimetry; climate variability; marginal seas</t>
  </si>
  <si>
    <t>ANTARCTIC CIRCUMPOLAR CURRENT; GLOBAL OVERTURNING CIRCULATION; SURFACE HEIGHT; DRAKE PASSAGE; DEEP-WATER; SEASONAL VARIABILITY; BEAUFORT GYRE; SLOPE CURRENT; WEDDELL SEA; ICE-SHELF</t>
  </si>
  <si>
    <t>This study combines sea surface height (SSH) estimates of the ice-covered Southern Ocean with conventional open-ocean SSH estimates from CryoSat-2 to produce monthly composites of dynamic ocean topography (DOT) and sea level anomaly (SLA) on a 50 km grid spanning 2011-2016. This data set reveals the full Southern Ocean SSH seasonal cycle for the first time; there is an antiphase relationship between sea level on the Antarctic continental shelf and the deeper basins, with coastal SSH highest in autumn and lowest in spring. As a result of this pattern of seasonal SSH variability, the barotropic component of the Antarctic Slope Current (ASC) has speeds that are regionally up to twice as fast in the autumn. Month-to-month circulation variability of the Ross and Weddell Gyres is strongly influenced by the local wind field, and is correlated with the local wind curl (Ross: -0.58; Weddell: -0.67). SSH variability is linked to both the Southern Oscillation and the Southern Annular Mode, dominant modes of southern hemisphere climate variability. In particular, during the strong 2015-2016 El Nino, a sustained negative coastal SLA of up to -6 cm, implying a weakening of the ASC, was observed in the Pacific sector of the Southern Ocean. The ability to examine sea level variability in the seasonally ice-covered regions of the Southern Oceanclimatically important regions with an acute sparsity of datamakes this new merged sea level record of particular interest to the Southern Ocean oceanography and glaciology communities.</t>
  </si>
  <si>
    <t>[Armitage, Thomas W. K.; Kwok, Ron; Cunningham, Glenn] CALTECH, Jet Prop Lab, Pasadena, CA 91125 USA; [Thompson, Andrew F.] CALTECH, Environm Sci &amp; Engn, Pasadena, CA 91125 USA</t>
  </si>
  <si>
    <t>National Aeronautics &amp; Space Administration (NASA); NASA Jet Propulsion Laboratory (JPL); California Institute of Technology; California Institute of Technology</t>
  </si>
  <si>
    <t>Armitage, TWK (corresponding author), CALTECH, Jet Prop Lab, Pasadena, CA 91125 USA.</t>
  </si>
  <si>
    <t>Tom.W.Armitage@jpl.nasa.gov</t>
  </si>
  <si>
    <t>Kwok, Ron/A-9762-2008; Kwok, Ronald/L-3968-2019</t>
  </si>
  <si>
    <t>Kwok, Ron/0000-0003-4051-5896; Kwok, Ronald/0000-0003-4051-5896; Armitage, Thomas/0000-0003-1442-7833</t>
  </si>
  <si>
    <t>National Aeronautics and Space Administration; President's and Director's Fund Program; Directorate For Geosciences; Office of Polar Programs (OPP) [1246460] Funding Source: National Science Foundation</t>
  </si>
  <si>
    <t>National Aeronautics and Space Administration(National Aeronautics &amp; Space Administration (NASA)); President's and Director's Fund Program; Directorate For Geosciences; Office of Polar Programs (OPP)(National Science Foundation (NSF)NSF - Directorate for Geosciences (GEO))</t>
  </si>
  <si>
    <t>This work was carried out at the Jet Propulsion Laboratory and the California Institute of Technology under a contract with the National Aeronautics and Space Administration and funded through the President's and Director's Fund Program. CryoSat-2 data were supplied by the European Space Agency (https://earth.esa.int/web/guest/data-access). The Southern Ocean sea level data presented in this manuscript will be made available via https://rkwok.jpl.nasa.gov/cryosat/.</t>
  </si>
  <si>
    <t>10.1002/2017JC013534</t>
  </si>
  <si>
    <t>WOS:000425589800035</t>
  </si>
  <si>
    <t>Palacios, MJ; Valera, F; Colominas-Ciuró, R; Barbosa, A</t>
  </si>
  <si>
    <t>Jose Palacios, Maria; Valera, Francisco; Colominas-Ciuro, Roger; Barbosa, Andres</t>
  </si>
  <si>
    <t>Cellular and humoral immunity in two highly demanding energetic life stages: reproduction and moulting in the Chinstrap Penguin</t>
  </si>
  <si>
    <t>JOURNAL OF ORNITHOLOGY</t>
  </si>
  <si>
    <t>Antarctica; Breeding; Chinstrap Penguin; Immune system; Moulting; Stress</t>
  </si>
  <si>
    <t>SPARROWS PASSER-DOMESTICUS; FLYCATCHERS FICEDULA-HYPOLEUCA; BROOD SIZE MANIPULATION; WINTERING GREAT TITS; PYGOSCELIS-ANTARCTICA; PIED FLYCATCHERS; HOUSE SPARROWS; SPHENISCUS-MAGELLANICUS; KING PENGUIN; TRADE-OFFS</t>
  </si>
  <si>
    <t>Reproduction and moulting are costly events in birds. Some studies have pointed out the possibility that the immune response is optimized and traded off against such costly functions. Moreover, it is also known that stressful conditions may lead to the suppression of immune functions. As reproduction and moulting do not overlap in penguins, they offer a good opportunity to explore the relationships between immunity and both events. Our aim is to compare physiological stress and immunity between breeding and moulting in the Chinstrap Penguin. Considering the large amount of energy expended during breeding and the almost total inactivity during moulting and the immunosuppression caused by stress, it is expected that the Chinstrap Penguin shows a higher degree of stress during breeding and that immunological capacity was lower in this life stage. As a measure of stress, we examined the heterophil/lymphocyte ratio. To account for an overall measure of the immunological status, we measured cellular immunity (total leukocyte count and the response to phytohaemagglutinin) and humoral immunity (immunoglobulin levels). All measures were taken in both breeding and moulting penguins. Our results showed that breeding was more stressful than moulting in the Chinstrap Penguin. Immunological differences between the two physiological activities showed a complex picture as cellular immunity values were higher during moulting and humoral immunity values were higher during breeding. Differences were also found between sexes with males showing higher levels of stress than females and lower values of total leukocyte count.</t>
  </si>
  <si>
    <t>[Jose Palacios, Maria; Valera, Francisco] CSIC, Estn Expt Zonas Aridas, Dept Ecol Func &amp; Evolut, Carretera Sacramento S-N, La Canada De San Urbano 04120, Almeria, Spain; [Colominas-Ciuro, Roger; Barbosa, Andres] CSIC, Dept Ecol Evolut, Museo Nacl Ciencias Nat, C Jose Gutierrez Abascal 2, E-28006 Madrid, Spain</t>
  </si>
  <si>
    <t>Consejo Superior de Investigaciones Cientificas (CSIC); CSIC - Estacion Experimental de Zonas Aridas (EEZA); Consejo Superior de Investigaciones Cientificas (CSIC); CSIC - Museo Nacional de Ciencias Naturales (MNCN)</t>
  </si>
  <si>
    <t>Barbosa, A (corresponding author), CSIC, Dept Ecol Evolut, Museo Nacl Ciencias Nat, C Jose Gutierrez Abascal 2, E-28006 Madrid, Spain.</t>
  </si>
  <si>
    <t>barbosa@mncn.csic.es</t>
  </si>
  <si>
    <t>Barbosa, Andrés/C-3208-2008; Valera, Francisco/R-3437-2019; Colominas Ciuró, Roger/HOF-9267-2023; Colominas-Ciuro, Roger/ADL-7809-2022</t>
  </si>
  <si>
    <t>Barbosa, Andrés/0000-0001-8434-3649; Valera, Francisco/0000-0003-2266-8899; Colominas-Ciuro, Roger/0000-0001-6312-0702</t>
  </si>
  <si>
    <t>Spanish Ministry of Science and Innovation [BES-2005-8465]; Spanish Ministry of Economy and Competitiveness; European Regional Development Fund [CGL2004-01348, POL2006-05175, CTM2011-24427]</t>
  </si>
  <si>
    <t>Spanish Ministry of Science and Innovation(Spanish Government); Spanish Ministry of Economy and Competitiveness(Spanish Government); European Regional Development Fund(European Union (EU))</t>
  </si>
  <si>
    <t>We thank the Gabriel de Castilla Spanish Antarctic Base for its hospitality. The Spanish polar ship Las Palmas and the Marine Technology Unit (CSIC) provided transport and logistical support. Permits for working in the study area and for penguin handling were issued by the Spanish Polar Committee. We thank Santiago Merino for help with the immunoglobulin analyses. MJP was supported by a PhD grant from the Spanish Ministry of Science and Innovation (BES-2005-8465). This study was funded by the Spanish Ministry of Economy and Competitiveness and European Regional Development Fund (Grants CGL2004-01348, POL2006-05175, CTM2011-24427). Deborah Faldauer corrected the language. The comments of two anonymous referees greatly improved the first draft of this manuscript.</t>
  </si>
  <si>
    <t>0021-8375</t>
  </si>
  <si>
    <t>1439-0361</t>
  </si>
  <si>
    <t>J ORNITHOL</t>
  </si>
  <si>
    <t>J. Ornithol.</t>
  </si>
  <si>
    <t>10.1007/s10336-017-1499-7</t>
  </si>
  <si>
    <t>FT1YA</t>
  </si>
  <si>
    <t>WOS:000422933200026</t>
  </si>
  <si>
    <t>Kuji, M; Murasaki, A; Hori, M; Shiobara, M</t>
  </si>
  <si>
    <t>Kuji, Makoto; Murasaki, Atsumi; Hori, Masahiro; Shiobara, Masataka</t>
  </si>
  <si>
    <t>Cloud Fractions Estimated from Shipboard Whole-Sky Camera and Ceilometer Observations between East Asia and Antarctica</t>
  </si>
  <si>
    <t>cloud fraction; shipboard observation; whole-sky camera; ceilometer; sea ice region</t>
  </si>
  <si>
    <t>OCEAN; COVER</t>
  </si>
  <si>
    <t>Cloud fractions were observed during research cruises onboard the research vessel (R/V) Shirase between Japan and Antarctica using a whole-sky camera and a ceilometer. The cruises, Japanese Antarctic Research Expeditions (JARE) 55 and 56, took place from November 2013 to April 2014 and from November 2014 to April 2015, respectively. Cloud fractions were estimated from the whole-sky camera based on the sky brightness and spectral characteristics, and the ceilometer recorded the cloud occurrence frequency. According to the comparison of daily-averaged cloud fractions from the whole-sky camera with the ceilometer observations over the open ocean between Japan and Antarctica, the correlation coefficients were 0.87 and 0.93 for JARE 55 and 56, respectively. Overall, the results from both observation methods were consistent over the open ocean. Nevertheless, it was necessary to take surface conditions into consideration, particularly for the estimated cloud fractions from the whole-sky camera, because the contrast in brightness and spectral properties between cloudy and clear skies was lower over the sea ice region, owing to the higher surface albedo. Hence, the classification parameter was expressed as a function of sun elevation over the sea ice region in this study. This parameter was determined from part of the data over the sea ice region during JARE 55 and then applied to JARE 56 as well as to the remaining data from JARE 55. As a result, the daily-averaged cloud fractions over the sea ice region were approximately 84 % and 57 % from JARE 55 and 56, respectively. The daily-averaged cloud fractions estimated from the whole-sky camera were also consistent with the ceilometer observations, where the correlation coefficients with the sea ice region were 0.93 and 0.96 for JARE 55 and 56, respectively.</t>
  </si>
  <si>
    <t>[Kuji, Makoto; Murasaki, Atsumi] Nara Womens Univ, Nara, Japan; [Hori, Masahiro] Japan Aerosp Explorat Agcy, Tsukuba, Ibaraki, Japan; [Shiobara, Masataka] Natl Inst Polar Res, Tokyo, Japan</t>
  </si>
  <si>
    <t>Nara Womens University; Japan Aerospace Exploration Agency (JAXA); Research Organization of Information &amp; Systems (ROIS); National Institute of Polar Research (NIPR) - Japan</t>
  </si>
  <si>
    <t>Kuji, M (corresponding author), Kitauoya Nishimachi, Nara 6308506, Japan.</t>
  </si>
  <si>
    <t>makato@ics.nara-wu.acjp</t>
  </si>
  <si>
    <t>, Masahiro/0000-0002-9729-7909</t>
  </si>
  <si>
    <t>JAXA GCOM RA [204]; National Institute of Polar Research (NIPR) [28-19]; Grants-in-Aid for Scientific Research [15H02807] Funding Source: KAKEN</t>
  </si>
  <si>
    <t>JAXA GCOM RA;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</si>
  <si>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The authors are grateful to those who performed observations onboard the R/V Shirase during JARE 55 and 56. This study was partially supported by JAXA GCOM RA No. 204 and by National Institute of Polar Research (NIPR) through General Collaboration Project No. 28-19. The authors are also grateful to Ms. Misako Hagiwara, Risa Fujimoto, Mayu Miyagawa, and Ryoko Funada of Nara Women's University for their support in data processing and useful comments. This paper was greatly improved with the constructive comments of the two anonymous reviewers.</t>
  </si>
  <si>
    <t>10.2151/jmsj.2018-025</t>
  </si>
  <si>
    <t>GI9WH</t>
  </si>
  <si>
    <t>WOS:000434878200009</t>
  </si>
  <si>
    <t>Kovacic, M</t>
  </si>
  <si>
    <t>Kovacic, M.</t>
  </si>
  <si>
    <t>Quenching Thirst with Antarctic Glacier Water</t>
  </si>
  <si>
    <t>KEMIJA U INDUSTRIJI-JOURNAL OF CHEMISTS AND CHEMICAL ENGINEERS</t>
  </si>
  <si>
    <t>Croatian</t>
  </si>
  <si>
    <t>COST</t>
  </si>
  <si>
    <t>[Kovacic, M.] Sveucilista Zagrebu, Fak Kemijskog Inzenjerstva &amp; Tehnol, Zavod Polimerno Inzenjerstvo &amp; Organsku Kemijsku, Savska Cesta 16, Zagreb 10000, Croatia</t>
  </si>
  <si>
    <t>University of Zagreb</t>
  </si>
  <si>
    <t>Kovacic, M (corresponding author), Sveucilista Zagrebu, Fak Kemijskog Inzenjerstva &amp; Tehnol, Zavod Polimerno Inzenjerstvo &amp; Organsku Kemijsku, Savska Cesta 16, Zagreb 10000, Croatia.</t>
  </si>
  <si>
    <t>mkovacic1@fkit.hr</t>
  </si>
  <si>
    <t>HRVATSKO DRUSTVO KEMJIJSKIH INZENJERA I TEHNOLOGA</t>
  </si>
  <si>
    <t>ZAGREB</t>
  </si>
  <si>
    <t>BERISLAVICEVA 6-1 P O BOX 123, 41001 ZAGREB, CROATIA</t>
  </si>
  <si>
    <t>0022-9830</t>
  </si>
  <si>
    <t>1334-9090</t>
  </si>
  <si>
    <t>KEM IND</t>
  </si>
  <si>
    <t>Kem. Ind.</t>
  </si>
  <si>
    <t>9-10</t>
  </si>
  <si>
    <t>Chemistry, Multidisciplinary</t>
  </si>
  <si>
    <t>HB2IR</t>
  </si>
  <si>
    <t>WOS:000450864000009</t>
  </si>
  <si>
    <t>FIELD ENVIRONMENTAL PHILOSOPHY AND THE SUB-ANTARCTIC ECOREGION OF MAGALLANES AS A NATURAL LABORATORY IN THE ANTHROPOCENE</t>
  </si>
  <si>
    <t>biocultural conservation; biocultural ethics; biosphere reserve; education; long-term socio-ecological research (LTSER)</t>
  </si>
  <si>
    <t>ETHICS</t>
  </si>
  <si>
    <t>This special issue of Magallania presents the methodological approach of the Field Environmental Philosophy (FEP). I propose that to implement the concept of natural laboratory recently proposed by the State of Chile, it is fundamental to strengthen the activity of laboring with a transdisciplinary approach in these places. FEP offers a methodology and an understanding that open scientific, cultural and ethical horizons to consolidate as a natural laboratory the sub-Antarctic Magellanic ecoregion and the Cape Horn Biosphere Reserve, whose attributes are presented in the first part of this special issue. In addition, FEP's methodology can be adapted to work in other natural laboratories in Chile and the world. Today this is especially relevant in the context of the Anthropocene that has dissolved the old dichotomies between biophysical and cultural dimensions of reality and demands a sense of ethical responsibility. To respond to the socio-environmental challenges of the Anthropocene, FEP proposes a methodological approach that integrates the theoretical framework of the biocultural ethic and diverse forms ecological knowledge of indigenous peoples and modern sciences, arts and philosophy into biocultural research, education, and conservation practices. FEP represents a socio-ecological innovation since this methodology has allowed to systematically interrelate concepts and practices of the sciences and ethics into school and higher education programs, and is being adapted into biosphere reserves and long-term socio-ecological study sites. These sites provide a valuable institutional platform to transform development policies and homogeneous educational programs that today are imposed globally on various habitats and life habits, and reorient them towards a higher valuation of the vital relationships that exist between lifestyle habits and specific habitats that are shared by communities of co-inhabitants. As discussed in the second and third parts of this volume, FEP provides a practical understanding to consider ourselves as co-inhabitants (not mere human resources or natural resources), a concept that provides an understanding of the dignity of diverse living beings and diverse cultures.</t>
  </si>
  <si>
    <t>[Rozzi, Ricardo] Univ North Texas, Programa Conservac Biocultural Subantartica, Denton, TX 76203 USA; [Rozzi, Ricardo] Univ Magallanes, Puerto Williams, Chile; [Rozzi, Ricardo] Inst Ecol &amp; Biodiversidad, Puerto Williams, Chile</t>
  </si>
  <si>
    <t>University of North Texas System; University of North Texas Denton; Universidad de Magallanes</t>
  </si>
  <si>
    <t>Rozzi, R (corresponding author), Univ North Texas, Programa Conservac Biocultural Subantartica, Denton, TX 76203 USA.;Rozzi, R (corresponding author), Univ Magallanes, Puerto Williams, Chile.;Rozzi, R (corresponding author), Inst Ecol &amp; Biodiversidad, Puerto Williams, Chile.</t>
  </si>
  <si>
    <t>rozzi@unt.edu</t>
  </si>
  <si>
    <t>10.4067/S0718-22442018000100007</t>
  </si>
  <si>
    <t>WOS:000444030100001</t>
  </si>
  <si>
    <t>Gardner, J; Manno, C; Bakker, DCE; Peck, VL; Tarling, GA</t>
  </si>
  <si>
    <t>Gardner, Jessie; Manno, Clara; Bakker, Dorothee C. E.; Peck, Victoria L.; Tarling, Geraint A.</t>
  </si>
  <si>
    <t>Southern Ocean pteropods at risk from ocean warming and acidification</t>
  </si>
  <si>
    <t>SHELL DISSOLUTION OCCURS; ET-AL VULNERABILITY; LIMACINA-HELICINA; CLIMATE-CHANGE; INORGANIC CARBON; CLIONE-LIMACINA; ORGANIC LAYER; LIFE-CYCLE; SEA-WATER; CO2</t>
  </si>
  <si>
    <t>Early life stages of marine calcifiers are particularly vulnerable to climate change. In the Southern Ocean aragonite undersaturation events and areas of rapid warming already occur and are predicted to increase in extent. Here, we present the first study to successfully hatch the polar pteropod Limacina helicina antarctica and observe the potential impact of exposure to increased temperature and aragonite undersaturation resulting from ocean acidification (OA) on the early life stage survival and shell morphology. High larval mortality (up to 39%) was observed in individuals exposed to perturbed conditions. Warming and OA induced extensive shell malformation and dissolution, respectively, increasing shell fragility. Furthermore, shell growth decreased, with variation between treatments and exposure time. Our results demonstrate that short-term exposure through passing through hotspots of OA and warming poses a serious threat to pteropod recruitment and long-term population viability.</t>
  </si>
  <si>
    <t>[Gardner, Jessie; Manno, Clara; Peck, Victoria L.; Tarling, Geraint A.] NERC, British Antarctic Survey, Cambridge, England; [Gardner, Jessie; Manno, Clara; Bakker, Dorothee C. E.; Tarling, Geraint A.] Univ East Anglia, Sch Environm Sci, Ctr Ocean &amp; Atmospher Sci, Norwich, Norfolk, England</t>
  </si>
  <si>
    <t>UK Research &amp; Innovation (UKRI); Natural Environment Research Council (NERC); NERC British Antarctic Survey; University of East Anglia</t>
  </si>
  <si>
    <t>Gardner, J (corresponding author), NERC, British Antarctic Survey, Cambridge, England.;Gardner, J (corresponding author), Univ East Anglia, Sch Environm Sci, Ctr Ocean &amp; Atmospher Sci, Norwich, Norfolk, England.</t>
  </si>
  <si>
    <t>jessie.gardner@uea.ac.uk</t>
  </si>
  <si>
    <t>; Bakker, Dorothee/E-4951-2015</t>
  </si>
  <si>
    <t>Gardner, Jessie/0000-0003-1730-023X; Bakker, Dorothee/0000-0001-9234-5337</t>
  </si>
  <si>
    <t>EnvEast Doctoral training partnership [NE/L002582/1]; NERC [bas0100035, NE/H017038/1, NE/H017267/1] Funding Source: UKRI; Natural Environment Research Council [1510512, NE/H017267/1, NE/H017038/1, bas0100035] Funding Source: researchfish</t>
  </si>
  <si>
    <t>EnvEast Doctoral training partnership; NERC(UK Research &amp; Innovation (UKRI)Natural Environment Research Council (NERC)); Natural Environment Research Council(UK Research &amp; Innovation (UKRI)Natural Environment Research Council (NERC))</t>
  </si>
  <si>
    <t>This work was carried out as part of the EnvEast Doctoral training partnership (NE/L002582/1) and the ecosystems programme at the British Antarctic Survey during a Western Corebox cruise.</t>
  </si>
  <si>
    <t>10.1007/s00227-017-3261-3</t>
  </si>
  <si>
    <t>WOS:000424325900006</t>
  </si>
  <si>
    <t>Bekker, A</t>
  </si>
  <si>
    <t>Kujala, P; Lu, L</t>
  </si>
  <si>
    <t>Bekker, A.</t>
  </si>
  <si>
    <t>Exploring the blue skies potential of digital twin technology for a polar supply and research vessel</t>
  </si>
  <si>
    <t>MARINE DESIGN XIII, VOLS 1 &amp; 2</t>
  </si>
  <si>
    <t>13th International Marine Design Conference (IMDC)</t>
  </si>
  <si>
    <t>Espoo, FINLAND</t>
  </si>
  <si>
    <t>The SA Agulhas II is a South African polar supply and research vessel, which offers crucial research access to the Antarctic and Southern Ocean. In order to advance the scientific basis for ice-going vessels and ship-based ergonomics this vessel has been the subject of full-scale engineering measurements since 2012. The sensor infrastructure and advanced data analytics that have resulted position this ship as an ideal platform from which to explore a definitive trend in the future marine industry: digital twin technology. This is a digital, real-time, in-context, operational mime of an asset, which connects the digital and real word representations towards actionable insights. The technology readiness of the SA Agulhas II platform, is considered against the conceptual architecture required to implement digital twin technology. Furthermore, the advantages of digital twin technology are explored for stakeholders including the marine industry, the vessel owner and potential applications for advancing Antarctic science.</t>
  </si>
  <si>
    <t>[Bekker, A.] Stellenbosch Univ, Dept Mech &amp; Mechatron Engn, Sound &amp; Vibrat Res Grp, Stellenbosch, South Africa</t>
  </si>
  <si>
    <t>Bekker, A (corresponding author), Stellenbosch Univ, Dept Mech &amp; Mechatron Engn, Sound &amp; Vibrat Res Grp, Stellenbosch, South Africa.</t>
  </si>
  <si>
    <t>National Research Foundation (NRF); Department of Environmental Affairs of South Africa</t>
  </si>
  <si>
    <t>The financial assistance of the National Research Foundation (NRF) towards this research is hereby acknowledged. The collaboration of Aalto University, Pretoria University and the Department of Environmental Affairs of South Africa is gratefully acknowledged.</t>
  </si>
  <si>
    <t>CRC PRESS-BALKEMA</t>
  </si>
  <si>
    <t>PO BOX 11320, LEIDEN, South Holland, NETHERLANDS</t>
  </si>
  <si>
    <t>978-1-138-54187-0; 978-1-138-54187-0</t>
  </si>
  <si>
    <t>Engineering, Marine; Transportation Science &amp; Technology</t>
  </si>
  <si>
    <t>Engineering; Transportation</t>
  </si>
  <si>
    <t>BO6WU</t>
  </si>
  <si>
    <t>WOS:000522456400011</t>
  </si>
  <si>
    <t>Li, J; Zhou, RP; Liao, PF</t>
  </si>
  <si>
    <t>Li, Jiang; Zhou, Ruiping; Liao, Pengfei</t>
  </si>
  <si>
    <t>Research on the calculation of transient torsional vibration due to ice impact on motor propulsion shafting</t>
  </si>
  <si>
    <t>Transport by sea gets increasing in Arctic and Antarctic region as climate change progresses. The latest polar class ship rules from the International Association of Classification Societies (IACS) require torsional vibration simulation of ice block impacts on ship's propeller blades. In general, excitation from ice load is considered as transient shock. The simulation should be calculated by the time domain torsional vibration, where transient load is applied. The key techniques and influencing factors such as modeling method, calculation method, excitation, damping, speed drop correction and electric motor characteristic in the calculation of transient torsional vibration on motor propulsion shafting are studied. And the general process of transient torsional vibration calculation for electric motor propulsion shafting under ice load is established. The Newmark-beta step-by-step integration method and the MATLAB tool are used to simulate the transient torsional vibration of the ship's propulsion shafting. The steady-state calculation in the time domain shows acceptable agreement with the frequency domain result. The calculation software is developed and validated by motor propulsion example. The research can provide engineering reference for transient torsional vibration calculation due to ice impact on electric motor propulsion shafting.</t>
  </si>
  <si>
    <t>[Li, Jiang] China Classificat Soc, Shanghai Rules &amp; Res Inst, Shanghai, Peoples R China; [Zhou, Ruiping; Liao, Pengfei] Wuhan Univ Technol, Sch Energy &amp; Power Engn, Wuhan, Peoples R China</t>
  </si>
  <si>
    <t>Wuhan University of Technology</t>
  </si>
  <si>
    <t>Li, J (corresponding author), China Classificat Soc, Shanghai Rules &amp; Res Inst, Shanghai, Peoples R China.</t>
  </si>
  <si>
    <t>WOS:000522456400078</t>
  </si>
  <si>
    <t>Villacorta-Rath, C; Souza, CA; Murphy, NP; Green, BS; Gardner, C; Strugnell, JM</t>
  </si>
  <si>
    <t>Villacorta-Rath, Cecilia; Souza, Carla A.; Murphy, Nicholas P.; Green, Bridget S.; Gardner, Caleb; Strugnell, Jan M.</t>
  </si>
  <si>
    <t>Temporal genetic patterns of diversity and structure evidence chaotic genetic patchiness in a spiny lobster</t>
  </si>
  <si>
    <t>MOLECULAR ECOLOGY</t>
  </si>
  <si>
    <t>chaotic genetic patchiness; genetic diversity; lobster; population structure; postsettlement selection</t>
  </si>
  <si>
    <t>WESTERN ROCK LOBSTER; JASUS-EDWARDSII DECAPODA; PANULIRUS-ARGUS; EAST-COAST; RECRUITMENT; SETTLEMENT; POPULATION; PALINURIDAE; FISHERY; PACKAGE</t>
  </si>
  <si>
    <t>Population structure of many marine organisms is spatially patchy and varies within and between years, a phenomenon defined as chaotic genetic patchiness. This results from the combination of planktonic larval dispersal and environmental stochasticity. Additionally, in species with bi-partite life, postsettlement selection can magnify these genetic differences. The high fecundity (up to 500,000 eggs annually) and protracted larval duration (12-24months) and dispersal of the southern rock lobster, Jasus edwardsii, make it a good test species for chaotic genetic patchiness and selection during early benthic life. Here, we used double digest restriction site-associated DNA sequencing (ddRADseq) to investigate chaotic genetic patchiness and postsettlement selection in this species. We assessed differences in genetic structure and diversity of recently settled pueruli across four settlement years and between two sites in southeast Australia separated by approximately 1,000km. Postsettlement selection was investigated by identifying loci under putative positive selection between recently settled pueruli and postpueruli and quantifying differences in the magnitude and strength of the selection at each year and site. Genetic differences within and among sites through time in neutral SNP markers indicated chaotic genetic patchiness. Recently settled puerulus at the southernmost site exhibited lower genetic diversity during years of low puerulus catches, further supporting this hypothesis. Finally, analyses of outlier SNPs detected fluctuations in the magnitude and strength of the markers putatively under positive selection over space and time. One locus under putative positive selection was consistent at both locations during the same years, suggesting the existence of weak postsettlement selection.</t>
  </si>
  <si>
    <t>[Villacorta-Rath, Cecilia; Green, Bridget S.; Gardner, Caleb] Univ Tasmania, Inst Marine &amp; Antarctic Studies, Hobart, Tas, Australia; [Souza, Carla A.; Murphy, Nicholas P.; Strugnell, Jan M.] La Trobe Univ, Dept Ecol Environm &amp; Evolut, Bundoora, Vic, Australia; [Strugnell, Jan M.] James Cook Univ, Ctr Sustainable Trop Fisheries &amp; Aquaculture, Townsville, Qld, Australia</t>
  </si>
  <si>
    <t>University of Tasmania; La Trobe University; James Cook University</t>
  </si>
  <si>
    <t>Villacorta-Rath, C (corresponding author), Univ Tasmania, Inst Marine &amp; Antarctic Studies, Hobart, Tas, Australia.</t>
  </si>
  <si>
    <t>cecilia.villacorta@utas.edu.au</t>
  </si>
  <si>
    <t>Strugnell, Jan M/P-9921-2016; Murphy, Nick/J-9883-2019; Villacorta-Rath, Cecilia/G-8819-2013; Gardner, Caleb/I-7086-2013</t>
  </si>
  <si>
    <t>Murphy, Nick/0000-0002-0907-4642; Villacorta-Rath, Cecilia/0000-0002-1060-5447; Anjos-Souza, Carla/0000-0003-0671-7275; Strugnell, Jan/0000-0003-2994-637X; Gardner, Caleb/0000-0003-0324-4337</t>
  </si>
  <si>
    <t>Australian Research Council Linkage Project [LP120200164]; Australian Research Council Discovery Project [DP150101491]; Australian Research Council [LP120200164] Funding Source: Australian Research Council</t>
  </si>
  <si>
    <t>Australian Research Council Linkage Project(Australian Research Council); Australian Research Council Discovery Project(Australian Research Council); Australian Research Council(Australian Research Council)</t>
  </si>
  <si>
    <t>Australian Research Council Linkage Project, Grant/Award Number: LP120200164; Australian Research Council Discovery Project, Grant/Award Number: DP150101491</t>
  </si>
  <si>
    <t>0962-1083</t>
  </si>
  <si>
    <t>1365-294X</t>
  </si>
  <si>
    <t>MOL ECOL</t>
  </si>
  <si>
    <t>Mol. Ecol.</t>
  </si>
  <si>
    <t>10.1111/mec.14427</t>
  </si>
  <si>
    <t>Biochemistry &amp; Molecular Biology; Ecology; Evolutionary Biology</t>
  </si>
  <si>
    <t>Biochemistry &amp; Molecular Biology; Environmental Sciences &amp; Ecology; Evolutionary Biology</t>
  </si>
  <si>
    <t>FU8OD</t>
  </si>
  <si>
    <t>WOS:000424111400005</t>
  </si>
  <si>
    <t>Gagliardini, O</t>
  </si>
  <si>
    <t>Gagliardini, Olivier</t>
  </si>
  <si>
    <t>The health of Antarctic ice shelves</t>
  </si>
  <si>
    <t>SEA-LEVEL RISE</t>
  </si>
  <si>
    <t>[Gagliardini, Olivier] Univ Grenoble Alpes, Grenoble, France</t>
  </si>
  <si>
    <t>Communaute Universite Grenoble Alpes; Universite Grenoble Alpes (UGA)</t>
  </si>
  <si>
    <t>Gagliardini, O (corresponding author), Univ Grenoble Alpes, Grenoble, France.</t>
  </si>
  <si>
    <t>olivier.gagliardini@univ-grenoble-alpes.fr</t>
  </si>
  <si>
    <t>Gagliardini, Olivier/GQQ-1222-2022</t>
  </si>
  <si>
    <t>Gagliardini, Olivier/0000-0001-9162-3518</t>
  </si>
  <si>
    <t>10.1038/s41558-017-0037-1</t>
  </si>
  <si>
    <t>WOS:000423840000011</t>
  </si>
  <si>
    <t>Reese, R; Gudmundsson, GH; Levermann, A; Winkelmann, R</t>
  </si>
  <si>
    <t>Reese, R.; Gudmundsson, G. H.; Levermann, A.; Winkelmann, R.</t>
  </si>
  <si>
    <t>The far reach of ice-shelf thinning in Antarctica</t>
  </si>
  <si>
    <t>WEST ANTARCTICA; PINE ISLAND; SHEET MODELS; AMUNDSEN SEA; COLLAPSE; STABILITY; GLACIERS; PROJECT; RETREAT; FLOW</t>
  </si>
  <si>
    <t>Floating ice shelves, which fringe most of Antarctica's coastline, regulate ice flow into the Southern Ocean(1-3). Their thinning(4-7) or disintegration(8,9) can cause upstream acceleration of grounded ice and raise global sea levels. So far the effect has not been quantified in a comprehensive and spatially explicit manner. Here, using a finite-element model, we diagnose the immediate, continent-wide flux response to different spatial patterns of ice-shelf mass loss. We show that highly localized ice-shelf thinning can reach across the entire shelf and accelerate ice flow in regions far from the initial perturbation. As an example, this 'tele-buttressing' enhances outflow from Bindschadler Ice Stream in response to thinning near Ross Island more than 900 km away. We further find that the integrated flux response across all grounding lines is highly dependent on the location of imposed changes: the strongest response is caused not only near ice streams and ice rises, but also by thinning, for instance, well-within the Filchner-Ronne and Ross Ice Shelves. The most critical regions in all major ice shelves are often located in regions easily accessible to the intrusion of warm ocean waters(10-12), stressing Antarctica's vulnerability to changes in its surrounding ocean.</t>
  </si>
  <si>
    <t>[Reese, R.; Levermann, A.; Winkelmann, R.] Leibniz Assoc, Potsdam Inst Climate Impact Res PIK, POB 60 12 03, Potsdam, Germany; [Reese, R.; Levermann, A.; Winkelmann, R.] Univ Potsdam, Inst Phys &amp; Astron, Potsdam, Germany; [Gudmundsson, G. H.] British Antarctic Survey, Cambridge, England; [Levermann, A.] Columbia Univ, Lamont Doherty Earth Observ, New York, NY USA</t>
  </si>
  <si>
    <t>Potsdam Institut fur Klimafolgenforschung; University of Potsdam; UK Research &amp; Innovation (UKRI); Natural Environment Research Council (NERC); NERC British Antarctic Survey; Columbia University</t>
  </si>
  <si>
    <t>Winkelmann, R (corresponding author), Leibniz Assoc, Potsdam Inst Climate Impact Res PIK, POB 60 12 03, Potsdam, Germany.;Winkelmann, R (corresponding author), Univ Potsdam, Inst Phys &amp; Astron, Potsdam, Germany.</t>
  </si>
  <si>
    <t>ricarda.winkelmann@pik-potsdam.de</t>
  </si>
  <si>
    <t>Gudmundsson, Gudmundur Hilmar/AAU-5987-2020; Levermann, Anders/G-4666-2011</t>
  </si>
  <si>
    <t>Gudmundsson, Gudmundur Hilmar/0000-0003-4236-5369; Levermann, Anders/0000-0003-4432-4704; Reese, Ronja/0000-0001-7625-040X; Winkelmann, Ricarda/0000-0003-1248-3217</t>
  </si>
  <si>
    <t>Deutsche Forschungsgemeinschaft (DFG) [LE 1448/8-1]; COMNAP Antarctic Research Fellowship; German Academic National Foundation; Evangelisches Studienwerk Villigst; NERC [NE/L013770]; NERC [bas0100034] Funding Source: UKRI</t>
  </si>
  <si>
    <t>Deutsche Forschungsgemeinschaft (DFG)(German Research Foundation (DFG)); COMNAP Antarctic Research Fellowship; German Academic National Foundation; Evangelisches Studienwerk Villigst; NERC(UK Research &amp; Innovation (UKRI)Natural Environment Research Council (NERC)); NERC(UK Research &amp; Innovation (UKRI)Natural Environment Research Council (NERC))</t>
  </si>
  <si>
    <t>This research has received funding from the Deutsche Forschungsgemeinschaft (DFG) grant number LE 1448/8-1, from COMNAP Antarctic Research Fellowship 2016, the German Academic National Foundation, Evangelisches Studienwerk Villigst and from the NERC NE/L013770 Large Grant 'Ice shelves in a warming world: Filchner Ice Shelf system, Antarctica'.</t>
  </si>
  <si>
    <t>10.1038/s41558-017-0020-x</t>
  </si>
  <si>
    <t>WOS:000423840000020</t>
  </si>
  <si>
    <t>Nyman, E</t>
  </si>
  <si>
    <t>Nyman, Elizabeth</t>
  </si>
  <si>
    <t>Protecting the poles: Marine living resource conservation approaches in the Arctic and Antarctic</t>
  </si>
  <si>
    <t>Arctic; Antarctic; MPA; Fishing</t>
  </si>
  <si>
    <t>RESERVES; AREAS</t>
  </si>
  <si>
    <t>The world's polar regions have been singled out as spaces of international interest, with Antarctica being governed under the Antarctic Treaty System and the Arctic by various individual states and the Arctic Council. In recent years, however, both poles have seen an increase in interest in their marine resources as other traditionally fished species become harder to find due to overfishing and as access to the polar regions becomes easier and safer as a consequence of climate change. In this paper, I consider two proposals for the protection of polar marine resources: a 2011 proposal (resubmitted until acceptance in 2016) to create a Marine Protected Area in the Antarctic Ross Sea, and a 2014 proposal to ban commercial fishing in Arctic Ocean waters until further scientific study can be conducted. (C) 2016 Elsevier Ltd. All rights reserved.</t>
  </si>
  <si>
    <t>[Nyman, Elizabeth] Texas A&amp;M Univ Galveston, Dept Liberal Studies, Maritime Studies Program, Galveston, TX 77554 USA</t>
  </si>
  <si>
    <t>Texas A&amp;M University System; Texas A&amp;M University College Station</t>
  </si>
  <si>
    <t>Nyman, E (corresponding author), Texas A&amp;M Univ Galveston, Dept Liberal Studies, Maritime Studies Program, Galveston, TX 77554 USA.</t>
  </si>
  <si>
    <t>enyman@tamug.edu</t>
  </si>
  <si>
    <t>Nyman, Elizabeth/0000-0001-6622-5710</t>
  </si>
  <si>
    <t>10.1016/j.ocecoaman.2016.11.006</t>
  </si>
  <si>
    <t>WOS:000418973100019</t>
  </si>
  <si>
    <t>van Sebille, E; Griffies, SM; Abernathey, R; Adams, TP; Berloff, P; Biastoch, A; Blanke, B; Chassignet, EP; Cheng, Y; Cotter, CJ; Deleersnijder, E; Döös, K; Drake, HF; Drijfhout, S; Gary, SF; Heemink, AW; Kjellsson, J; Koszalka, IM; Lange, M; Lique, C; MacGilchrist, GA; Marsh, R; Adame, CGM; McAdam, R; Nencioli, F; Paris, CB; Piggott, MD; Polton, JA; Rühs, S; Shah, SHAM; Thomas, MD; Wang, JB; Wolfram, PJ; Zanna, L; Zika, JD</t>
  </si>
  <si>
    <t>van Sebille, Erik; Griffies, Stephen M.; Abernathey, Ryan; Adams, Thomas P.; Berloff, Pavel; Biastoch, Arne; Blanke, Bruno; Chassignet, Eric P.; Cheng, Yu; Cotter, Colin J.; Deleersnijder, Eric; Doos, Kristofer; Drake, Henri F.; Drijfhout, Sybren; Gary, Stefan F.; Heemink, Arnold W.; Kjellsson, Joakim; Koszalka, Inga Monika; Lange, Michael; Lique, Camille; MacGilchrist, Graeme A.; Marsh, Robert; Adame, C. Gabriela Mayorga; McAdam, Ronan; Nencioli, Francesco; Paris, Claire B.; Piggott, Matthew D.; Polton, Jeff A.; Ruehs, Siren; Shah, Syed H. A. M.; Thomas, Matthew D.; Wang, Jinbo; Wolfram, Phillip J.; Zanna, Laure; Zika, Jan D.</t>
  </si>
  <si>
    <t>Lagrangian ocean analysis: Fundamentals and practices</t>
  </si>
  <si>
    <t>OCEAN MODELLING</t>
  </si>
  <si>
    <t>Ocean circulation; Lagrangian analysis; Connectivity; Particle tracking; Future modelling</t>
  </si>
  <si>
    <t>RESOLUTION NUMERICAL-SIMULATION; ISOPYCNIC EDDY DIFFUSIVITIES; SIZE LYAPUNOV EXPONENTS; NORTH-ATLANTIC OCEAN; GLOBAL WATER CYCLE; RANDOM-WALK MODELS; GENERAL-CIRCULATION; SOUTHERN-OCEAN; POPULATION CONNECTIVITY; RELATIVE DISPERSION</t>
  </si>
  <si>
    <t>Lagrangian analysis is a powerful way to analyse the output of ocean circulation models and other ocean velocity data such as from altimetry. In the Lagrangian approach, large sets of virtual particles are integrated within the three-dimensional, time-evolving velocity fields. Over several decades, a variety of tools and methods for this purpose have emerged. Here, we review the state of the art in the field of Lagrangian analysis of ocean velocity data, starting from a fundamental kinematic framework and with a focus on large-scale open ocean applications. Beyond the use of explicit velocity fields, we consider the influence of unresolved physics and dynamics on particle trajectories. We comprehensively list and discuss the tools currently available for tracking virtual particles. We then showcase some of the innovative applications of trajectory data, and conclude with some open questions and an outlook. The overall goal of this review paper is to reconcile some of the different techniques and methods in Lagrangian ocean analysis, while recognising the rich diversity of codes that have and continue to emerge, and the challenges of the coming age of petascale computing.</t>
  </si>
  <si>
    <t>[van Sebille, Erik; McAdam, Ronan; Zika, Jan D.] Imperial Coll London, Grantham Inst, London, England; [van Sebille, Erik; McAdam, Ronan; Zika, Jan D.] Imperial Coll London, Dept Phys, London, England; [van Sebille, Erik] Univ Utrecht, Inst Marine &amp; Atmospher Res, Utrecht, Netherlands; [Griffies, Stephen M.] NOAA, Geophys Fluid Dynam Lab, Princeton, NJ USA; [Abernathey, Ryan] Columbia Univ, Dept Earth &amp; Environm Sci, New York, NY 10027 USA; [Adams, Thomas P.; Gary, Stefan F.] Scottish Assoc Marine Sci, Oban, Argyll, Scotland; [Berloff, Pavel; Cotter, Colin J.] Imperial Coll London, Dept Math, London, England; [Biastoch, Arne; Ruehs, Siren] GEOMAR Helmholtz Ctr Ocean Res Kiel, Kiel, Germany; [Blanke, Bruno] CNRS IFREMER IRD UBO, UMR 6523, Lab Oceanograph Phys &amp; Spatiale, Brest, France; [Chassignet, Eric P.] Florida State Univ, Ctr Ocean Atmospher Predict Studies, Tallahassee, FL 32306 USA; [Cheng, Yu; Paris, Claire B.] Univ Miami, Dept Ocean Sci, Rosenstiel Sch Marine &amp; Atmospher Sci, Miami, FL USA; [Deleersnijder, Eric] Catholic Univ Louvain, Inst Mech Mat &amp; Civil Engn, Louvain La Neuve, Belgium; [Deleersnijder, Eric] Catholic Univ Louvain, Earth &amp; Life Inst, Louvain La Neuve, Belgium; [Deleersnijder, Eric; Heemink, Arnold W.; Shah, Syed H. A. M.] Delft Univ Technol, Delft Inst Appl Math, Delft, Netherlands; [Shah, Syed H. A. M.] Sukkur Inst Business Adm, Dept Matemat, Sukkur, Pakistan; [Doos, Kristofer] Stockholm Univ, Bolin Ctr Climate Res, Dept Meteorol, Stockholm, Sweden; [Drake, Henri F.] Princeton Univ, Dept Atmospher &amp; Ocean Sci, Princeton, NJ 08544 USA; [Drake, Henri F.] MIT, Cambridge, MA 02139 USA; [Drake, Henri F.] Woods Hole Oceanog Inst, Joint Program Oceanog, Woods Hole, MA 02543 USA; [Drijfhout, Sybren; Marsh, Robert] Univ Southampton, Southampton, Hants, England; [Kjellsson, Joakim] British Antarctic Survey, Cambridge, England; [Lange, Michael] Imperial Coll London, Dept Earth Sci &amp; Engn, London, England; [Kjellsson, Joakim; Zanna, Laure] Univ Oxford, Dept Phys, Oxford, England; [MacGilchrist, Graeme A.] Univ Oxford, Dept Earth Sci, Oxford, England; [Adame, C. Gabriela Mayorga; Polton, Jeff A.] Natl Oceanog Ctr, Liverpool, Merseyside, England; [Nencioli, Francesco] Plymouth Marine Lab, Remote Sensing Grp, Plymouth, Devon, England; [Thomas, Matthew D.] Yale Univ, Sch Geol &amp; Geophys, New Haven, CT 06520 USA; [Wang, Jinbo] CALTECH, Jet Prop Lab, Pasadena, CA 91125 USA; [Wolfram, Phillip J.] Los Alamos Natl Lab, Theoret Div Fluid Dynam &amp; Solid Mech, Climate Ocean &amp; Sea Ice Modeling, Los Alamos, NM USA; [Koszalka, Inga Monika] Christian Albrechts Univ Kiel, Kiel, Germany; [Zika, Jan D.] Univ New South Wales, Sch Math &amp; Stat, Sydney, NSW, Australia</t>
  </si>
  <si>
    <t>Imperial College London; Imperial College London; Utrecht University; National Oceanic Atmospheric Admin (NOAA) - USA; Columbia University; UHI Millennium Institute; Imperial College London; Helmholtz Association; GEOMAR Helmholtz Center for Ocean Research Kiel; Centre National de la Recherche Scientifique (CNRS); Ifremer; Institut de Recherche pour le Developpement (IRD); CNRS - National Institute for Earth Sciences &amp; Astronomy (INSU); Universite de Bretagne Occidentale; State University System of Florida; Florida State University; University of Miami; Universite Catholique Louvain; Universite Catholique Louvain; Delft University of Technology; Stockholm University; Princeton University; Massachusetts Institute of Technology (MIT); Woods Hole Oceanographic Institution; University of Southampton; UK Research &amp; Innovation (UKRI); Natural Environment Research Council (NERC); NERC British Antarctic Survey; Imperial College London; University of Oxford; University of Oxford; NERC National Oceanography Centre; Plymouth Marine Laboratory; Yale University; National Aeronautics &amp; Space Administration (NASA); NASA Jet Propulsion Laboratory (JPL); California Institute of Technology; United States Department of Energy (DOE); Los Alamos National Laboratory; University of Kiel; University of New South Wales Sydney</t>
  </si>
  <si>
    <t>van Sebille, E (corresponding author), Univ Utrecht, Inst Marine &amp; Atmospher Res, Utrecht, Netherlands.</t>
  </si>
  <si>
    <t>E.vanSebille@uu.nl</t>
  </si>
  <si>
    <t>Biastoch, Arne/B-5219-2014; Berloff, Pavel/T-2851-2019; Wang, Jinbo/H-1174-2015; Mayorga Adame, Claudia Gabriela/KCK-5667-2024; Zanna, Laure/L-3169-2019; Polton, Jeff/O-2289-2019; van Sebille, Erik/F-6781-2010; Drake, Henri/AAF-4602-2020; Lique, Camille/L-5543-2015; Kjellsson, Joakim/AAD-2684-2022; Rühs, Siren/N-4736-2015; Adams, Tom/KEJ-4597-2024; Griffies, Stephen Matthew/N-9144-2019; Zanna, Laure/HPG-1772-2023; Koszalka, Inga M/I-9993-2017; Deleersnijder, Eric/AAE-7020-2020; Blanke, Bruno/H-4280-2015</t>
  </si>
  <si>
    <t>Biastoch, Arne/0000-0003-3946-4390; Wang, Jinbo/0000-0001-5034-5566; Mayorga Adame, Claudia Gabriela/0000-0002-8707-9385; Zanna, Laure/0000-0002-8472-4828; Polton, Jeff/0000-0003-0131-5250; Drake, Henri/0000-0003-0135-0814; Lique, Camille/0000-0002-8357-4928; Kjellsson, Joakim/0000-0002-6405-5276; Rühs, Siren/0000-0001-5001-4994; Griffies, Stephen Matthew/0000-0002-3711-236X; Zanna, Laure/0000-0002-8472-4828; Chassignet, Eric/0000-0003-4710-7502; Cheng, Yu/0000-0002-9133-1125; Blanke, Bruno/0000-0002-1309-0952; Paris-Limouzy, Claire Beatrix/0000-0002-0637-1334; Koszalka, Inga Monika/0000-0002-9164-2054; McAdam, Ronan/0000-0003-0883-9014; Drijfhout, Sybren/0000-0001-5325-7350; Deleersnijder, Eric/0000-0003-0346-9667; Zika, Jan/0000-0003-3462-3559; Thomas, Matthew/0000-0002-4383-7893; Nencioli, Francesco/0000-0001-6107-2479</t>
  </si>
  <si>
    <t>EPSRC Institutional Sponsorship [EP/N50869X/1]; European Research Council (ERC) under the European Unions Horizon research and innovation programme [715386]; Energy Exascale Earth System Model (E3SM) project - U.S. Department of Energy, Office of Science, Office of Biological and Environmental Research; US Department of Energy [DE-SC0012457]; NERC [NE/R011567/1]; NERC National Capability funding through the Extended Ellett Line Programme; Cluster of Excellence 80 The Future Ocean within the framework of the Excellence Initiative by the Deutsche Forschungsgemeinschaft (DFG) on behalf of the German federal and state governments [CP1412]; NERC [bas0100033, pml010008, NE/I030259/1, NE/R011567/1, noc010010, NE/K013548/1, NE/G000212/1, NE/M013634/1, NE/L003325/1] Funding Source: UKRI; U.S. Department of Energy (DOE) [DE-SC0012457] Funding Source: U.S. Department of Energy (DOE); Engineering and Physical Sciences Research Council [EP/N50869X/1] Funding Source: researchfish; Natural Environment Research Council [bas0100033, NE/K013548/1, noc010010, NE/I030259/1, NE/M013634/1, NE/R011567/1, pml010008, NE/G000212/1, NE/L003325/1] Funding Source: researchfish</t>
  </si>
  <si>
    <t>EPSRC Institutional Sponsorship(UK Research &amp; Innovation (UKRI)Engineering &amp; Physical Sciences Research Council (EPSRC)); European Research Council (ERC) under the European Unions Horizon research and innovation programme(European Research Council (ERC)); Energy Exascale Earth System Model (E3SM) project - U.S. Department of Energy, Office of Science, Office of Biological and Environmental Research(United States Department of Energy (DOE)); US Department of Energy(United States Department of Energy (DOE)); NERC(UK Research &amp; Innovation (UKRI)Natural Environment Research Council (NERC)); NERC National Capability funding through the Extended Ellett Line Programme; Cluster of Excellence 80 The Future Ocean within the framework of the Excellence Initiative by the Deutsche Forschungsgemeinschaft (DFG) on behalf of the German federal and state governments; NERC(UK Research &amp; Innovation (UKRI)Natural Environment Research Council (NERC)); U.S. Department of Energy (DOE)(United States Department of Energy (DOE)); Engineering and Physical Sciences Research Council(UK Research &amp; Innovation (UKRI)Engineering &amp; Physical Sciences Research Council (EPSRC)); Natural Environment Research Council(UK Research &amp; Innovation (UKRI)Natural Environment Research Council (NERC))</t>
  </si>
  <si>
    <t>This review paper is the result of very fruitful discussions during the Future of Lagrangian Ocean Modelling workshop, held at Imperial College London, UK, in September 2015. Funding for this workshop was provided through an EPSRC Institutional Sponsorship grant to EvS under reference number EP/N50869X/1. EvS has received funding from the European Research Council (ERC) under the European Unions Horizon 2020 research and innovation programme (grant agreement No 715386). This research for PJW was supported as part of the Energy Exascale Earth System Model (E3SM) project, funded by the U.S. Department of Energy, Office of Science, Office of Biological and Environmental Research. Funding for HFD was provided by Grant No. DE-SC0012457 from the US Department of Energy. PB acknowledges support for this work from NERC grant NE/R011567/1. SFG is supported by NERC National Capability funding through the Extended Ellett Line Programme. ED is an honorary Research Associate with the Belgian Fund for Scientific Research (F.R.S.-FNRS). SR was funded (Grant CP1412) by the Cluster of Excellence 80 The Future Ocean within the framework of the Excellence Initiative by the Deutsche Forschungsgemeinschaft (DFG) on behalf of the German federal and state governments. We thank Sergey Danilov (editor), Andrew Shao, Francois Primeau, Nathaniel Tarshish, and five anonymous reviewers for very helpful comments.</t>
  </si>
  <si>
    <t>1463-5003</t>
  </si>
  <si>
    <t>1463-5011</t>
  </si>
  <si>
    <t>OCEAN MODEL</t>
  </si>
  <si>
    <t>Ocean Model.</t>
  </si>
  <si>
    <t>10.1016/j.ocemod.2017.11.008</t>
  </si>
  <si>
    <t>FQ4IO</t>
  </si>
  <si>
    <t>WOS:000418321100004</t>
  </si>
  <si>
    <t>Merino, N; Jourdain, NC; Le Sommer, J; Goosse, H; Mathiot, P; Durand, G</t>
  </si>
  <si>
    <t>Merino, Nacho; Jourdain, Nicolas C.; Le Sommer, Julien; Goosse, Hugues; Mathiot, Pierre; Durand, Gael</t>
  </si>
  <si>
    <t>Impact of increasing antarctic glacial freshwater release on regional sea-ice cover in the Southern Ocean</t>
  </si>
  <si>
    <t>Southern ocean; Sea ice; Glacial freshwater</t>
  </si>
  <si>
    <t>MELTING ICE; PINE ISLAND; MASS-LOSS; TRENDS; SHELF; CIRCULATION; AMUNDSEN; DRIVEN; MODEL; VARIABILITY</t>
  </si>
  <si>
    <t>The sensitivity of Antarctic sea-ice to increasing glacial freshwater release into the Southern Ocean is studied in a series of 31-year ocean/sea-ice/iceberg model simulations. Glaciological estimates of ice-shelf melting and iceberg calving are used to better constrain the spatial distribution and magnitude of freshwater forcing around Antarctica. Two scenarios of glacial freshwater forcing have been designed to account for a decadal perturbation in glacial freshwater release to the Southern Ocean. For the first time, this perturbation explicitly takes into consideration the spatial distribution of changes in the volume of Antarctic ice shelves, which is found to be a key component of changes in freshwater release. In addition, glacial freshwater-induced changes in sea ice are compared to typical changes induced by the decadal evolution of atmospheric states. Our results show that, in general, the increase in glacial freshwater release increases Antarctic sea ice extent. But the response is opposite in some regions like the coastal Amundsen Sea, implying that distinct physical mechanisms are involved in the response. We also show that changes in freshwater forcing may induce large changes in sea-ice thickness, explaining about one half of the total change due to the combination of atmospheric and freshwater changes. The regional contrasts in our results suggest a need for improving the representation of freshwater sources and their evolution in climate models.</t>
  </si>
  <si>
    <t>[Merino, Nacho; Jourdain, Nicolas C.; Le Sommer, Julien; Durand, Gael] Univ Grenoble Alpes, CNRS IRD G INP, IGE, Grenoble, France; [Goosse, Hugues] Catholic Univ Louvain, Louvain La Neuve, Belgium; [Mathiot, Pierre] Met Off, Exeter, Devon, England</t>
  </si>
  <si>
    <t>Communaute Universite Grenoble Alpes; Universite Grenoble Alpes (UGA); Universite Catholique Louvain; Met Office - UK</t>
  </si>
  <si>
    <t>Jourdain, NC (corresponding author), Univ Grenoble Alpes, CNRS IRD G INP, IGE, Grenoble, France.</t>
  </si>
  <si>
    <t>nicolas.jourdain@univ-grenoble-alpes.fr</t>
  </si>
  <si>
    <t>Le Sommer, Julien/ABG-8801-2021; Jourdain, Nicolas/B-6899-2015</t>
  </si>
  <si>
    <t>Le Sommer, Julien/0000-0002-6882-2938; Mathiot, Pierre/0000-0002-2001-0762; Durand, Gael/0000-0001-8979-2355; Jourdain, Nicolas/0000-0002-1372-2235</t>
  </si>
  <si>
    <t>French National Research Agency (ANR) under the SUMER (Blanc SIMI 6) [ANR-12-BS06-0018]; TROIS-AS project [ANR-15-CE01-0005-01]; Agence Nationale de la Recherche (ANR) [ANR-12-BS06-0018] Funding Source: Agence Nationale de la Recherche (ANR)</t>
  </si>
  <si>
    <t>French National Research Agency (ANR) under the SUMER (Blanc SIMI 6)(Agence Nationale de la Recherche (ANR)); TROIS-AS project; Agence Nationale de la Recherche (ANR)(Agence Nationale de la Recherche (ANR))</t>
  </si>
  <si>
    <t>We would like to thank Jean Marc Molines for his invaluable help with model configuration. The study was partially funded by the French National Research Agency (ANR) under the SUMER (Blanc SIMI 6) 2012 project (ANR-12-BS06-0018), and the TROIS-AS project (ANR-15-CE01-0005-01). NM, JLS, GD, and NJ are part of Labex OSUG@2020 (ANR10 LABX56). NJ is an Associate Investigator of the ARC Centre of Excellence for Climate System Science. Numerical simulations were performed on IDRIS supercomputers (Saclay, France). We thank three anonymous reviewers and Editor Stephen Griffies for their useful comments and suggestions.</t>
  </si>
  <si>
    <t>10.1016/j.ocemod.2017.11.009</t>
  </si>
  <si>
    <t>WOS:000418321100005</t>
  </si>
  <si>
    <t>Biastoch, A; Sein, D; Durgadoo, JV; Wang, Q; Danilov, S</t>
  </si>
  <si>
    <t>Biastoch, Arne; Sein, Dmitry; Durgadoo, Jonathan V.; Wang, Qiang; Danilov, Sergey</t>
  </si>
  <si>
    <t>Simulating the Agulhas system in global ocean models - nesting vs. multi-resolution unstructured meshes</t>
  </si>
  <si>
    <t>Unstructured grid; Nesting; Global ocean models; Mesoscale eddies; Agulhas current</t>
  </si>
  <si>
    <t>MERIDIONAL OVERTURNING CIRCULATION; ANTARCTIC CIRCUMPOLAR CURRENT; TROPICAL ATLANTIC-OCEAN; FINITE-VOLUME; LEAKAGE; TRANSPORT; VARIABILITY; UNDERCURRENT; HYDROGRAPHY; FORMULATION</t>
  </si>
  <si>
    <t>Many questions in ocean and climate modelling require the combined use of high resolution, global coverage and multi-decadal integration length. For this combination, even modern resources limit the use of traditional structured-mesh grids. Here we compare two approaches: A high-resolution grid nested into a global model at coarser resolution (NEMO with AGRIF) and an unstructured-mesh grid (FESOM) which allows to variably enhance resolution where desired. The Agulhas system around South Africa is used as a testcase, providing an energetic interplay of a strong western boundary current and mesoscale dynamics. Its open setting into the horizontal and global overturning circulations also requires global coverage. Both model configurations simulate a reasonable large-scale circulation. Distribution and temporal variability of the wind-driven circulation are quite comparable due to the same atmospheric forcing. However, the overturning circulation differs, owing each model's ability to represent formation and spreading of deep water masses. In terms of regional, high-resolution dynamics, all elements of the Agulhas system are well represented. Owing to the strong nonlinearity in the system, Agulhas Current transports of both configurations and in comparison with observations differ in strength and temporal variability. Similar decadal trends in Agulhas Current transport and Agulhas leakage are linked to the trends in wind forcing. Although the number of 3D wet grid points used in FESOM is similar to that in the nested NEMO, FESOM uses about two times the number of CPUs to obtain the same model throughput (in terms of simulated model years per day). This is feasible due to the high scalability of the FESOM code.</t>
  </si>
  <si>
    <t>[Biastoch, Arne; Durgadoo, Jonathan V.] Helmholtz Zentrum Ozeanforsch Kiel, Kiel, Germany; [Sein, Dmitry; Wang, Qiang; Danilov, Sergey] Helmholtz Zentrum Polar &amp; Meeresforsch AWI, Alfred Wegener Inst, Bremerhaven, Germany</t>
  </si>
  <si>
    <t>Helmholtz Association; GEOMAR Helmholtz Center for Ocean Research Kiel; Helmholtz Association; Alfred Wegener Institute, Helmholtz Centre for Polar &amp; Marine Research</t>
  </si>
  <si>
    <t>Biastoch, A (corresponding author), Helmholtz Zentrum Ozeanforsch Kiel, Kiel, Germany.</t>
  </si>
  <si>
    <t>abiastoch@geomar.de</t>
  </si>
  <si>
    <t>Sein, Dmitry/P-6419-2018; Sein, Dmitry/AAI-1352-2021; Biastoch, Arne/B-5219-2014; Sein, Dmitry V/GLS-0252-2022; Danilov, Sergey/S-6184-2016</t>
  </si>
  <si>
    <t>Sein, Dmitry/0000-0002-1190-3622; Sein, Dmitry/0000-0002-1190-3622; Biastoch, Arne/0000-0003-3946-4390; Danilov, Sergey/0000-0001-8098-182X; Wang, Qiang/0000-0002-2704-5394; Durgadoo, Jonathan/0000-0001-6297-5178</t>
  </si>
  <si>
    <t>German Federal Ministry of Education and Research (BMBF) under the project SPACES-AGULHAS [03G0835A/B, 03F0750A/B]; Helmholtz Association [IV014/GH018]; Natural Environment Research Council</t>
  </si>
  <si>
    <t>German Federal Ministry of Education and Research (BMBF) under the project SPACES-AGULHAS(Federal Ministry of Education &amp; Research (BMBF)); Helmholtz Association(Helmholtz Association); Natural Environment Research Council(UK Research &amp; Innovation (UKRI)Natural Environment Research Council (NERC))</t>
  </si>
  <si>
    <t>This work received funding from German Federal Ministry of Education and Research (BMBF) under the research grants 03G0835A/B and 03F0750A/B of the project SPACES-AGULHAS and the Helmholtz Association (J.V.D., grant IV014/GH018). Model experiments were performed at the North-German Supercomputing Alliance (HLRN) and at the High-Performance Center Stuttgart (HLRS). We acknowledge the availability of observational and proxy data from the ACT array (http://act.rsmas.miami.edu) and from the RAPID-WATCH MOC monitoring project funded by the Natural Environment Research Council (http://www.rapid.ac.uk/rapidmoc). The altimeter products were produced by Ssalto/Duacs and distributed by Aviso, with support from Cnes (http://www.aviso.altimetry.fr/duacs). Data and visualization scripts to reproduce the figures are available at http://data.geomar.de. Jan Harla beta provided runtime numbers for the actual code version of NEMO. We thank Lisa Beal and Shane Elipot for comments on an earlier version of the manuscript. We thank Bjorn Backeberg and an anonymous reviewer for constructive comments in the review process</t>
  </si>
  <si>
    <t>10.1016/j.ocemod.2017.12.002</t>
  </si>
  <si>
    <t>WOS:000418321100008</t>
  </si>
  <si>
    <t>McQuaid, CD</t>
  </si>
  <si>
    <t>Hawkins, SJ; Evans, AJ; Dale, AC; Firth, LB; Smith, IP; Hughes, DJ</t>
  </si>
  <si>
    <t>McQuaid, Christopher D.</t>
  </si>
  <si>
    <t>IMPLICATIONS OF LONG-TERM CLIMATE CHANGE FOR BIOGEOGRAPHY AND ECOLOGICAL PROCESSES IN THE SOUTHERN OCEAN</t>
  </si>
  <si>
    <t>OCEANOGRAPHY AND MARINE BIOLOGY: AN ANNUAL REVIEW, VOL 56</t>
  </si>
  <si>
    <t>Oceanography and Marine Biology</t>
  </si>
  <si>
    <t>KRILL EUPHAUSIA-SUPERBA; PRINCE-EDWARD-ISLANDS; ANTARCTIC SEA-ICE; POLAR FRONTAL ZONE; SHRIMP NAUTICARIS-MARIONIS; MERIDIONAL OVERTURNING CIRCULATION; PHYTOPLANKTON COMMUNITY STRUCTURE; PARTICULATE ORGANIC-MATTER; ZOOPLANKTON FECAL PELLETS; SQUID MOROTEUTHIS-INGENS</t>
  </si>
  <si>
    <t>Understanding the long-term consequences of climate change for Southern Ocean ecosystems is important because this is one of the last remaining wildernesses on the planet and because the Southern Ocean is a major driver of global climate. The Southern Ocean is roughly the size of Africa and experiences exceptional seasonality. Its many habitats include the permanently open ocean, sea ice, frontal systems and neritic waters, and different zonal (east-west) and meridional (north-south) regions are on different trajectories in terms of climate, sea ice cover and biological populations. The Western Antarctic Peninsula has experienced substantial warming, loss of sea ice and declining Adelie penguin populations, while eastern Antarctica has cooled, shown increased ice cover and increasing numbers of Adelies. In the ocean itself, warming seems to be concentrated north of the Antarctic Circumpolar Current and at depth rather than in surface waters. Densities of Antarctic krill are correlated with ice cover in the previous winter and in the south-west Atlantic have decreased over the last century while salps have shown increasing numbers south of the Antarctic Circumpolar Current. Even in this example, the mechanisms involved are uncertain, making predictions difficult. The historic loss of an enormous biomass of consumers through fisheries, led to top- down ecological effects including competitive release among predators. These pelagic food webs are, however, strongly physically forced, making them particularly vulnerable to changes in environmental conditions. The size and species composition of the primary producers affect food chain length and the efficiency of the biological pump. Critically, the primary producer community is profoundly shaped by factors influencing the availability of light (e.g. season, ice melt and water column stability), micro and macronutrients. Changes in these will have deeply important bottom-up effects, and this brings us to defining biogeography. In these pelagic systems, biogeographic provinces are defined by the frontal systems that delineate sharp discontinuities in conditions in the water column and the taxa that dominate primary production. Because these are not geographically fixed, changes in biogeography in this context describe the expansion, contraction or simple displacement of biomes. The associated food webs revolve around a small number of key species that differ among habitats and biomes. They are not simple, exhibit considerable flexibility and include a number of taxa, particularly the cephalopods, that are difficult to sample and remain poorly studied. A major difficulty in understanding how climate change is likely to manifest is the brevity of relevant datasets. We have few physical or biological benchmarks to use in separating short-term noise from long-term signal. As a physical example, Southern Ocean fronts can exhibit short-term meridional shifts of &gt;100 km in a matter of weeks. Biologically, regional differences in trajectories of Adelie penguin numbers need to be viewed against the background of substantial variability over the last 45,000 years. Except for ice or sediment cores, such data are available for few variables or species. In addition, research efforts are geographically unbalanced for logistic reasons. Remote sensing and the Argo float programme reduce this problem by increasing spatial coverage enormously for some variables, but not others, and even then offer relatively new time series. Important variables that are undergoing, or will undergo, change include: sea ice cover (essentially habitat loss), sea temperatures, wind and mixing regimes, the positions of fronts, ultraviolet levels and ocean pH. Many of these will have interacting effects, and the areas likely to be exposed to multiple environmental changes far exceed those already experiencing important changes. Species are potentially vulnerable to stressors at all ontogenetic stages and in many cases sublethal effects (e.g. on reproductive success) are likely to affect population dynamics before stressors reach lethal levels. Likely, and complicated, will be possible changes to the microbial plankton, including increased microbe deposition by aeolian dust and greater susceptibility of potential hosts to viral infection because of other stresses. All these stressors can have direct and interacting effects as well as indirect effects. For example, meridional shifts in frontal positions will alter the foraging ranges of top predators that are land-based during the breeding season. The ecosystem-level consequences will depend on individual species reactions, including the rates at which they can respond and stressors to which they respond, with the potential disruption of species interactions through different phenological responses. Perhaps the key characteristic of predictions for the effects of climate change on the Southern Ocean lies in an even greater degree of uncertainty than the norm.</t>
  </si>
  <si>
    <t>[McQuaid, Christopher D.] Rhodes Univ, Dept Zool &amp; Entomol, ZA-6140 Grahamstown, South Africa</t>
  </si>
  <si>
    <t>Rhodes University</t>
  </si>
  <si>
    <t>McQuaid, CD (corresponding author), Rhodes Univ, Dept Zool &amp; Entomol, ZA-6140 Grahamstown, South Africa.</t>
  </si>
  <si>
    <t>c.mcquaid@ru.ac.za</t>
  </si>
  <si>
    <t>McQuaid, Christopher/AAT-3725-2020</t>
  </si>
  <si>
    <t>McQuaid, Christopher/0000-0002-3473-8308</t>
  </si>
  <si>
    <t>South African Research Chairs Initiative of the Department of Science and Technology; National Research Foundation; Oppenheimer Memorial Trust Fund</t>
  </si>
  <si>
    <t>This work is based on research supported by the South African Research Chairs Initiative of the Department of Science and Technology and the National Research Foundation. I am extremely grateful to the Oppenheimer Memorial Trust Fund for the generous financial support that made the completion of this manuscript possible. It is a pleasure to thank the members of the Paterson lab at the University of St Andrews for their good-humoured patience and forbearing while hosting me during the writing. Lastly, I thank all the past and present members of the Southern Ocean Group at Rhodes University who taught me so much.</t>
  </si>
  <si>
    <t>0078-3218</t>
  </si>
  <si>
    <t>978-0-429-45445-5; 978-1-138-31862-5</t>
  </si>
  <si>
    <t>OCEANOGR MAR BIOL</t>
  </si>
  <si>
    <t>Oceanogr. Mar. Biol.</t>
  </si>
  <si>
    <t>10.1201/9780429454455</t>
  </si>
  <si>
    <t>BP0JS</t>
  </si>
  <si>
    <t>WOS:000535123400002</t>
  </si>
  <si>
    <t>Peck, LS</t>
  </si>
  <si>
    <t>Peck, Lloyd S.</t>
  </si>
  <si>
    <t>ANTARCTIC MARINE BIODIVERSITY: ADAPTATIONS, ENVIRONMENTS AND RESPONSES TO CHANGE</t>
  </si>
  <si>
    <t>BRACHIOPOD LIOTHYRELLA-UVA; METABOLIC COLD ADAPTATION; HEAT-SHOCK RESPONSE; NACELLA-CONCINNA STREBEL; KING-GEORGE ISLAND; TEMPERATURE-DEPENDENT BIOGEOGRAPHY; NEMERTEAN PARBORLASIA-CORRUGATUS; TOOTHFISH DISSOSTICHUS-MAWSONI; ELEVATED SEAWATER TEMPERATURE; BIVALVE LATERNULA-ELLIPTICA</t>
  </si>
  <si>
    <t>Animals living in the Southern Ocean have evolved in a singular environment. It shares many of its attributes with the high Arctic, namely low, stable temperatures, the pervading effect of ice in its many forms and extreme seasonality of light and phytobiont productivity. Antarctica is, however, the most isolated continent on Earth and is the only one that lacks a continental shelf connection with another continent. This isolation, along with the many millions of years that these conditions have existed, has produced a fauna that is both diverse, with around 17,000 marine invertebrate species living there, and has the highest proportions of endemic species of any continent. The reasons for this are discussed. The isolation, history and unusual environmental conditions have resulted in the fauna producing a range and scale of adaptations to low temperature and seasonality that are unique. The best known such adaptations include channichthyid icefish that lack haemoglobin and transport oxygen around their bodies only in solution, or the absence, in some species, of what was only 20 years ago termed the universal heat shock response. Other adaptations include large size in some groups, a tendency to produce larger eggs than species at lower latitudes and very long gametogenic cycles, with egg development (vitellogenesis) taking 18-24 months in some species. The rates at which some cellular and physiological processes are conducted appear adapted to, or at least partially compensated for, low temperature such as microtubule assembly in cells, whereas other processes such as locomotion and metabolic rate are not compensated, and whole-animal growth, embryonic development, and limb regeneration in echinoderms proceed at rates even slower than would be predicted by the normal rules governing the effect of temperature on biological processes. This review describes the current state of knowledge on the biodiversity of the Southern Ocean fauna and on the majority of known ecophysiological adaptations of cold-blooded marine species to Antarctic conditions. It further evaluates the impacts these adaptations have on capacities to resist, or respond to change in the environment, where resistance to raised temperatures seems poor, whereas exposure to acidified conditions to end-century levels has comparatively little impact.</t>
  </si>
  <si>
    <t>[Peck, Lloyd S.] British Antarctic Survey, Madingley Rd, Cambridge CB3 0ET, England</t>
  </si>
  <si>
    <t>Peck, LS (corresponding author), British Antarctic Survey, Madingley Rd, Cambridge CB3 0ET, England.</t>
  </si>
  <si>
    <t>l.peck@bas.ac.uk</t>
  </si>
  <si>
    <t>WOS:000535123400004</t>
  </si>
  <si>
    <t>Keesing, JK; Gartner, A; Westera, M; Edgar, GJ; Myers, J; Hardman-Mountford, NJ; Bailey, M</t>
  </si>
  <si>
    <t>Keesing, John K.; Gartner, Adam; Westera, Mark; Edgar, Graham J.; Myers, Joanne; Hardman-Mountford, Nick J.; Bailey, Mark</t>
  </si>
  <si>
    <t>IMPACTS AND ENVIRONMENTAL RISKS OF OIL SPILLS ON MARINE INVERTEBRATES, ALGAE AND SEAGRASS: A GLOBAL REVIEW FROM AN AUSTRALIAN PERSPECTIVE</t>
  </si>
  <si>
    <t>AMOCO-CADIZ OIL; WATER-ACCOMMODATED FRACTION; POLYCYCLIC AROMATIC-HYDROCARBONS; PENGUINS EUDYPTULA-MINOR; NEMATODE COPEPOD RATIO; NATURAL-GAS CONDENSATE; DISPERSED CRUDE-OIL; SHORT-TERM EXPOSURE; 2 FUEL-OIL; LONG-TERM</t>
  </si>
  <si>
    <t>Marine invertebrates and macrophytes are sensitive to the toxic effects of oil. Depending on the intensity, duration and circumstances of the exposure, they can suffer high levels of initial mortality together with prolonged sublethal effects that can act at individual, population and community levels. Under some circumstances, recovery from these impacts can take years to decades. However, effects are variable because some taxa are less sensitive than others, and many factors can mitigate the degree of exposure, meaning that impacts are moderate in many cases, and recovery occurs within a few years. Exposure is affected by a myriad of factors including: type and amount of oil, extent of weathering, persistence of exposure, application of dispersants or other clean-up measures, habitat type, temperature and depth, species present and their stage of development or maturity, and processes of recolonisation, particularly recruitment. Almost every oil spill is unique in terms of its impact because of differing levels of exposure and the type of habitats, communities and species assemblages in the receiving environment. Between 1970 and February 2017, there were 51 significant oil spills in Australia. Five occurred offshore with negligible likely or expected impacts. Of the others, only 24 of the spills were studied in detail, while 19 had only cursory or no assessment despite the potential for oil spills to impact the marine environment. The majority were limited to temperate waters, although 10 of the 14 spills since 2000 were in tropical coastal or offshore areas, seven were in north Queensland in areas close to the Great Barrier Reef. All four spills that have occurred from offshore petroleum industry infrastructure have occurred since 2009. In Australia, as elsewhere, a prespill need exists to assess the risk of a spill, establish environmental baselines, determine the likely exposure of the receiving environment, and test the toxicity of the oil against key animal and plant species in the area of potential impact. Subsequent to any spill, the baseline provides a reference for targeted impact monitoring.</t>
  </si>
  <si>
    <t>[Keesing, John K.; Myers, Joanne; Hardman-Mountford, Nick J.] Indian Ocean Marine Res Ctr, CSIRO Oceans &amp; Atmosphere, M097,35 Stirling Highway, Crawley 6009, Australia; [Keesing, John K.; Hardman-Mountford, Nick J.] Univ Western Australia, Oceans Inst, Indian Ocean Marine Res Ctr, M097,35 Stirling Highway, Crawley 6009, Australia; [Gartner, Adam; Westera, Mark; Bailey, Mark] BMT Pty Ltd, POB 462, Wembley, WA 6913, Australia; [Edgar, Graham J.] Aquenal Pty Ltd, 244 Summerleas Rd, Kingston, Tas 7050, Australia; [Edgar, Graham J.] Univ Tasmania, Inst Marine &amp; Antarctic Studies, Private Bag 49, Hobart, Tas 7001, Australia</t>
  </si>
  <si>
    <t>Commonwealth Scientific &amp; Industrial Research Organisation (CSIRO); University of Western Australia; University of Western Australia; University of Tasmania</t>
  </si>
  <si>
    <t>Keesing, JK (corresponding author), Indian Ocean Marine Res Ctr, CSIRO Oceans &amp; Atmosphere, M097,35 Stirling Highway, Crawley 6009, Australia.;Keesing, JK (corresponding author), Univ Western Australia, Oceans Inst, Indian Ocean Marine Res Ctr, M097,35 Stirling Highway, Crawley 6009, Australia.</t>
  </si>
  <si>
    <t>john.keesing@csiro.au</t>
  </si>
  <si>
    <t>Edgar, Graham/AAY-3797-2020; Keesing, John/B-1955-2009</t>
  </si>
  <si>
    <t>Edgar, Graham/0000-0003-0833-9001; Keesing, John/0000-0002-0876-2144</t>
  </si>
  <si>
    <t>WOS:000535123400006</t>
  </si>
  <si>
    <t>Geyle, HM; Woinarski, JCZ; Baker, GB; Dickman, CR; Dutson, G; Fisher, DO; Ford, H; Holdsworth, M; Jones, ME; Kutt, A; Legge, S; Leiper, I; Loyn, R; Murphy, BP; Menkhorst, P; Reside, AE; Ritchie, EG; Roberts, FE; Tingley, R; Garnett, ST</t>
  </si>
  <si>
    <t>Geyle, Hayley M.; Woinarski, John C. Z.; Baker, G. Barry; Dickman, Chris R.; Dutson, Guy; Fisher, Diana O.; Ford, Hugh; Holdsworth, Mark; Jones, Menna E.; Kutt, Alex; Legge, Sarah; Leiper, Ian; Loyn, Richard; Murphy, Brett P.; Menkhorst, Peter; Reside, April E.; Ritchie, Euan G.; Roberts, Finley E.; Tingley, Reid; Garnett, Stephen T.</t>
  </si>
  <si>
    <t>Quantifying extinction risk and forecasting the number of impending Australian bird and mammal extinctions</t>
  </si>
  <si>
    <t>PACIFIC CONSERVATION BIOLOGY</t>
  </si>
  <si>
    <t>Anthropocene mass extinction crisis; biodiversity conservation; threatened species</t>
  </si>
  <si>
    <t>EXPERT KNOWLEDGE; ELICITATION; DECISION; RANGE; ABUSE</t>
  </si>
  <si>
    <t>A critical step towards reducing the incidence of extinction is to identify and rank the species at highest risk, while implementing protective measures to reduce the risk of extinction to such species. Existing global processes provide a graded categorisation of extinction risk. Here we seek to extend and complement those processes to focus more narrowly on the likelihood of extinction of the most imperilled Australian birds and mammals. We considered an extension of existing IUCN and NatureServe criteria, and used expert elicitation to rank the extinction risk to the most imperilled species, assuming current management. On the basis of these assessments, and using two additional approaches, we estimated the number of extinctions likely to occur in the next 20 years. The estimates of extinction risk derived from our tighter IUCN categorisations, NatureServe assessments and expert elicitation were poorly correlated, with little agreement among methods for which species were most in danger - highlighting the importance of integrating multiple approaches when considering extinction risk. Mapped distributions of the 20 most imperilled birds reveal that most are endemic to islands or occur in southern Australia. The 20 most imperilled mammals occur mostly in northern and central Australia. While there were some differences in the forecasted number of extinctions in the next 20 years among methods, all three approaches predict further species loss. Overall, we estimate that another seven Australian mammals and 10 Australian birds will be extinct by 2038 unless management improves.</t>
  </si>
  <si>
    <t>[Geyle, Hayley M.; Woinarski, John C. Z.; Legge, Sarah; Leiper, Ian; Murphy, Brett P.; Garnett, Stephen T.] Charles Darwin Univ, Threatened Species Recovery Hub, Res Inst Environm &amp; Livelihoods, Natl Environm Sci Program, Casuarina, NT 0909, Australia; [Baker, G. Barry] Univ Tasmania, Inst Marine &amp; Antarctic Studies, Hobart, Tas 7005, Australia; [Dickman, Chris R.] Univ Sydney, Threatened Species Recovery Hub, Natl Environm Sci Program, Desert Ecol Res Grp,Sch Life &amp; Environm Sci A08, Sydney, NSW 2006, Australia; [Dutson, Guy] Yellow Gum Drive, Ocean Grove, Vic 3226, Australia; [Fisher, Diana O.] Univ Queensland, Sch Biol Sci, St Lucia, Qld 4072, Australia; [Ford, Hugh] Univ New England, Sch Environm &amp; Rural Sci, Armidale, NSW 2351, Australia; [Holdsworth, Mark] Forest Hill Wildlife Consultants, Sandford, Tas 7020, Australia; [Jones, Menna E.] Univ Tasmania, Sch Nat Resources Biol Sci, Hobart, Tas 7005, Australia; [Kutt, Alex] Univ Melbourne, Sch BioSci, Parkville, Vic 3010, Australia; [Kutt, Alex] Univ Queensland, Sch Earth &amp; Environm Sci, Green Fire Sci, St Lucia, Qld 4072, Australia; [Kutt, Alex] Bush Heritage Australia, Melbourne, Vic 3000, Australia; [Legge, Sarah; Reside, April E.] Univ Queensland, Ctr Biodivers &amp; Conservat Sci, Natl Environm Sci Program, Threatened Species Recovery Hub, St Lucia, Qld 4072, Australia; [Loyn, Richard] La Trobe Univ, Murray Darling Freshwater Res Ctr, Sch Life Sci, Wodonga, Vic 3690, Australia; [Loyn, Richard] Charles Sturt Univ, Inst Land Water &amp; Soc, Albury, NSW 2640, Australia; [Loyn, Richard] Eco Insights, Beechworth, Vic 3747, Australia; [Menkhorst, Peter] Arthur Rylah Inst Environm Res, Dept Environm Land Water &amp; Planning, Heidelberg, Vic 3084, Australia; [Ritchie, Euan G.] Deakin Univ, Ctr Integrat Ecol, Sch Life &amp; Environm Sci, Burwood, Vic 3125, Australia; [Roberts, Finley E.] Dept Environm Land Water &amp; Planning, Forest Fire &amp; Reg, East Melbourne, Vic 3002, Australia; [Tingley, Reid] Univ Melbourne, Sch BioSci, Quantitat &amp; Appl Ecol Grp, Parkville, Vic 3010, Australia</t>
  </si>
  <si>
    <t>Charles Darwin University; University of Tasmania; University of Sydney; University of Queensland; University of New England; University of Tasmania; University of Melbourne; University of Queensland; Bush Heritage Australia; University of Queensland; La Trobe University; Murray Darling Basin Authority; Charles Sturt University; Arthur Rylah Institute for Environmental Research (ARI); Deakin University; University of Melbourne</t>
  </si>
  <si>
    <t>Geyle, HM (corresponding author), Charles Darwin Univ, Threatened Species Recovery Hub, Res Inst Environm &amp; Livelihoods, Natl Environm Sci Program, Casuarina, NT 0909, Australia.</t>
  </si>
  <si>
    <t>hayley.geyle@cdu.edu.au</t>
  </si>
  <si>
    <t>Menkhorst, Peter/R-1050-2019; Garnett, Stephen T/M-3877-2013; Jones, Menna E/J-7975-2012; Legge, Sarah/AAB-7229-2019; Reside, April/H-4940-2011; Kutt, Alex S/B-2020-2008; Woinarski, John C.Z./N-2262-2013; Dickman, Christopher/Q-4662-2019; Geyle, Hayley/W-8517-2019; Fisher, Diana O/C-1324-2010; Murphy, Brett/A-3991-2011; Ritchie, Euan/N-1088-2014</t>
  </si>
  <si>
    <t>Menkhorst, Peter/0000-0003-1055-4923; Legge, Sarah/0000-0001-6968-2781; Reside, April/0000-0002-0760-9527; Dickman, Christopher/0000-0002-1067-3730; Geyle, Hayley/0000-0001-9282-8953; Kutt, Alex/0000-0001-9679-2206; Baker, G. Barry/0000-0003-4766-8182; Murphy, Brett/0000-0002-8230-3069; Ritchie, Euan/0000-0003-4410-8868; Jones, Menna/0000-0001-7558-9022; Tingley, Reid/0000-0002-7630-7434; Leiper, Ian/0000-0001-6491-9145</t>
  </si>
  <si>
    <t>Australian Government's National Environmental Science Program (Threatened Species Recovery Hub)</t>
  </si>
  <si>
    <t>Australian Government's National Environmental Science Program (Threatened Species Recovery Hub)(Australian Government)</t>
  </si>
  <si>
    <t>We are most grateful to the following experts who contributed to the expert elicitation process: Andrew Burbidge, Graham Carpenter, Peter Copley, Alaric Fisher, Chris Johnson, Penny Olsen, Chris Pavey and David Watson. This paper was also improved based on comments from Tracey Regan. The preparation of this paper, including data collation and analysis was supported by the Australian Government's National Environmental Science Program (Threatened Species Recovery Hub).</t>
  </si>
  <si>
    <t>1038-2097</t>
  </si>
  <si>
    <t>2204-4604</t>
  </si>
  <si>
    <t>PAC CONSERV BIOL</t>
  </si>
  <si>
    <t>Pac. Conserv. Biol.</t>
  </si>
  <si>
    <t>10.1071/PC18006</t>
  </si>
  <si>
    <t>VL7OT</t>
  </si>
  <si>
    <t>Green Published, Green Submitted, Green Accepted, hybrid</t>
  </si>
  <si>
    <t>WOS:000909192500007</t>
  </si>
  <si>
    <t>Waples, K; Raudino, H</t>
  </si>
  <si>
    <t>Waples, Kelly; Raudino, Holly</t>
  </si>
  <si>
    <t>Setting a course for marine mammal research in Western Australia</t>
  </si>
  <si>
    <t>conservation tools; human impact; information needs; mammals; marine conservation; natural; resource management; research priorities; wildlife management</t>
  </si>
  <si>
    <t>Given limited funding and increasing pressures on our natural resources it is becoming ever more critical that science be directed at improving our understanding and management of priority issues. This relies on dialogue and alignment between researchers and managers to ensure that appropriate questions are asked and the answers incorporated in robust and transparent decision-making processes which should include relevant evidence-based science. We used a prioritisation framework as a tool to bring managers and scientists together to discuss and agree on current priorities for research on marine mammals in Western Australia, including posing relevant questions. Eight species were identified as high priorities for fundamental research, including three dolphin species (Australian humpback, snubfin and common dolphin), three baleen whale species (Antarctic and pygmy blue and dwarf minke whale), the Australian sea lion and the dugong. The pressures we evaluated resulted in a priority need for research to better understand and mitigate impacts across a range of species, including noise pollution from shipping and vessel activity, climate change and fishing by-catch. Scientists and managers agreed on a set of topics and associated research questions for the high-priority species that would best inform ongoing conservation and management of marine mammals in Western Australia and that would have broad applicability nationally and globally. We provide an example of how these priorities can be used to develop a research program with targeted funding. Overall, this process has demonstrated the value of bringing scientists and managers together with a tool that allows them to jointly determine priorities and research questions.</t>
  </si>
  <si>
    <t>[Waples, Kelly; Raudino, Holly] Dept Biodivers Conservat &amp; Attract, Marine Sci Program, Locked Bag 104, Bentley, WA 6983, Australia</t>
  </si>
  <si>
    <t>Waples, K (corresponding author), Dept Biodivers Conservat &amp; Attract, Marine Sci Program, Locked Bag 104, Bentley, WA 6983, Australia.</t>
  </si>
  <si>
    <t>kelly.waples@dbca.wa.gov.au</t>
  </si>
  <si>
    <t>Waples, Kelly/JXO-0148-2024</t>
  </si>
  <si>
    <t>Raudino, Holly/0000-0002-2661-6431</t>
  </si>
  <si>
    <t>10.1071/PC18014</t>
  </si>
  <si>
    <t>VL7OU</t>
  </si>
  <si>
    <t>WOS:000909201700014</t>
  </si>
  <si>
    <t>Domack, EW; Powell, R</t>
  </si>
  <si>
    <t>Domack, E. W.; Powell, R.</t>
  </si>
  <si>
    <t>MODERN GLACIOMARINE ENVIRONMENTS AND SEDIMENTS AN ANTARCTIC PERSPECTIVE</t>
  </si>
  <si>
    <t>GROUNDING-ZONE WEDGES; SEA-LEVEL RISE; SUBMARINE GLACIAL LANDFORMS; SUBGLACIAL LAKE WHILLANS; SHEET RETREAT DRIVEN; PINE ISLAND GLACIER; B ICE SHELF; EAST ANTARCTICA; ROSS SEA; WEST ANTARCTICA</t>
  </si>
  <si>
    <t>[Domack, E. W.] Univ S Florida, Tampa, FL 33620 USA; [Powell, R.] Northern Illinois Univ, De Kalb, IL 60115 USA</t>
  </si>
  <si>
    <t>State University System of Florida; University of South Florida; Northern Illinois University</t>
  </si>
  <si>
    <t>Domack, EW (corresponding author), Univ S Florida, Tampa, FL 33620 USA.</t>
  </si>
  <si>
    <t>10.1016/B978-0-08-100524-8.00030-0</t>
  </si>
  <si>
    <t>WOS:000462445500008</t>
  </si>
  <si>
    <t>Holloway, SM; Holloway, MD; Thomas, SJ</t>
  </si>
  <si>
    <t>Holloway, S. M.; Holloway, M. D.; Thomas, S. J.</t>
  </si>
  <si>
    <t>A method for acquiring random range uncertainty probability distributions in proton therapy</t>
  </si>
  <si>
    <t>PHYSICS IN MEDICINE AND BIOLOGY</t>
  </si>
  <si>
    <t>radiotherapy; proton beam therapy; IGRT; treatment planning; range uncertainty</t>
  </si>
  <si>
    <t>PROSTATE-CANCER; OPTIMIZATION; ROBUSTNESS; CT; SETUP; MARGINS; IMPT; IMRT; PLAN</t>
  </si>
  <si>
    <t>In treatment planning we depend upon accurate knowledge of geometric and range uncertainties. If the uncertainty model is inaccurate then the plan will produce under-dosing of the target and/or overdosing of OAR. We aim to provide a method for which centre and site-specific population range uncertainty due to inter-fraction motion can be quantified to improve the uncertainty model in proton treatment planning. Daily volumetric MVCT data from previously treated radiotherapy patients has been used to investigate inter-fraction changes to water equivalent path-length (WEPL). Daily image-guidance scans were carried out for each patient and corrected for changes in CTV position (using rigid transformations). An effective depth algorithm was used to determine residual range changes, after corrections had been applied, throughout the treatment by comparing WEPL within the CTV at each fraction for several beam angles. As a proof of principle this method was used to quantify uncertainties for inter-fraction range changes for a sample of head and neck patients of Sigma = 3.39 mm, sigma = 4.72 mm and overall mean = -1.82 mm. For prostate Sigma = 5.64 mm, sigma = 5.91 mm and overall mean = 0.98 mm. The choice of beam angle for head and neck did not affect the inter-fraction range error significantly; however this was not the same for prostate. Greater range changes were seen using a lateral beam compared to an anterior beam for prostate due to relative motion of the prostate and femoral heads. A method has been developed to quantify population range changes due to inter-fraction motion that can be adapted for the clinic. The results of this work highlight the importance of robust planning and analysis in proton therapy. Such information could be used in robust optimisation algorithms or treatment plan robustness analysis. Such knowledge will aid in establishing beam start conditions at planning and for establishing adaptive planning protocols.</t>
  </si>
  <si>
    <t>[Holloway, S. M.] Univ Cambridge, Dept Oncol, Cambridge, England; [Holloway, S. M.] UCL, Dept Med Phys &amp; Biomed Engn, London, England; [Holloway, M. D.] British Antarctic Survey, Cambridge, England; [Thomas, S. J.] Cambridge Univ Hosp, Dept Med Phys, Cambridge, England</t>
  </si>
  <si>
    <t>University of Cambridge; University of London; University College London; UK Research &amp; Innovation (UKRI); Natural Environment Research Council (NERC); NERC British Antarctic Survey; University of Cambridge</t>
  </si>
  <si>
    <t>Holloway, MD (corresponding author), British Antarctic Survey, Cambridge, England.</t>
  </si>
  <si>
    <t>s.holloway@ucl.ac.uk</t>
  </si>
  <si>
    <t>Holloway, Stacey/IXD-8794-2023; Thomas, Simon Jonathan/I-3237-2019</t>
  </si>
  <si>
    <t>Thomas, Simon/0000-0002-7758-7108; Holloway, Stacey/0000-0003-3652-0131</t>
  </si>
  <si>
    <t>Medical Research Council Studentship [G1000384]; Cancer Research UK Centres Network Accelerator Award Grant [A21993]; NERC [bas0100034] Funding Source: UKRI</t>
  </si>
  <si>
    <t>Medical Research Council Studentship(UK Research &amp; Innovation (UKRI)Medical Research Council UK (MRC)); Cancer Research UK Centres Network Accelerator Award Grant; NERC(UK Research &amp; Innovation (UKRI)Natural Environment Research Council (NERC))</t>
  </si>
  <si>
    <t>This work was funded by a Medical Research Council Studentship to the University of Cambridge (G1000384). Dr S Holloway is currently supported by a Cancer Research UK Centres Network Accelerator Award Grant (A21993) to the ART-NET consortium.</t>
  </si>
  <si>
    <t>0031-9155</t>
  </si>
  <si>
    <t>1361-6560</t>
  </si>
  <si>
    <t>PHYS MED BIOL</t>
  </si>
  <si>
    <t>Phys. Med. Biol.</t>
  </si>
  <si>
    <t>01NT02</t>
  </si>
  <si>
    <t>10.1088/1361-6560/aa9502</t>
  </si>
  <si>
    <t>Engineering, Biomedical; Radiology, Nuclear Medicine &amp; Medical Imaging</t>
  </si>
  <si>
    <t>Engineering; Radiology, Nuclear Medicine &amp; Medical Imaging</t>
  </si>
  <si>
    <t>FQ5FV</t>
  </si>
  <si>
    <t>WOS:000418385100001</t>
  </si>
  <si>
    <t>Barry, RG; Hall-McKim, EA</t>
  </si>
  <si>
    <t>Barry, RG; HallMcKim, EA</t>
  </si>
  <si>
    <t>Barry, Roger G.; Hall-McKim, Eileen A.</t>
  </si>
  <si>
    <t>Paleoclimatic History</t>
  </si>
  <si>
    <t>POLAR ENVIRONMENTS AND GLOBAL CHANGE</t>
  </si>
  <si>
    <t>ANTARCTIC ICE-SHEET; ABRUPT CLIMATE-CHANGE; LAST GLACIAL MAXIMUM; HUDSON-BAY LOWLANDS; NORTH-ATLANTIC; ARCTIC AMPLIFICATION; OCEAN CIRCULATION; ATMOSPHERIC CO2; TROPICAL CONVECTION; SOUTHERN-HEMISPHERE</t>
  </si>
  <si>
    <t>[Barry, Roger G.; Hall-McKim, Eileen A.] Univ Colorado, Boulder, CO 80309 USA</t>
  </si>
  <si>
    <t>Barry, RG (corresponding author), Univ Colorado, Boulder, CO 80309 USA.</t>
  </si>
  <si>
    <t>Barry, roger G/A-7084-2009</t>
  </si>
  <si>
    <t>THE PITT BUILDING, TRUMPINGTON ST, CAMBRIDGE CB2 1RP, CAMBS, ENGLAND</t>
  </si>
  <si>
    <t>978-1-108-43635-9; 978-1-108-42316-8</t>
  </si>
  <si>
    <t>10.1017/9781108399708</t>
  </si>
  <si>
    <t>Environmental Sciences; Meteorology &amp; Atmospheric Sciences; Oceanography</t>
  </si>
  <si>
    <t>Environmental Sciences &amp; Ecology; Meteorology &amp; Atmospheric Sciences; Oceanography</t>
  </si>
  <si>
    <t>BO7BJ</t>
  </si>
  <si>
    <t>WOS:000522817700003</t>
  </si>
  <si>
    <t>Terrestrial Environments and Surface Types of the Polar Regions</t>
  </si>
  <si>
    <t>MCMURDO DRY VALLEYS; SEA-LEVEL RISE; GREAT SLAVE LAKE; ICE CAPS; GLACIAL EROSION; MASS-BALANCE; NORTHWEST-TERRITORIES; ANTARCTIC PENINSULA; COMPLETE INVENTORY; RIVER DISCHARGE</t>
  </si>
  <si>
    <t>WOS:000522817700006</t>
  </si>
  <si>
    <t>Ice Sheets and Ice Shelves</t>
  </si>
  <si>
    <t>GROUNDING LINE RETREAT; EAST ANTARCTIC PLATEAU; SURFACE MASS-BALANCE; NORTH-GREENLAND; TOTTEN GLACIER; ABLATION ZONE; EGIG LINE; CLIMATE; MELTWATER; SNOW</t>
  </si>
  <si>
    <t>WOS:000522817700007</t>
  </si>
  <si>
    <t>Oceanic Environments</t>
  </si>
  <si>
    <t>ANTARCTIC SEA-ICE; NORTHERN BAFFIN-BAY; ARCTIC-OCEAN; CIRCUMPOLAR CURRENT; WATER MASSES; ATMOSPHERIC CIRCULATION; ATLANTIC WATER; SOUTHERN-OCEAN; CHUKCHI SEA; FRAM STRAIT</t>
  </si>
  <si>
    <t>WOS:000522817700008</t>
  </si>
  <si>
    <t>Sefland, M</t>
  </si>
  <si>
    <t>Sefland, Magnus</t>
  </si>
  <si>
    <t>Brategg: the polar vessel that was also Jopeter, Polarbjorn, Lady Johnson II, Beothic Endeavour and Arctic Trader</t>
  </si>
  <si>
    <t>The history of maritime activity in polar regions is highly dynamic. It is the record of the fortunes of men and machines driven before the winds of economic and social change, scientific discovery, technological development and world events. This paper describes the career of the Norwegian Arctic sealer Brategg during the six decades from its construction in 1932 to its destruction in 1994. Although a record of a single vessel, Brategg's story, involving investment and bankruptcy, war service, shipwreck, and innovation and renovation in both Arctic and Antarctic waters, also serves as a model of the changing times and fortunes of the Norwegian polar fleet as a whole across the twentieth century.</t>
  </si>
  <si>
    <t>[Sefland, Magnus] Vikenvegen 10, N-2816 Gjovik, Norway</t>
  </si>
  <si>
    <t>Sefland, M (corresponding author), Vikenvegen 10, N-2816 Gjovik, Norway.</t>
  </si>
  <si>
    <t>sefgam@yahoo.no</t>
  </si>
  <si>
    <t>10.1017/S003224741800013X</t>
  </si>
  <si>
    <t>WOS:000433492400010</t>
  </si>
  <si>
    <t>Takir, D; Howard, K; Yabuta, H; McAdam, M; Hibbitts, C; Emery, J</t>
  </si>
  <si>
    <t>Abreu, N</t>
  </si>
  <si>
    <t>Takir, Driss; Howard, Kieren; Yabuta, Hikaru; McAdam, Maggie; Hibbitts, Charles; Emery, Joshua</t>
  </si>
  <si>
    <t>Linking Water-Rich Asteroids and Meteorites: Implications for Asteroid Space Missions</t>
  </si>
  <si>
    <t>PRIMITIVE METEORITES AND ASTEROIDS: PHYSICAL, CHEMICAL, AND SPECTROSCOPIC OBSERVATIONS PAVING THE WAY TO EXPLORATION</t>
  </si>
  <si>
    <t>X-RAY-DIFFRACTION; PROGRESSIVE AQUEOUS ALTERATION; CM CARBONACEOUS CHONDRITES; PARENT BODY PROCESSES; 162173 1999 JU3; MU-M SPECTRA; MODAL MINERALOGY; MAIN-BELT; THERMAL METAMORPHISM; ORGANIC-MATTER</t>
  </si>
  <si>
    <t>[Takir, Driss] SETI Inst, Mountain View, CA 94043 USA; [Howard, Kieren] CUNY, Kingsborough Community Coll, Brooklyn, NY 11210 USA; [Yabuta, Hikaru] Hiroshima Univ, Hiroshima, Japan; [McAdam, Maggie] Univ Maryland, College Pk, MD 20742 USA; [Hibbitts, Charles] Johns Hopkins Univ, Appl Phys Lab, Laurel, MD USA; [Emery, Joshua] Univ Tennessee, Knoxville, TN USA; [Howard, Kieren] Amer Museum Nat Hist AMNH, New York, NY 10024 USA</t>
  </si>
  <si>
    <t>City University of New York (CUNY) System; Hiroshima University; University System of Maryland; University of Maryland College Park; Johns Hopkins University; Johns Hopkins University Applied Physics Laboratory; University of Tennessee System; University of Tennessee Knoxville</t>
  </si>
  <si>
    <t>Takir, D (corresponding author), SETI Inst, Mountain View, CA 94043 USA.</t>
  </si>
  <si>
    <t>NASA Hayabusa2 Participating Scientists Program [NNX17AJ24G]; NASA Cosmochemistry grant [NNX14AG27G]; NSF; NASA</t>
  </si>
  <si>
    <t>NASA Hayabusa2 Participating Scientists Program; NASA Cosmochemistry grant; NSF(National Science Foundation (NSF)); NASA(National Aeronautics &amp; Space Administration (NASA))</t>
  </si>
  <si>
    <t>We are grateful to Neyda Abreu for her thoughtful review that improved this chapter. This work was partly supported by NASA Hayabusa2 Participating Scientists Program grant NNX17AJ24G to DT. T.H. was supported by NASA Cosmochemistry grant NNX14AG27G. or supplying the many samples that were necessary for this work. The authors would like to thank: the members of the Meteorite Working Group, Cecilia Satterwhite and Kevin Righter (NASA, Johnson Space Center), Tim McCoy and Linda Welzenbach (Smithsonian Museum for Natural History), Laurence Garvie (Arizona State University), Sara Russell, Caroline Smith and Deborah Cassey (Natural History Museum, London).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</si>
  <si>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Radarweg 29, PO Box 211, AMSTERDAM, NETHERLANDS</t>
  </si>
  <si>
    <t>978-0-12-813326-2; 978-0-12-813325-5</t>
  </si>
  <si>
    <t>10.1016/B978-0-12-813325-5.00006-9</t>
  </si>
  <si>
    <t>10.1016/C2016-0-05001-5</t>
  </si>
  <si>
    <t>Astronomy &amp; Astrophysics; Geosciences, Multidisciplinary</t>
  </si>
  <si>
    <t>Astronomy &amp; Astrophysics; Geology</t>
  </si>
  <si>
    <t>BP1DG</t>
  </si>
  <si>
    <t>WOS:000538777000006</t>
  </si>
  <si>
    <t>Spurio, M</t>
  </si>
  <si>
    <t>Spurio, Maurizio</t>
  </si>
  <si>
    <t>High-Energy Neutrino Astrophysics</t>
  </si>
  <si>
    <t>PROBES OF MULTIMESSENGER ASTROPHYSICS: CHARGED COSMIC RAYS, NEUTRINOS, (GAMMA)-RAYS AND GRAVITATIONAL WAVES, 2ND EDITION</t>
  </si>
  <si>
    <t>Astronomy and Astrophysics Library</t>
  </si>
  <si>
    <t>Neutrino astronomy shares with gamma-ray astronomy the objective of understanding the sources and mechanisms of CR acceleration. Due to their much larger interaction cross-section, gamma-rays are easier to detect than neutrinos, but neutrinos can only be produced through hadronic processes. No single source, either galactic or extragalactic, has been conclusively proven to accelerate CRs up to PeV energies. Neutrino astronomy is expected to be decisive in the quest for CR sources. The idea of a large volume experiment for cosmic neutrinos based on the detection of the secondary particles produced in neutrino interactions was first formulated in the 1960s by M. Markov. He proposed: to install detectors deep in a lake or in the sea and to determine the direction of the charged particles with the help of Cherenkov radiation. Starting from the Markov idea, in this chapter we describe how the challenge of detecting galactic neutrinos is open for a multi kilometerscale apparatus, deployed in the Antarctic ice or in deep seawater. At present a km3 detector (IceCube) is operating in the ice of the South Pole and another smaller underwater telescope (ANTARES) is running in the Mediterranean Sea, waiting for the Mediterranean km3 telescope (KM3NeT) and another detector in Lake Baikal. All of them are made up of a grid of optical sensors (photomultipliers). The recent first measurement of an astrophysical high-energy neutrino flux, opening the field of neutrino astronomy for the next decade, is also reported.</t>
  </si>
  <si>
    <t>[Spurio, Maurizio] Univ Bologna, Dept Phys &amp; Astron, Bologna, Italy; [Spurio, Maurizio] Univ Bologna, INFN, Bologna, Italy</t>
  </si>
  <si>
    <t>University of Bologna; Istituto Nazionale di Fisica Nucleare (INFN); University of Bologna</t>
  </si>
  <si>
    <t>Spurio, M (corresponding author), Univ Bologna, Dept Phys &amp; Astron, Bologna, Italy.;Spurio, M (corresponding author), Univ Bologna, INFN, Bologna, Italy.</t>
  </si>
  <si>
    <t>Spurio, Maurizio/AAM-2262-2020</t>
  </si>
  <si>
    <t>Spurio, Maurizio/0000-0002-8698-3655</t>
  </si>
  <si>
    <t>0941-7834</t>
  </si>
  <si>
    <t>2196-9698</t>
  </si>
  <si>
    <t>978-3-319-96854-4; 978-3-319-96853-7</t>
  </si>
  <si>
    <t>ASTRON ASTROPHYS LIB</t>
  </si>
  <si>
    <t>10.1007/978-3-319-96854-4_10</t>
  </si>
  <si>
    <t>10.1007/978-3-319-96854-4</t>
  </si>
  <si>
    <t>BQ2UP</t>
  </si>
  <si>
    <t>WOS:000582664500011</t>
  </si>
  <si>
    <t>Bezuglov, DA; Cherckesova, LV; Zvezdina, MY; Shokova, JA; Akishin, BA; Porksheyan, VM; Prokopenko, NN</t>
  </si>
  <si>
    <t>Bezuglov, Dmitry A.; Cherckesova, Larissa V.; Zvezdina, Marina Yu.; Shokova, Julia A.; Akishin, Boris A.; Porksheyan, Vitaly M.; Prokopenko, Nikolay N.</t>
  </si>
  <si>
    <t>SubTHz and THz bands Radioelectronic Devices Creation Working in Low Temperatures Conditions of Near Space and Arctic/Antarctic Regions</t>
  </si>
  <si>
    <t>PROCEEDINGS OF 2018 IEEE EAST-WEST DESIGN &amp; TEST SYMPOSIUM (EWDTS 2018)</t>
  </si>
  <si>
    <t>East-West Design &amp; Test Symposium</t>
  </si>
  <si>
    <t>IEEE East-West Design and Test Symposium (EWDTS)</t>
  </si>
  <si>
    <t>SEP 14-17, 2018</t>
  </si>
  <si>
    <t>Kazan, RUSSIA</t>
  </si>
  <si>
    <t>Resources of magnetophotonic nanostructures, able to apply in the low temperature environment, are considered. Investigations implemented by authors have demonstrated that, in association with applied photonic or magnetic substances, their nanooystal structure and disposition (ID, 2D or 3D structure), application technology, etc., it is very likely that the ferromagnetic nanostructures can be making, that are able to work steady in the extremal conditions of Arctic and Antarctic regions, Near Space, and Solar System planets at presence of low temperatures and strong influence of ionized radiation. Concentration of impurities, their distribution within magnetophotonic nanocrystal structure and many other factors are very important at subTHz and THz devices of new generation creation. Ferromagnetic and nanophotonic structures opportunities joint application is able to unclose the wide potential for magnetophotonic nanostructures making, in which the ferromagnetics will found the wide application: ferrite garnets, orthoferrites, various spinel materials and metal amorphous thin films.</t>
  </si>
  <si>
    <t>[Bezuglov, Dmitry A.] Russian Customs Acad, Rostov On Don Branch, Rostov Na Donu, Russia; [Cherckesova, Larissa V.; Zvezdina, Marina Yu.; Shokova, Julia A.; Akishin, Boris A.; Porksheyan, Vitaly M.; Prokopenko, Nikolay N.] Don State Tech Univ, Rostov Na Donu, Russia</t>
  </si>
  <si>
    <t>Don State Technical University</t>
  </si>
  <si>
    <t>Bezuglov, DA (corresponding author), Russian Customs Acad, Rostov On Don Branch, Rostov Na Donu, Russia.</t>
  </si>
  <si>
    <t>hezuglovda@mail.ru; chia2002@inbox.ru; zvezdina_m@mail.ru; jshokova@mail.ru; akiboralex@mail.ru; spu-40@donstu.ru; prokopenko@sssu.ru</t>
  </si>
  <si>
    <t>Shokova, Julia/HOH-7833-2023; Bezuglov, Dmitriy A./A-5038-2014; Prokopenko, Nikolai/I-6599-2013</t>
  </si>
  <si>
    <t>Shokova, Julia/0000-0002-2884-8121; BEZUGLOV, DMITRIY/0000-0001-9991-4707; Prokopenko, Nikolai/0000-0001-8291-1753</t>
  </si>
  <si>
    <t>Russian Science Foundation [16-19-00122]; Russian Science Foundation [16-19-00122] Funding Source: Russian Science Foundation</t>
  </si>
  <si>
    <t>Research is carried out at expense of Grant of Russian Science Foundation (projectNo 16-19-00122).</t>
  </si>
  <si>
    <t>2373-826X</t>
  </si>
  <si>
    <t>2472-761X</t>
  </si>
  <si>
    <t>978-1-5386-5710-2</t>
  </si>
  <si>
    <t>E-W DESIGN TEST</t>
  </si>
  <si>
    <t>BO5JI</t>
  </si>
  <si>
    <t>WOS:000517795800129</t>
  </si>
  <si>
    <t>Savas, C; Dovis, F; Falco, G</t>
  </si>
  <si>
    <t>Inst Navigat</t>
  </si>
  <si>
    <t>Savas, Caner; Dovis, Fabio; Falco, Gianluca</t>
  </si>
  <si>
    <t>Performance Evaluation and Comparison of GPS L5 Acquisition Methods under Scintillations</t>
  </si>
  <si>
    <t>PROCEEDINGS OF THE 31ST INTERNATIONAL TECHNICAL MEETING OF THE SATELLITE DIVISION OF THE INSTITUTE OF NAVIGATION (ION GNSS+ 2018)</t>
  </si>
  <si>
    <t>Institute of Navigation Satellite Division Proceedings of the International Technical Meeting</t>
  </si>
  <si>
    <t>31st International Technical Meeting of the Satellite-Division-of-The-Institute-of-Navigation (ION GNSS)</t>
  </si>
  <si>
    <t>SEP 24-28, 2018</t>
  </si>
  <si>
    <t>Miami, FL</t>
  </si>
  <si>
    <t>The aim of this paper is to present a comparative study of different acquisition methods tailored to the GPS L5, with the particular focus to test their robustness to the presence of phase and amplitude scintillations in the propagation environment. The study exploits real GNSS signal affected by significant phase and amplitude scintillation effects, collected at the South African Antarctic research base SANAE IV and Brazilian Centro de Radioastronomia e Astrofisica Mackenzie (CRAAM) monitoring station. Since ionospheric perturbations are frequency-dependent, the results achieved for the GPS L5 signal are also benchmarked to the impact at the carrier frequencies GPS L1. Exploiting the complex signal structure of GPS L5, four different L5 acquisition schemes, proposed in the literature, were implemented and their performance have been discussed and analyzed. This paper compares the different metrics of the acquisition methods, namely, the statistical characterization of the detection process by considering the probabilities of detection/false alarm, the computation of the peak-to-noise-floor ratios for the acquired signal, and the measurement of the acquisition time duration. Performance are assessed exploiting a fully software GNSS receiver.</t>
  </si>
  <si>
    <t>[Savas, Caner; Dovis, Fabio] Politecn Torino, Dept Elect &amp; Telecommun, Turin, Italy; [Falco, Gianluca] Ist Super Mario Boella, Nav Technol Res Area, Turin, Italy</t>
  </si>
  <si>
    <t>Polytechnic University of Turin</t>
  </si>
  <si>
    <t>Savas, C (corresponding author), Politecn Torino, Dept Elect &amp; Telecommun, Turin, Italy.</t>
  </si>
  <si>
    <t>Dovis, Fabio/F-3843-2012; SAVAS, Caner/AAJ-7383-2021</t>
  </si>
  <si>
    <t>Dovis, Fabio/0000-0001-6078-9099; SAVAS, Caner/0000-0001-7626-9899; FALCO, GIANLUCA/0000-0002-3370-7091</t>
  </si>
  <si>
    <t>European Union's Horizon 2020 Research and Innovation Programme within Marie Sklodowska-Curie Actions Innovative Training Network [722023]</t>
  </si>
  <si>
    <t>European Union's Horizon 2020 Research and Innovation Programme within Marie Sklodowska-Curie Actions Innovative Training Network(European Union (EU))</t>
  </si>
  <si>
    <t>This research work is undertaken under the framework of the TREASURE project (Grant Agreement N. 722023) funded by European Union's Horizon 2020 Research and Innovation Programme within Marie Sklodowska-Curie Actions Innovative Training Network. In particular, it is the outcome of the work realized during the secondment in Istituto Superiore Mario Boella.</t>
  </si>
  <si>
    <t>INST NAVIGATION</t>
  </si>
  <si>
    <t>815 15TH ST NW, STE 832, WASHINGTON, DC 20005 USA</t>
  </si>
  <si>
    <t>2331-5911</t>
  </si>
  <si>
    <t>2331-5954</t>
  </si>
  <si>
    <t>I NAVIG SAT DIV INT</t>
  </si>
  <si>
    <t>10.33012/2018.15913</t>
  </si>
  <si>
    <t>Remote Sensing; Telecommunications</t>
  </si>
  <si>
    <t>BP2UK</t>
  </si>
  <si>
    <t>WOS:000545000103054</t>
  </si>
  <si>
    <t>MacDonald, LW; Biggam, CP; Paramei, GV</t>
  </si>
  <si>
    <t>Mapping the Antarctic Photography, colour and the scientific expedition in public exhibition</t>
  </si>
  <si>
    <t>PROGRESS IN COLOUR STUDIES: COGNITION, LANGUAGE AND BEYOND</t>
  </si>
  <si>
    <t>4th Progress in Colour Studies (PICS) Conference</t>
  </si>
  <si>
    <t>SEP 14-16, 2016</t>
  </si>
  <si>
    <t>Univ Coll London, London, ENGLAND</t>
  </si>
  <si>
    <t>Univ Coll London</t>
  </si>
  <si>
    <t>Antarctic; expedition; photography; exhibition; iceberg</t>
  </si>
  <si>
    <t>Early 1900s Polar expeditions experimented with photography to supplement established modes of documentation, from the work of exploration to scientific study (zoology, geography, meteorology). In recognition of the economic and educational potential of visual records, R.F. Scott employed 'camera artist' Herbert G. Ponting for his 1910-13 South Pole expedition: the photographs, lantern slide lectures, film and watercolours were linked to science and formed the basis of public exhibitions. Ponting's work predominantly consisted of black-and-white images from experiments with telephoto lenses, flashlight photography and cinematography, however, studies of colour exist. Autochromes, dyes and notes on the hues of refracted sunlight and artificial light link photography and colour to the temporality of the Antarctic and the vulnerability of perception.</t>
  </si>
  <si>
    <t>[Watkins, Liz] Univ Leeds, Hist Art &amp; Film, Sch Fine Art Hist Art Cultural Studies, Woodhouse Lane, Leeds LS2 9JT, W Yorkshire, England</t>
  </si>
  <si>
    <t>Watkins, L (corresponding author), Univ Leeds, Hist Art &amp; Film, Sch Fine Art Hist Art Cultural Studies, Woodhouse Lane, Leeds LS2 9JT, W Yorkshire, England.</t>
  </si>
  <si>
    <t>JOHN BENJAMINS B V PUBL</t>
  </si>
  <si>
    <t>AMSTERDAM ME</t>
  </si>
  <si>
    <t>PO BOX 36224, 1020 AMSTERDAM ME, NETHERLANDS</t>
  </si>
  <si>
    <t>978-90-272-6382-7; 978-90-272-0104-1</t>
  </si>
  <si>
    <t>10.1075/z.217.24wat</t>
  </si>
  <si>
    <t>Art; Psychology, Developmental; Linguistics</t>
  </si>
  <si>
    <t>Art; Psychology; Linguistics</t>
  </si>
  <si>
    <t>BQ4SL</t>
  </si>
  <si>
    <t>WOS:000594372000024</t>
  </si>
  <si>
    <t>Velev, S; Dochev, D; Bonev, K</t>
  </si>
  <si>
    <t>Velev, Stefan; Dochev, Docho; Bonev, Kamen</t>
  </si>
  <si>
    <t>Interaction of magma and wet unconsolidated sediments: case study from Byers Peninsula, Livingston Island, Antarctica</t>
  </si>
  <si>
    <t>SPISANIE NA B LGARSKOTO GEOLOGICHESKO DRUZHESTOV-REVIEW OF THE BULGARIAN GEOLOGICAL SOCIETY</t>
  </si>
  <si>
    <t>subaqueous cryptodomes; peperites; magma; Antarctica</t>
  </si>
  <si>
    <t>[Velev, Stefan] Sofia Univ St Kliment Ohridski, Natl Ctr Polar Studies, Sofia 1504, Bulgaria; [Dochev, Docho] Sofia Univ St Kliment Ohridski, Fac Geol &amp; Geog, Sofia 1504, Bulgaria; [Bonev, Kamen] Bulgarian Antarctic Inst, Sofia 1504, Bulgaria</t>
  </si>
  <si>
    <t>University of Sofia; University of Sofia</t>
  </si>
  <si>
    <t>Velev, S (corresponding author), Sofia Univ St Kliment Ohridski, Natl Ctr Polar Studies, Sofia 1504, Bulgaria.</t>
  </si>
  <si>
    <t>velev.stefan83@gmail.com; dochev@gea.uni-sofia.bg; bonev.kamen@gmail.com</t>
  </si>
  <si>
    <t>Dochev, Docho/AAL-3815-2021</t>
  </si>
  <si>
    <t>BULGARIAN ACAD SCIENCE</t>
  </si>
  <si>
    <t>CENTRAL LIBRARY 7 NOEMVRI NO 1, SOFIA, 00000, BULGARIA</t>
  </si>
  <si>
    <t>0007-3938</t>
  </si>
  <si>
    <t>1314-8680</t>
  </si>
  <si>
    <t>SPISANIE B LGARSKOTO</t>
  </si>
  <si>
    <t>Spis. B Lgarskoto Geol. Druz.</t>
  </si>
  <si>
    <t>VK2QJ</t>
  </si>
  <si>
    <t>WOS:000670425500025</t>
  </si>
  <si>
    <t>Velev, S; Stanimirova, T; Dochev, D; Bonev, K</t>
  </si>
  <si>
    <t>Velev, Stefan; Stanimirova, Tsveta; Dochev, Docho; Bonev, Kamen</t>
  </si>
  <si>
    <t>X-ray diffraction analysis of tephra layers from Perunika Glacier, Livingston Island, Antarctica</t>
  </si>
  <si>
    <t>tephra layers; X-ray diffraction analysis; Livingston Island; Antarctica</t>
  </si>
  <si>
    <t>[Velev, Stefan] Sofia Univ St Kliment Ohridski, Natl Ctr Polar Studies, Sofia 1504, Bulgaria; [Stanimirova, Tsveta; Dochev, Docho] Sofia Univ St Kliment Ohridski, Fac Geol &amp; Geog, Sofia 1504, Bulgaria; [Bonev, Kamen] Bulgarian Antarctic Inst, Sofia 1504, Bulgaria</t>
  </si>
  <si>
    <t>velev.stefan83@gmail.com; stanimirova@gea.uni-sofia.bg; dochev@gea.uni-sofia.bg; bonev.kamen@gmail.com</t>
  </si>
  <si>
    <t>Stanimirova, Tsveta/AAS-6379-2020; Dochev, Docho/AAL-3815-2021</t>
  </si>
  <si>
    <t>Stanimirova, Tsveta/0000-0002-2624-309X;</t>
  </si>
  <si>
    <t>WOS:000670425500026</t>
  </si>
  <si>
    <t>Lavini, G; Avellino, G</t>
  </si>
  <si>
    <t>Marino, A; Bucci, V</t>
  </si>
  <si>
    <t>Lavini, Gianpiero; Avellino, Gennaro</t>
  </si>
  <si>
    <t>Developments of New Patented Ice Breaking Devices for Ice Going Vessels</t>
  </si>
  <si>
    <t>TECHNOLOGY AND SCIENCE FOR THE SHIPS OF THE FUTURE (NAV 2018)</t>
  </si>
  <si>
    <t>19th International Conference on Ships and Maritime Research (NAV)</t>
  </si>
  <si>
    <t>JUN 20-22, 2018</t>
  </si>
  <si>
    <t>Trieste, ITALY</t>
  </si>
  <si>
    <t>ice; ice sabre; mirror wedge; ice bulb; ice classification; ice testing</t>
  </si>
  <si>
    <t>Arctic and Antarctic areas are getting more and more attractive for cruises. The vessel designed for the operations in these and other ice areas like Canada and Baltic Sea must sail in ice in a safe and efficient way, as far as possible, without support of icebreakers. At the same time they should be quite efficient also in open waters. However the hull hydrodynamic shape of an efficient vessel designed for the open sea operation is normally not suitable to operate in ice, while a vessel optimized for proper sailing in ice normally suffers from strong penalties when sailing in free waters. This paper deals with the development of new patented devices applied to the bulb and to the stern of the ship which can provide at the same time excellent performances in ice breaking without any detriment when the ship is operated outside ice seas. The new devices are called ICE SABRE, applied to the bulb and ICE MIRROR installed on the stern transom. A comprehensive ice model testing description of two devices shall be given including tests in pack ice, brash ice and manoeuvre against ice ridges.</t>
  </si>
  <si>
    <t>[Lavini, Gianpiero; Avellino, Gennaro] Fincantieri SPA, Direz Navi Mercantili, Trieste, Italy</t>
  </si>
  <si>
    <t>Lavini, G (corresponding author), Fincantieri SPA, Direz Navi Mercantili, Trieste, Italy.</t>
  </si>
  <si>
    <t>gianpiero.lavini@fincantieri.it; gennaro.avellino@fincantieri.it</t>
  </si>
  <si>
    <t>IOS PRESS</t>
  </si>
  <si>
    <t>NIEUWE HEMWEG 6B, 1013 BG AMSTERDAM, NETHERLANDS</t>
  </si>
  <si>
    <t>978-1-61499-870-9; 978-1-61499-869-3</t>
  </si>
  <si>
    <t>10.3233/978-1-61499-870-9-786</t>
  </si>
  <si>
    <t>BP8UL</t>
  </si>
  <si>
    <t>WOS:000567876300092</t>
  </si>
  <si>
    <t>Mansilla, A; Ojeda, J; Rosenfeld, S; Rozzi, R</t>
  </si>
  <si>
    <t>Rozzi, R; Heidinger, K; Massardo, F</t>
  </si>
  <si>
    <t>Mansilla, Andres; Ojeda, Jaime; Rosenfeld, Sebastian; Rozzi, Ricardo</t>
  </si>
  <si>
    <t>Underwater Forests of Cape Horn: A Sub-Antarctic Habitat that Marveled Darwin</t>
  </si>
  <si>
    <t>TRACING DARWIN'S PATH IN CAPE HORN</t>
  </si>
  <si>
    <t>[Mansilla, Andres; Rosenfeld, Sebastian] Univ Magallanes, Inst Ecol &amp; Biodiversidad, Programa Conservac Biocultural Subantartica, Lab Macroalgas, Punta Arenas, Chile; [Ojeda, Jaime] Univ Magallanes, Lab Macroalgas, Programa Conservac Biocultural Subantartica, Punta Arenas, Chile; [Rozzi, Ricardo] Univ North Texas, Subantarctic Biocultural Conservat Program, Denton, TX 76203 USA; [Rozzi, Ricardo] Univ Magallanes, Inst Ecol &amp; Biodiversidad, Punta Arenas, Chile; [Rozzi, Ricardo] Parque Etnobot Omora, Puerto Williams, Chile</t>
  </si>
  <si>
    <t>Universidad de Magallanes; Universidad de Magallanes; University of North Texas System; University of North Texas Denton; Universidad de Magallanes</t>
  </si>
  <si>
    <t>Mansilla, A (corresponding author), Univ Magallanes, Inst Ecol &amp; Biodiversidad, Programa Conservac Biocultural Subantartica, Lab Macroalgas, Punta Arenas, Chile.</t>
  </si>
  <si>
    <t>andres.mansilla@umag.cl; jaime.ojeda@umag.cl; sebastian.rosenfeld@umag.cl; rozzi@unt.edu</t>
  </si>
  <si>
    <t>Ojeda, Jaime/HHN-1455-2022; Rozzi, Ricardo/G-1047-2012</t>
  </si>
  <si>
    <t>UNIV NORTH TEXAS PRESS</t>
  </si>
  <si>
    <t>DENTON</t>
  </si>
  <si>
    <t>PO BOX 13856, DENTON, TX 76203-3856 USA</t>
  </si>
  <si>
    <t>978-1-57441-707-4; 978-1-57441-696-1</t>
  </si>
  <si>
    <t>Biodiversity Conservation; History &amp; Philosophy Of Science</t>
  </si>
  <si>
    <t>Biodiversity &amp; Conservation; History &amp; Philosophy of Science</t>
  </si>
  <si>
    <t>BQ1UR</t>
  </si>
  <si>
    <t>WOS:000577145900016</t>
  </si>
  <si>
    <t>Decombeix, AL; Rowe, NP</t>
  </si>
  <si>
    <t>Krings, M; Harper, CJ; Cuneo, NR; Rothwell, GW</t>
  </si>
  <si>
    <t>Decombeix, Anne-Laure; Rowe, Nicholas P.</t>
  </si>
  <si>
    <t>Functional Significance of Cambial Development in Vertebraria Roots: How Do Unusual Xylem Traits Serve Life at a High Latitude?</t>
  </si>
  <si>
    <t>TRANSFORMATIVE PALEOBOTANY: PAPERS TO COMMEMORATE THE LIFE AND LEGACY OF THOMAS N. TAYLOR</t>
  </si>
  <si>
    <t>CENTRAL TRANSANTARCTIC MOUNTAINS; SECONDARY GROWTH; BIOMECHANICAL ANALYSIS; LIBOCEDRUS DECURRENS; INCENSE CEDAR; PLANTS; RECONSTRUCTION; EFFICIENCY; MECHANICS; EVOLUTION</t>
  </si>
  <si>
    <t>[Decombeix, Anne-Laure; Rowe, Nicholas P.] Univ Montpellier, AMAP, Montpellier, France; [Decombeix, Anne-Laure] Univ Kansas, Lawrence, KS 66045 USA</t>
  </si>
  <si>
    <t>Universite de Montpellier; University of Kansas</t>
  </si>
  <si>
    <t>Decombeix, AL (corresponding author), Univ Montpellier, AMAP, Montpellier, France.;Decombeix, AL (corresponding author), Univ Kansas, Lawrence, KS 66045 USA.</t>
  </si>
  <si>
    <t>Decombeix, Anne-Laure/H-3710-2013</t>
  </si>
  <si>
    <t>Decombeix, Anne-Laure/0000-0002-6348-0086; Rowe, Nicholas/0000-0002-7849-7227</t>
  </si>
  <si>
    <t>NSF</t>
  </si>
  <si>
    <t>NSF(National Science Foundation (NSF))</t>
  </si>
  <si>
    <t>Rudy Serbet (University of Kansas, Lawrence) patiently scanned and sent images of peel sections. Dorothee Letellier (Montpellier) prepared the thin-sections of the trunk colonized by young roots. We also thank three anonymous reviewers for their detailed and helpful comments. This research did not receive any specific grant from funding agencies in the public, commercial, or not-for-profit sectors. The material used in this study was collected over several Antarctic expeditions led by Thomas N. Taylor and/or Edith L. Taylor and funded by NSF grants. The authors are honored to have had the chance to be part of some of these unique opportunities to collect in Antarctica and to study this material.</t>
  </si>
  <si>
    <t>978-0-12-813013-1; 978-0-12-813012-4</t>
  </si>
  <si>
    <t>10.1016/B978-0-12-813012-4.00026-7</t>
  </si>
  <si>
    <t>10.1016/C2016-0-03920-7</t>
  </si>
  <si>
    <t>BP1DA</t>
  </si>
  <si>
    <t>WOS:000538773200027</t>
  </si>
  <si>
    <t>Peng, YY; Ding, Y; Tang, XC; Jian, JC; Wang, JH; Wang, QF</t>
  </si>
  <si>
    <t>Peng, Yue-yue; Ding, Yu; Tang, Xiao-chen; Jian, Ji-chang; Wang, Jin-hui; Wang, Quan-fu</t>
  </si>
  <si>
    <t>Characteristic of Glutamate Cysteine Ligase Gene and its response to the salinity temperature stress in Chlamydomonas sp ICE-L from Antarctica</t>
  </si>
  <si>
    <t>TURKISH JOURNAL OF BOTANY</t>
  </si>
  <si>
    <t>Chlamydomonas sp ICE-L; glutamate cysteine ligase (GCL); temperature; salinity; expression analysis; prokaryotic expression</t>
  </si>
  <si>
    <t>GAMMA-GLUTAMYLCYSTEINE SYNTHETASE; GLUTATHIONE SYNTHESIS; MOLECULAR-CLONING; EXPRESSION ANALYSIS; CATALYTIC SUBUNIT; INDIAN MUSTARD; SEA-ICE; TOLERANCE; ENZYMES; PLANTS</t>
  </si>
  <si>
    <t>Chlamydomonas sp. ICE-L, an Antarctic ice alga, has high tolerance ability to freezing and salinity. Glutathione (GSH) is an important small antioxidative molecule in the growth and stress responses of plants including algae. We cloned a full-length cDNA encoding glutamate cysteine ligase (ICE-LGCL), the key enzyme of GSH synthesis, from Chlamydomonas sp. ICE-L by RT-PCR and rapid amplification of cDNA ends technique (RACE). The cDNA has 2199 bp nucleotides with an open reading frame (ORF) of 1452 bp encoding a polypeptide of 453 amino acids. BLASTP algorithm results showed that ICE- LGCL shared 51%-70% amino acid sequence identity with the reported GCLs and shared the highest identity with Chlamydomonas reinhardtii. We also successfully made ICE-LGCL protein express in E. coli BL21. The optimum expression conditions are the induced reagent IPTG of 0.2 mmol/L, temperature of 37 degrees C, and the induced time of 4 h. The expression patterns of ICE-LGCL in mRNA by real-time PCR analysis showed that ICE-LGCL expressed under the different temperature and salinity challenges. Low temperature and low salinities stimulated the accumulation of ICE- LGCL mRNA in ICE-L cells. These results indicate that GCL might play an important role in Antarctic Chlamydomonas sp. ICE-L.</t>
  </si>
  <si>
    <t>[Peng, Yue-yue; Ding, Yu; Tang, Xiao-chen; Jian, Ji-chang; Wang, Jin-hui] Guangdong Ocean Univ, Guangdong Prov Key Lab Pathogen Biol &amp; Epidemiol, Zhanjiang, Guangdong, Peoples R China; [Peng, Yue-yue; Ding, Yu; Tang, Xiao-chen; Jian, Ji-chang; Wang, Jin-hui] Guangdong Ocean Univ, Key Lab Dis Controlling Aquat Econ Anim, Guangdong Higher Educ Inst, Zhanjiang, Guangdong, Peoples R China; [Peng, Yue-yue; Ding, Yu; Tang, Xiao-chen; Jian, Ji-chang; Wang, Jin-hui] Guangdong Ocean Univ, Fisheries Coll, Zhanjiang, Guangdong, Peoples R China; [Wang, Quan-fu] Harbin Inst Technol, Ocean Coll, Weihai, Peoples R China</t>
  </si>
  <si>
    <t>Guangdong Ocean University; Guangdong Ocean University; Guangdong Ocean University; Harbin Institute of Technology</t>
  </si>
  <si>
    <t>Ding, Y (corresponding author), Guangdong Ocean Univ, Guangdong Prov Key Lab Pathogen Biol &amp; Epidemiol, Zhanjiang, Guangdong, Peoples R China.;Ding, Y (corresponding author), Guangdong Ocean Univ, Key Lab Dis Controlling Aquat Econ Anim, Guangdong Higher Educ Inst, Zhanjiang, Guangdong, Peoples R China.;Ding, Y (corresponding author), Guangdong Ocean Univ, Fisheries Coll, Zhanjiang, Guangdong, Peoples R China.</t>
  </si>
  <si>
    <t>dingyuddd@163.com</t>
  </si>
  <si>
    <t>Ding, yu/GWV-1732-2022; Wang, Jin/GYA-2019-2022; DING, YU/JEF-0566-2023; DING, YU/AAE-8957-2021; Wang, Rong/JQI-7854-2023; wang, quan fu/K-9703-2018</t>
  </si>
  <si>
    <t>DING, YU/0000-0002-3688-7294; DING, YU/0000-0002-3688-7294; Wang, Rong/0009-0009-5350-5743; Wang, Jinhui/0000-0002-9365-0066; wang, quan fu/0000-0002-3885-5464</t>
  </si>
  <si>
    <t>National Natural Science Foundation of China [40876102]; Natural Science Foundation of Guangdong Province [2014A030313604, S2011010005885]; Sailing Plan High-level Talents Project of Guangdong Province</t>
  </si>
  <si>
    <t>National Natural Science Foundation of China(National Natural Science Foundation of China (NSFC)); Natural Science Foundation of Guangdong Province(National Natural Science Foundation of Guangdong Province); Sailing Plan High-level Talents Project of Guangdong Province</t>
  </si>
  <si>
    <t>This work was financially supported by National Natural Science Foundation of China (40876102), Natural Science Foundation of Guangdong Province (2014A030313604; S2011010005885), and Sailing Plan High-level Talents Project of Guangdong Province.</t>
  </si>
  <si>
    <t>Tubitak Scientific &amp; Technological Research Council Turkey</t>
  </si>
  <si>
    <t>ANKARA</t>
  </si>
  <si>
    <t>ATATURK BULVARI NO 221, KAVAKLIDERE, TR-06100 ANKARA, TURKIYE</t>
  </si>
  <si>
    <t>1300-008X</t>
  </si>
  <si>
    <t>1303-6106</t>
  </si>
  <si>
    <t>TURK J BOT</t>
  </si>
  <si>
    <t>Turk. J. Bot.</t>
  </si>
  <si>
    <t>10.3906/bot-1710-60</t>
  </si>
  <si>
    <t>GO0AB</t>
  </si>
  <si>
    <t>WOS:000439576800001</t>
  </si>
  <si>
    <t>Nichol, SE</t>
  </si>
  <si>
    <t>Nichol, S. E.</t>
  </si>
  <si>
    <t>Dobson spectrophotometer #17: past, present and future</t>
  </si>
  <si>
    <t>WEATHER AND CLIMATE</t>
  </si>
  <si>
    <t>Dobson spectrophotometer; total ozone</t>
  </si>
  <si>
    <t>The Dobson spectrophotometer, which was developed in the late 1920s, measures atmospheric total column ozone. This paper presents the history of Dobson spectrophotometer #17 (D#17), which arrived in New Zealand in 1950. D#17 has been in operation at Kelburn in Wellington (1951 - 1970), Invercargill (1970 - 1987), and Arrival Heights in Antarctica (1988 - present). D#17's history includes a flooding, several overhauls, a semi-automation, and finally a complete automation. In the early days the main reasons for measuring total ozone were to develop an ozone climatology, and to investigate the relationship between ozone and the weather. From the mid-1970s the focus of ozone measurement largely changed to studying ozone trends (which includes Antarctic ozone depletion). This requires a traceable calibration history, which is discussed in detail. Plots of the D#17 total ozone record are provided.</t>
  </si>
  <si>
    <t>[Nichol, S. E.] Natl Inst Water &amp; Atmospher Res NIWA, Private Bag 14901, Wellington, New Zealand</t>
  </si>
  <si>
    <t>National Institute of Water &amp; Atmospheric Research (NIWA) - New Zealand</t>
  </si>
  <si>
    <t>Nichol, SE (corresponding author), Natl Inst Water &amp; Atmospher Res NIWA, Private Bag 14901, Wellington, New Zealand.</t>
  </si>
  <si>
    <t>Sylvia.Nichol@niwa.co.nz</t>
  </si>
  <si>
    <t>Antarctica New Zealand</t>
  </si>
  <si>
    <t>D#17 has been in operation in New Zealand (and territories) for nearly 70 years. There have been at least 100 people who have worked with the instrument over that time, which is too many to name individually, and also the names of many of those involved in the early years are unknown to us. However we would like to acknowledge those that we do know about. First and foremost, we sincerely thank Edith Farkas for her great work and commitment in establishing a reliable measurement programme. Many of the details about the early operations with D#17 come from her notes. Thanks are also due to the staff at the NZMS Invercargill office, including Dick Holloway and Keith Herrick. The measurements at Arrival Heights have been very well supported by Antarctica New Zealand with logistical and technical support (involving at least 60 operators). Tom Clarkson and Stephen Wood (NIWA) also contributed to the Arrival Heights operation. There are also many international collaborators who have worked with D#17; in recent times they have been: Bob Grass and Walter Komhyr (NOAA) for the 1984 overhaul; Jim Easson and Steve Rhodes (Australian Bureau of Meteorology) for Dobson inter-comparisons; Bob Evans and Koji Miyagawa (NOAA) for the instrument automations.</t>
  </si>
  <si>
    <t>METEOROLOGICAL SOC NEW ZEALAND</t>
  </si>
  <si>
    <t>WELLINGTON</t>
  </si>
  <si>
    <t>PO BOX 6523, WELLINGTON, 6011, NEW ZEALAND</t>
  </si>
  <si>
    <t>0111-5499</t>
  </si>
  <si>
    <t>WEATHER CLIM</t>
  </si>
  <si>
    <t>Weather Clim</t>
  </si>
  <si>
    <t>VJ5TD</t>
  </si>
  <si>
    <t>WOS:000608916300002</t>
  </si>
  <si>
    <t>Lewandowski, K</t>
  </si>
  <si>
    <t>Johnson, BA</t>
  </si>
  <si>
    <t>Lewandowski, Katherine</t>
  </si>
  <si>
    <t>Pioneers in Antarctic research: Lois Jones and her all-woman science team explore the geochemistry of the Dry Valleys</t>
  </si>
  <si>
    <t>WOMEN AND GEOLOGY: WHO ARE WE, WHERE HAVE WE COME FROM, AND WHERE ARE WE GOING?</t>
  </si>
  <si>
    <t>Geological Society of America Memoir</t>
  </si>
  <si>
    <t>Today, women make up about one-third of all scientists who go to Antarctica for research. However, it was just under fifty years ago that the first woman principal investigator was funded by the then United States Antarctic Research Program, which today is known as the United States Antarctic Program (USAP). Colin Bull, Director of the Institute for Polar Studies (today called Byrd Polar and Climate Research Center or BPCRC), had advocated for women to be allowed in Antarctica since 1959. At the time, female graduate students worked on Antarctic research, but were not able to conduct their own fieldwork; thus they relied on men to collect samples and gather the data they needed up until the ban was lifted. One such woman was Lois Jones, whose Ph.D. adviser was The Ohio State University geochemist Dr. Gunter Faure. Once she completed her dissertation on the geochemistry of the McMurdo Dry Valleys, she submitted a proposal for fieldwork in Antarctica to be funded by the USAP. Her proposal was approved and she and her field party of three other women went to Antarctica during the austral summer of 1969-1970. In addition to fieldwork in the Dry Valleys, they gained the honor of being four of the first six women to make it to the South Pole. While the women faced many challenges and chauvinism, their field season was successful. This has led to a legacy of women in Antarctica. Faculty, alumna, and staff from The Ohio State University figure prominently in this story, due to the affiliation of the Byrd Polar and Climate Research Center with Ohio State.</t>
  </si>
  <si>
    <t>[Lewandowski, Katherine] Eastern Illinois Univ, Dept Geol Geog, 600 Lincoln Ave, Charleston, IL 61920 USA</t>
  </si>
  <si>
    <t>Eastern Illinois University</t>
  </si>
  <si>
    <t>Lewandowski, K (corresponding author), Eastern Illinois Univ, Dept Geol Geog, 600 Lincoln Ave, Charleston, IL 61920 USA.</t>
  </si>
  <si>
    <t>GEOLOGICAL SOC AMER INC</t>
  </si>
  <si>
    <t>3300 PENROSE PL, PO BOX 9140, BOULDER, CO 80301 USA</t>
  </si>
  <si>
    <t>0072-1069</t>
  </si>
  <si>
    <t>978-0-81-378214-0; 978-0-81-371214-7</t>
  </si>
  <si>
    <t>GEOL SOC AM MEM</t>
  </si>
  <si>
    <t>Geol. Soc. Am. Mem.</t>
  </si>
  <si>
    <t>10.1130/2018.1214(05)</t>
  </si>
  <si>
    <t>Geology; History &amp; Philosophy Of Science; Women's Studies</t>
  </si>
  <si>
    <t>Geology; History &amp; Philosophy of Science; Women's Studies</t>
  </si>
  <si>
    <t>BP1RC</t>
  </si>
  <si>
    <t>WOS:000540564800006</t>
  </si>
  <si>
    <t>Desprez, M; Gimenez, O; McMahon, CR; Hindell, MA; Harcourt, RG</t>
  </si>
  <si>
    <t>Desprez, Marine; Gimenez, Olivier; McMahon, Clive R.; Hindell, Mark A.; Harcourt, Robert G.</t>
  </si>
  <si>
    <t>Optimizing lifetime reproductive output: Intermittent breeding as a tactic for females in a long-lived, multiparous mammal</t>
  </si>
  <si>
    <t>JOURNAL OF ANIMAL ECOLOGY</t>
  </si>
  <si>
    <t>finite-mixture capture-recapture models; individual heterogeneity; life-history trade-offs; Mirounga leonina; reproductive costs; state uncertainty</t>
  </si>
  <si>
    <t>SOUTHERN ELEPHANT SEAL; CAPTURE-RECAPTURE MODELS; INDIVIDUAL QUALITY; MIROUNGA-LEONINA; FUR SEALS; HETEROGENEITY; FITNESS; SUCCESS; COSTS; SURVIVAL</t>
  </si>
  <si>
    <t>1. In iteroparous species, intermittent breeding is an important life-history tactic that can greatly affect animal population growth and viability. Despite its importance, few studies have quantified the consequences of breeding pauses on lifetime reproductive output, principally because calculating lifetime reproductive output requires knowledge of each individual's entire reproductive history. This information is extremely difficult to obtain in wild populations. 2. We applied novel statistical approaches that account for uncertainty in state assessment and individual heterogeneity to an 18-year capture-recapture dataset of 6,631 female southern elephant seals from Macquarie Island. We estimated survival and breeding probabilities, and investigated the consequences of intermittent breeding on lifetime reproductive output. 3. We found consistent differences in females' demographic performance between two heterogeneity classes. In particular, breeding imbued a high cost on survival in the females from the heterogeneity class 2, assumed to be females of lower quality. Individual quality also appeared to play a major role in a female's decision to skip reproduction with females of poorer quality more likely to skip breeding events than females of higher quality. 4. Skipping some breeding events allowed females from both heterogeneity classes to increase lifetime reproductive output over females that bred annually. However, females of lower quality produced less offspring over their lifetime. 5. Intermittent breeding seems to be used by female southern elephant seals as a tactic to offset reproductive costs on survival and enhance lifetime reproductive output but remains unavoidable and driven by individual-specific constraints in some other females.</t>
  </si>
  <si>
    <t>[Desprez, Marine; Harcourt, Robert G.] Macquarie Univ, Marine Predator Res Grp, Dept Biol Sci, N Ryde, NSW, Australia; [Gimenez, Olivier] Univ Paul Valery Montpellier, Univ Montpellier, CNRS, EPHE,CEFE,UMR 5175, Montpellier 5, France; [McMahon, Clive R.] Sydney Inst Marine Sci, Mosman, NSW, Australia; [Hindell, Mark A.] Univ Tasmania, Inst Marine &amp; Antarctic Studies, Hobart, Tas, Australia</t>
  </si>
  <si>
    <t>Macquarie University; Universite PSL; Ecole Pratique des Hautes Etudes (EPHE); Institut Agro; Montpellier SupAgro; CIRAD; Centre National de la Recherche Scientifique (CNRS); Institut de Recherche pour le Developpement (IRD); Universite Paul-Valery; Universite de Montpellier; Sydney Institute of Marine Science; University of Tasmania</t>
  </si>
  <si>
    <t>Desprez, M (corresponding author), Macquarie Univ, Marine Predator Res Grp, Dept Biol Sci, N Ryde, NSW, Australia.</t>
  </si>
  <si>
    <t>marine.desprez@gmail.com</t>
  </si>
  <si>
    <t>Gimenez, Olivier/G-4281-2010; Hindell, Mark A/K-1131-2013; Desprez, Marine/I-8054-2014; McMahon, Clive R/D-5713-2013</t>
  </si>
  <si>
    <t>McMahon, Clive R/0000-0001-5241-8917; Harcourt, Robert/0000-0003-4666-2934; Gimenez, Olivier/0000-0001-7001-5142; Hindell, Mark/0000-0002-7823-7185</t>
  </si>
  <si>
    <t>International Macquarie University Research Excellence Scholarship</t>
  </si>
  <si>
    <t>We thank all those who collected data, Roger Pradel for his advice and help with GoF tests, Remi Choquet for corrections and help on E-SURGE codes, Lisa Schwarz for helping with an earlier model and Remi Fay for fruitful discussions. M.D. was supported by an International Macquarie University Research Excellence Scholarship. The Australian Antarctic Division provided logistic support and ethics approval through the Australian Antarctic Animal Ethics Committee-AAS 660 &amp; AAS 2265. We have no competing interests.</t>
  </si>
  <si>
    <t>0021-8790</t>
  </si>
  <si>
    <t>1365-2656</t>
  </si>
  <si>
    <t>J ANIM ECOL</t>
  </si>
  <si>
    <t>J. Anim. Ecol.</t>
  </si>
  <si>
    <t>10.1111/1365-2656.12775</t>
  </si>
  <si>
    <t>Ecology; Zoology</t>
  </si>
  <si>
    <t>Environmental Sciences &amp; Ecology; Zoology</t>
  </si>
  <si>
    <t>FP8ZH</t>
  </si>
  <si>
    <t>WOS:000417935100019</t>
  </si>
  <si>
    <t>Wang, Y; Xiang, P; Kang, JH; Ye, YY; Lin, GM; Yang, QL; Lin, M</t>
  </si>
  <si>
    <t>Wang, Yu; Xiang, Peng; Kang, Jian-hua; Ye, You-yin; Lin, Geng-ming; Yang, Qing-liang; Lin, Mao</t>
  </si>
  <si>
    <t>Environmental controls on spatial variability of summer phytoplankton structure and biomass in the Bering Sea</t>
  </si>
  <si>
    <t>JOURNAL OF SEA RESEARCH</t>
  </si>
  <si>
    <t>Bering Sea; Phytoplankton; Community structure; Biomass; Spatial variation; Environmental correlates; Seasonal ice retreat</t>
  </si>
  <si>
    <t>MARINE PLANKTONIC DIATOM; NORTH PACIFIC; NEODENTICULA-SEMINAE; SURFACE WATERS; ICE-EDGE; ASSEMBLAGES; CHLOROPHYLL; ECOSYSTEM; BLOOM; CIRCULATION</t>
  </si>
  <si>
    <t>The subarctic Bering Sea, one of the most productive regions of the world's oceans, is undergoing significant ecological shifts possibly linked to global climate change. During the Fourth Chinese National Arctic Research Expedition (CHINARE) from July 10 to 20 of 2010, phytoplankton community structure, species diversity, spatial distribution, community types, abundance and biomass variations were investigated in a large scale study extending from the Bering Strait into the open waters down to the subarctic Pacific. These patterns were linked to potential environmental drivers, including effects of water masses and seasonal sea ice retreat. Results showed a marked spatial zonation in the taxonomic composition, abundance and biomass. A total of 149 phytoplankton taxa distributed among 57 genera of 5 phyla were identified, characterized into three ecological groups, namely Arctic, Boreal-temperate and cosmopolitan species. Phytoplankton included 101 species of diatoms, 44 species of dinoflagellates, 2 species of Chrysophyta, 1 species of each Chlorophyta and Euglenophyta. Both abundance and biomass were highest in the Bering Shelf, moderate on the Bering Slope, and lowest on the Bering Basin. Chlorophyll a was found highest in the subsurface chlorophyll maxima (SCM) close to the thermocline and halocline layers but its depth varied regionally. Multi-dimensional scaling (MDS) revealed two types of assemblages, one a deep-sea assemblage associated with the Bering Basin and a neritic assemblage found in the Bering Slope and Shelf. Average abundance (10.22 x 10(3) cells/L), biomass (0.43 mg/m(3)), species diversity (2.60) and species richness (1.66) were established for deep-sea assemblage with the dominant species ranked as Neodenticula seminae, Chaetoceros atlanticus, Pseudonitzschia delicatissima, and Thalassionema nitzschioides. Neritic assemblage had higher values with 12.73 x 10(3) cells/L, 2.41 mg/m(3), and 2.55 species richness but lower (2.41) species diversity, and the community was mainly dominated by Thalassiosira nordenskioldii, Leptocylindrus danicus, Chaetoceros socialis, Chaetoceros debilis, Fragilariopsis oceanica, Nitzschia closterium and Chaetoceros furcellatus. A diatom bloom was observed near the Bering Strait in the summer of 2010 induced by high availability of nitrate particularly in the Bering Shelf, while water mass transportation mainly influenced communities in the Bering Basin and Slope. The observed fluctuation in both biomass and summer phytoplankton communities in the Bering Sea were mostly influenced by events related to the spring sea ice retreat in 2010.</t>
  </si>
  <si>
    <t>[Wang, Yu; Xiang, Peng; Kang, Jian-hua; Ye, You-yin; Lin, Geng-ming; Yang, Qing-liang; Lin, Mao] State Ocean Adm, Inst Oceanog 3, Lab Marine Biol &amp; Ecol, Xiamen 361005, Peoples R China</t>
  </si>
  <si>
    <t>Third Institute of Oceanography, Ministry of Natural Resources</t>
  </si>
  <si>
    <t>Kang, JH; Lin, M (corresponding author), State Ocean Adm, Inst Oceanog 3, Lab Marine Biol &amp; Ecol, Xiamen 361005, Peoples R China.</t>
  </si>
  <si>
    <t>kangjianhua@tio.org.cn; linmao@tio.org.cn</t>
  </si>
  <si>
    <t>Yang, Qingliang/GRY-1981-2022; Wang, Yu/HLP-6716-2023; Kang, Jianhua/HJY-4662-2023</t>
  </si>
  <si>
    <t>Kang, Jianhua/0000-0001-8105-3195</t>
  </si>
  <si>
    <t>National Natural Science Foundation of China [41506217, 41506136]; Ministry of Science and Technology [GASI-01-02-04]; Chinese Arctic and Antarctic Administration</t>
  </si>
  <si>
    <t>National Natural Science Foundation of China(National Natural Science Foundation of China (NSFC)); Ministry of Science and Technology(Spanish Government); Chinese Arctic and Antarctic Administration</t>
  </si>
  <si>
    <t>The authors wish to thank Dr. Tang Sen-ming from Hong Kong University for fruitful discussion and for helping to revise the manuscript, Prof. Zhao Jin-ping and Prof. Shi Jiu-xin of Ocean University of China for temperature and salinity data, Mr. Li Hong-liang of Second Institute of Oceanography, SOA for nutrient measurements. This study was partially supported by the National Natural Science Foundation of China (Project nos. 41506217 and 41506136), the Ministry of Science and Technology (Project nos. GASI-01-02-04). This work was also supported by Chinese Arctic and Antarctic Administration and the crews of the Fourth Chinese National Arctic Research Expedition (CHINARE) in 2010.</t>
  </si>
  <si>
    <t>1385-1101</t>
  </si>
  <si>
    <t>1873-1414</t>
  </si>
  <si>
    <t>J SEA RES</t>
  </si>
  <si>
    <t>J. Sea Res.</t>
  </si>
  <si>
    <t>10.1016/j.seares.2017.08.008</t>
  </si>
  <si>
    <t>FN4VD</t>
  </si>
  <si>
    <t>WOS:000416003900001</t>
  </si>
  <si>
    <t>Fielding, CR</t>
  </si>
  <si>
    <t>Fielding, Christopher R.</t>
  </si>
  <si>
    <t>Stratigraphic architecture of the Cenozoic succession in the McMurdo Sound region, Antarctica: An archive of polar palaeoenvironmental change in a failed rift setting</t>
  </si>
  <si>
    <t>SEDIMENTOLOGY</t>
  </si>
  <si>
    <t>Antarctica; Cenozoic; McMurdo Sound; palaeoclimate; stratigraphy</t>
  </si>
  <si>
    <t>ORBITALLY-INDUCED OSCILLATIONS; OLIGOCENE BATHYMETRIC CHANGES; EARLY PLIOCENE DIATOMITE; SOUTHERN VICTORIA LAND; LOWER-TAYLOR-VALLEY; WESTERN ROSS SEA; ICE-SHEET; GLACIAL HISTORY; SEISMIC STRATIGRAPHY; SEDIMENTARY FACIES</t>
  </si>
  <si>
    <t>The Victoria Land Basin forms part of the failed West Antarctic Rift, and preserves a Cenozoic succession up to 4km thick that records the onset of Cenozoic glaciation, and the history of Antarctic glaciation over the past 34Myr. This succession is relevant both to investigations of modern climate change and to studies of long-term palaeoclimate change in general. This study provides a sedimentological and stratigraphic review of the Victoria Land Basin succession, based on analysis of several continuous drillcores acquired since the 1970s, and supported by seismic stratigraphic analysis of a large array of seismic reflection data. An array of fifteen lithofacies is recognized within the Victoria Land Basin Cenozoic succession, including fossiliferous and diversely bioturbated mudrocks and diatomites, texturally mature sandstones and conglomerates, mixed mudstones and sandstones with dispersed gravel with restricted bioturbation, and diamictites and associated lithologies. These facies record a variety of marine, glaciomarine, proglacial and subglacial environments. Locally, volcanic and volcaniclastic deposits are interbedded in the succession. Lithofacies are arranged in repetitive vertical stacking patterns (depositional sequences) that record glacial advance-retreat cycles with attendant relative sea-level changes. Seven varieties of depositional sequences (stratigraphic motifs) are recognized within the succession as a whole, and interpreted to record a range of depositional settings from rifts unaffected by glacial ice (Motif 7), through varying degrees of glacial influence with abundant meltwater contributions (Motifs 6 to 3), to cold, polar glaciated environments such as that of today (Motifs 2 and 1). Overall, there is a gradual trend upward through the succession from Motif 7 at the base towards Motif 1 at the top, but the trend is not monotonic. A significant conclusion of this work is that a record of dynamic climate and glacial conditions is preserved through the entire 34Myr period of the Cenozoic icehouse, at least in the Victoria Land Basin. Intervals characterized by consistent stratigraphic style (motifs) are recognized throughout the Victoria Land Basin succession. These intervals are of 1 to 6Myr duration, each containing numerous depositional sequences; they are one to two orders of magnitude longer than glacial-interglacial cycles, and record periods during which environmental conditions varied in an internally consistent manner. These intervals are considered to reflect convolutions of orbital parameters that remained stable for periods of 10(6) a, and then switched to alternative configurations. Such intervals are directly analogous to 1 to 8Myr intervals characterized by glaciogenic strata that are preserved within the late Palaeozoic of eastern Australia among other areas, and may be a recurring stratigraphic response to icehouse climate regimes through geological time.</t>
  </si>
  <si>
    <t>[Fielding, Christopher R.] Univ Nebraska Lincoln, Dept Earth &amp; Atmospher Sci, 126 Bessey Hall, Lincoln, NE 68588 USA</t>
  </si>
  <si>
    <t>University of Nebraska System; University of Nebraska Lincoln</t>
  </si>
  <si>
    <t>Fielding, CR (corresponding author), Univ Nebraska Lincoln, Dept Earth &amp; Atmospher Sci, 126 Bessey Hall, Lincoln, NE 68588 USA.</t>
  </si>
  <si>
    <t>cfielding2@unl.edu</t>
  </si>
  <si>
    <t>Antarctic programme of Italy; Antarctic programme of New Zealand; Antarctic programme of USA; Antarctic programme of Germany; Antarctic programme of Australia; Antarctic programme of UK; Antarctic programme of Netherlands; Australian Research Council; US National Science Foundation (NSF); NZ Foundation for Research, Science and Technology (FRST); Italian Antarctic Research Programme (PNRA); German Research Foundation (DFG); Alfred Wegener Institute for Polar and Marine Research (AWI); US National Science Foundation [0342484]; Raytheon Polar Services Corporation</t>
  </si>
  <si>
    <t>Antarctic programme of Italy; Antarctic programme of New Zealand; Antarctic programme of USA; Antarctic programme of Germany; Antarctic programme of Australia; Antarctic programme of UK; Antarctic programme of Netherlands; Australian Research Council(Australian Research Council); US National Science Foundation (NSF)(National Science Foundation (NSF)); NZ Foundation for Research, Science and Technology (FRST)(New Zealand Foundation for Research, Science and Technology); Italian Antarctic Research Programme (PNRA); German Research Foundation (DFG)(German Research Foundation (DFG)); Alfred Wegener Institute for Polar and Marine Research (AWI); US National Science Foundation(National Science Foundation (NSF)); Raytheon Polar Services Corporation</t>
  </si>
  <si>
    <t>Many of the cores described in this study were examined while I was a participant in the Cape Roberts Project (1996 to 2000) and the ANDRILL project (2006 to 2009). The Cape Roberts Project was supported by the Antarctic programmes of Italy, New Zealand, the USA, Germany, Australia, the UK and The Netherlands, with field operations organized by Antarctica New Zealand. The efforts of the Cape Roberts Project International Steering Committee, the Operations/Logistics Management Group, Chief Scientists Peter Barrett and Peter-Noel Webb, Crary Lab Science Leader and the drilling, logistics support and science teams are acknowledged. Additional scientific leadership was provided by Ross Powell, Michael Hambrey and Timothy Naish. My involvement in the Cape Roberts Project was facilitated by two cycle research grants from the Australian Research Council (to K.J. Woolfe and C.R. Fielding). The ANDRILL Program was a multinational collaboration between the Antarctic programmes of Germany, Italy, New Zealand and the United States. Antarctica New Zealand was the project operator and developed the drilling system in collaboration with Alex Pyne at Victoria University of Wellington and Webster Drilling and Exploration Ltd.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Scientific studies were jointly supported by the US National Science Foundation (NSF), NZ Foundation for Research, Science and Technology (FRST), the Italian Antarctic Research Programme (PNRA), the German Research Foundation (DFG) and the Alfred Wegener Institute for Polar and Marine Research (AWI). My research was supported by the US National Science Foundation under Co-operative Agreement 0342484 through sub-awards administered by the ANDRILL Science Management Office at University of Nebraska-Lincoln as part of the ANDRILL US Science Support Program. I thank the SMS Chief Scientists David Harwood, Fabio Florindo and Franco Talarico, Staff Scientist Richard Levy and the Drillsite and Science Teams. The staff at the Florida State University Antarctic Marine Geology Research Facility in Tallahassee, FL (particularly Tom Janacek, Matt Curren, Fred Weaver, Simon Nielsen and Charlotte Sjunneskog) are thanked for arranging access to drillcores on numerous occasions.</t>
  </si>
  <si>
    <t>0037-0746</t>
  </si>
  <si>
    <t>1365-3091</t>
  </si>
  <si>
    <t>Sedimentology</t>
  </si>
  <si>
    <t>10.1111/sed.12413</t>
  </si>
  <si>
    <t>FP4WH</t>
  </si>
  <si>
    <t>WOS:000417617200001</t>
  </si>
  <si>
    <t>Zhang, RJ; Qiu, WQ; Zhang, MS; Row, KH; Cheng, YD; Jin, YZ</t>
  </si>
  <si>
    <t>Zhang, Ruijuan; Qiu, Weiqiang; Zhang, Maosai; Row, Kyung Ho; Cheng, Yudong; Jin, Yinzhe</t>
  </si>
  <si>
    <t>Effects of different heating methods on the contents of nucleotides and related compounds in minced Pacific white shrimp and Antarctic krill</t>
  </si>
  <si>
    <t>LWT-FOOD SCIENCE AND TECHNOLOGY</t>
  </si>
  <si>
    <t>Microwave heating; Water bath heating; ATP degradation; Freshness; K value</t>
  </si>
  <si>
    <t>4 DEGREES-C; BASS DICENTRARCHUS-LABRAX; WATER-SOLUBLE FLAVOR; CARP CYPRINUS-CARPIO; CHILLED STORAGE; QUALITY CHANGES; LITOPENAEUS-VANNAMEI; SUPERCHILLED STORAGE; POSTMORTEM CHANGES; BIOGENIC-AMINE</t>
  </si>
  <si>
    <t>The effect of heating methods (microwave and water bath, and combined microwave and water bath heating) on 6 nucleotides and related compounds (NRCs) in minced Pacific white shrimp and Antarctic krill was investigated at 25, 40, 55, 65, 75, 85, and 95 degrees C. In Pacific white shrimp, the main changes of NRCs were in adenosine monophosphate (AMP) and inosine monophosphate (IMP). High temperature (85 and 95 degrees C) can inhibit the ATP degradation by water bath heating. In Antarctic krill, the main change of NRCs was in inosine (HxR) that decreased in microwave heating treatment at 95 degrees C. The different methods were compared in terms of IMP content and flavor/bitter ratio, which are related to flavor of aquatic products. The best heating method was pre-heating at 75 degrees C in water bath followed by microwave heating at 95 degrees C (IMP content and relatively flavor/bitter ratio were 4.34 mu mol/g and 3.00, respectively) for pacific white shrimp and pre-heating at 65 degrees C in microwave followed by water bath heating at 95 degrees C (IMP content and relatively flavor/bitter ratio were 0.18 mu mol/g and 0.06, respectively) for Antarctic krill, respectively. Chemical analysis, microbiological analysis and sensory evaluation showed that the K value is not suitable for assessing the freshness of Antarctic krill. (C) 2017 Elsevier Ltd. All rights reserved.</t>
  </si>
  <si>
    <t>[Zhang, Ruijuan; Qiu, Weiqiang; Zhang, Maosai; Cheng, Yudong; Jin, Yinzhe] Shanghai Ocean Univ, Coll Food Sci &amp; Technol, Natl Expt Teaching Demonstrat Ctr Food Sci &amp; Engn, Engn Res Ctr Food Thermal Proc Technol, Shanghai 201306, Peoples R China; [Row, Kyung Ho] Inha Univ, Dept Chem Engn, 100 Inharo, Incheon 22212, South Korea</t>
  </si>
  <si>
    <t>Shanghai Ocean University; Inha University</t>
  </si>
  <si>
    <t>Cheng, YD; Jin, YZ (corresponding author), Shanghai Ocean Univ, Coll Food Sci &amp; Technol, Natl Expt Teaching Demonstrat Ctr Food Sci &amp; Engn, Engn Res Ctr Food Thermal Proc Technol, Shanghai 201306, Peoples R China.</t>
  </si>
  <si>
    <t>yzjin@shou.edu.cn</t>
  </si>
  <si>
    <t>Kyung Ho, Row/AGB-8348-2022; zhang, rui/HZI-0079-2023</t>
  </si>
  <si>
    <t>Shanghai University Knowledge Service Platform; Shanghai Ocean University Aquatic Animal Breeding Center [ZFI206]; Shanghai Science and Technology Development Project [A2-0203-00-1000208]; Doctoral Starting up Foundation [A2-0203-00-100340]</t>
  </si>
  <si>
    <t>Shanghai University Knowledge Service Platform; Shanghai Ocean University Aquatic Animal Breeding Center; Shanghai Science and Technology Development Project; Doctoral Starting up Foundation</t>
  </si>
  <si>
    <t>This work was supported by the Shanghai University Knowledge Service Platform and Shanghai Ocean University Aquatic Animal Breeding Center (ZFI206) and Shanghai Science and Technology Development Project (A2-0203-00-1000208) and the Doctoral Starting up Foundation (A2-0203-00-100340).</t>
  </si>
  <si>
    <t>0023-6438</t>
  </si>
  <si>
    <t>1096-1127</t>
  </si>
  <si>
    <t>LWT-FOOD SCI TECHNOL</t>
  </si>
  <si>
    <t>LWT-Food Sci. Technol.</t>
  </si>
  <si>
    <t>10.1016/j.lwt.2017.08.078</t>
  </si>
  <si>
    <t>FN1RS</t>
  </si>
  <si>
    <t>WOS:000415769500018</t>
  </si>
  <si>
    <t>Kotzakoulakis, K; George, SC</t>
  </si>
  <si>
    <t>Kotzakoulakis, Konstantinos; George, Simon C.</t>
  </si>
  <si>
    <t>Predicting the weathering of fuel and oil spills: A diffusion-limited evaporation model</t>
  </si>
  <si>
    <t>CHEMOSPHERE</t>
  </si>
  <si>
    <t>Oil spill; Weathering; Evaporation; Diffusion; Model; Fuel Spill</t>
  </si>
  <si>
    <t>PETROLEUM-PRODUCTS; CRUDE-OIL; RATES</t>
  </si>
  <si>
    <t>The majority of the evaporation models currently available in the literature for the prediction of oil spill weathering do not take into account diffusion-limited mass transport and the formation of a concentration gradient in the oil phase. The altered surface concentration of the spill caused by diffusion-limited transport leads to a slower evaporation rate compared to the predictions of diffusion-agnostic evaporation models. The model presented in this study incorporates a diffusive layer in the oil phase and predicts the diffusion-limited evaporation rate. The information required is the composition of the fluid from gas chromatography or alternatively the distillation data. If the density or a single viscosity measurement is available the accuracy of the predictions is higher. Environmental conditions such as water temperature, air pressure and wind velocity are taken into account. The model was tested with synthetic mixtures, petroleum fuels and crude oils with initial viscosities ranging from 2 to 13,000 cSt. The tested temperatures varied from 0 degrees C to 23.4 degrees C and wind velocities from 03 to 3.8 m/s. The average absolute deviation (MD) of the diffusion-limited model ranged between 1.62% and 24.87%. In comparison, the MD of a diffusion-agnostic model ranged between 234% and 136.62% against the same tested fluids. (C) 2017 Elsevier Ltd. All rights reserved.</t>
  </si>
  <si>
    <t>[Kotzakoulakis, Konstantinos] Macquarie Univ, Dept Earth &amp; Planetary Sci, N Ryde, NSW 2109, Australia; Macquarie Univ, Marine Res Ctr, N Ryde, NSW 2109, Australia</t>
  </si>
  <si>
    <t>Macquarie University; Macquarie University</t>
  </si>
  <si>
    <t>Kotzakoulakis, K (corresponding author), Macquarie Univ, Dept Earth &amp; Planetary Sci, N Ryde, NSW 2109, Australia.</t>
  </si>
  <si>
    <t>konstantinos.kotzakoulakis@gmail.com</t>
  </si>
  <si>
    <t>George, Simon Christopher/G-7134-2015</t>
  </si>
  <si>
    <t>George, Simon Christopher/0000-0001-6534-3846</t>
  </si>
  <si>
    <t>Australian Antarctic Division [3054, 4142]; Endeavour PhD scholarship [3122_2012]</t>
  </si>
  <si>
    <t>Australian Antarctic Division; Endeavour PhD scholarship</t>
  </si>
  <si>
    <t>We thank the Australian Antarctic Division for funding this project (MS grants 3054 and 4142). Konstantinos Kotzakoulakis was the recipient of an Endeavour PhD scholarship (3122_2012), for which he is very grateful. We thank Paul Smith, Professor of Mathematics at Macquarie University, for his advice in mathematics. We thank several individuals who have worked with us as part of the bigger project team and have contributed ideas, including Peter Harrison, Catherine King, Kathryn Brown and Frances Alexander.</t>
  </si>
  <si>
    <t>0045-6535</t>
  </si>
  <si>
    <t>1879-1298</t>
  </si>
  <si>
    <t>Chemosphere</t>
  </si>
  <si>
    <t>10.1016/j.chemosphere.2017.09.142</t>
  </si>
  <si>
    <t>FM3CJ</t>
  </si>
  <si>
    <t>WOS:000414881600047</t>
  </si>
  <si>
    <t>Barbaro, E; Spolaor, A; Karroca, O; Park, KT; Martma, T; Isaksson, E; Kohler, J; Gallet, JC; Bjorkman, MP; Cappelletti, D; Spreen, G; Zangrando, R; Barbante, C; Gambaro, A</t>
  </si>
  <si>
    <t>Barbaro, Elena; Spolaor, Andrea; Karroca, Ornela; Park, Ki-Tae; Martma, Tonu; Isaksson, Elisabeth; Kohler, Jack; Gallet, Jean Charles; Bjorkman, Mats P.; Cappelletti, David; Spreen, Gunnar; Zangrando, Roberta; Barbante, Carlo; Gambaro, Andrea</t>
  </si>
  <si>
    <t>Free amino acids in the Arctic snow and ice core samples: Potential markers for paleoclimatic studies</t>
  </si>
  <si>
    <t>Amino acids; Ice cores; Biological marker; Svalbard</t>
  </si>
  <si>
    <t>DISSOLVED ORGANIC NITROGEN; METHANESULFONIC-ACID; ATMOSPHERIC AEROSOLS; MARINE AEROSOL; ANTHROPOGENIC SOURCES; ANTARCTIC AEROSOL; POLLUTANTS POPS; FOG WATERS; SVALBARD; OCEAN</t>
  </si>
  <si>
    <t>The role of oceanic primary production on climate variability has long been debated. Defining changes in past oceanic primary production can help understanding of the important role that marine algae have in climate variability. In ice core research methanesulfonic acid is the chemical marker commonly used for assessing changes in past primary production. However, other organic compounds such as amino acids, can be produced and emitted into the atmosphere during a phytoplankton bloom. These species can be transported and deposited onto the ice cap in polar regions. Here we investigate the correlation between the concentration of chlorophyll-a, marker of marine primary production, and amino acids present in an ice core. For the first time, free L- and D-amino acids in Arctic snow and firn samples were determined by a sensitive and selective analytical method based on liquid chromatography coupled with tandem mass spectrometry. The new method for the determination of free amino acids concentrations was applied to firn core samples collected on April 2015 from the summit of the Holtedahlfonna glacier, Svalbard (N 79'08.424, E 13'23.639, 1120 m a.s.l.). The main results of this work are summarized as follows: (1) glycine, alanine and proline, were detected and quantified in the firn core samples; (2) their concentration profiles, compared with that of the stable isotope delta O-18 ratio, show a seasonal cycling with the highest concentrations during the spring and summer time; (3) back-trajectories and Greenland Sea chlorophyll-a concentrations obtained by satellite measurements were compared with the amino acids profile obtained from ice core samples, this provided further insights into the present results. This study suggests that the amino acid concentrations in the ice samples collected from the Holtedahlfonna glaciers could reflect changes in oceanic phytoplankton abundance. (C) 2017 Elsevier B.V. All rights reserved.</t>
  </si>
  <si>
    <t>[Barbaro, Elena; Karroca, Ornela; Barbante, Carlo; Gambaro, Andrea] Ca Foscari Univ Venice, Dept Environm Sci Informat &amp; Stat, Via Torino 155, I-30172 Venice, Italy; [Spolaor, Andrea; Zangrando, Roberta; Barbante, Carlo; Gambaro, Andrea] CNR, Inst Dynam Environm Proc, Via Torino 155, I-30172 Venice, Italy; [Park, Ki-Tae] Korea Polar Res Inst, 26 Songdomirae Ro, Incheon 406840, South Korea; [Martma, Tonu] Tallinn Univ Technol, Dept Geol, Ehitajate Tee 5, EE-19086 Tallinn, Estonia; [Isaksson, Elisabeth; Kohler, Jack; Gallet, Jean Charles] Norwegian Polar Res Inst, NO-9296 Tromso, Norway; [Bjorkman, Mats P.] Univ Gothenburg, Dept Earth Sci, Box 60, S-40530 Gothenburg, Sweden; [Cappelletti, David] Univ Perugia, Dipartimento Chim Biol &amp; Biotecnol, I-06123 Perugia, Italy; [Spreen, Gunnar] Univ Bremen, Inst Environm Phys, Otto Hahn Allee 1, D-28359 Bremen, Germany</t>
  </si>
  <si>
    <t>Universita Ca Foscari Venezia; Consiglio Nazionale delle Ricerche (CNR); Istituto per la Dinamica dei Processi Ambientali (IDPA-CNR); Korea Polar Research Institute (KOPRI); Tallinn University of Technology; Norwegian Polar Institute; University of Gothenburg; University of Perugia; University of Bremen</t>
  </si>
  <si>
    <t>Barbaro, E (corresponding author), Ca Foscari Univ Venice, Via Torino 155, I-30172 Venice, Italy.</t>
  </si>
  <si>
    <t>barbaro@unive.it</t>
  </si>
  <si>
    <t>BARBARO, ELENA/AAK-3106-2021; Barbaro, Elena/AAX-8809-2020; Spreen, Gunnar/A-4533-2010; Park, Ki-Tae/CAF-2480-2022; Cappelletti, David/C-5782-2009; Barbante, Carlo/B-3195-2011; Spolaor, Andrea/AAX-8808-2020; Martma, Tonu/B-7386-2019</t>
  </si>
  <si>
    <t>Barbaro, Elena/0000-0003-2639-7475; Spreen, Gunnar/0000-0003-0165-8448; Spolaor, Andrea/0000-0001-8635-9193; Park, Ki-Tae/0000-0003-4874-6189; Barbante, Carlo/0000-0003-4177-2288; Kohler, Jack/0000-0003-1963-054X; Gallet, Jean-Charles/0000-0002-6153-1361; Martma, Tonu/0000-0001-5894-7692</t>
  </si>
  <si>
    <t>DEC 31</t>
  </si>
  <si>
    <t>10.1016/j.scitotenv.2017.07.041</t>
  </si>
  <si>
    <t>FF2VQ</t>
  </si>
  <si>
    <t>WOS:000408755300046</t>
  </si>
  <si>
    <t>Tort, LFL; Iglesias, K; Bueno, C; Lizasoain, A; Salvo, M; Cristina, J; Kandratavicius, N; Pérez, L; Figueira, R; Bícego, MC; Taniguchi, S; Venturini, N; Brugnoli, E; Colina, R; Victoria, M</t>
  </si>
  <si>
    <t>Tort, L. F. L.; Iglesias, K.; Bueno, C.; Lizasoain, A.; Salvo, M.; Cristina, J.; Kandratavicius, N.; Perez, L.; Figueira, R.; Bicego, M. C.; Taniguchi, S.; Venturini, N.; Brugnoli, E.; Colina, R.; Victoria, M.</t>
  </si>
  <si>
    <t>Wastewater contamination in Antarctic melt-water streams evidenced by virological and organic molecular markers</t>
  </si>
  <si>
    <t>Sterols; Enteric viruses; Surface water; Sediment; Antarctica</t>
  </si>
  <si>
    <t>GENETIC DIVERSITY; FECAL STEROLS; ANTHROPOGENIC CONTAMINATION; ACUTE GASTROENTERITIS; ROTAVIRUS STRAINS; SURFACE SEDIMENTS; MARINE-SEDIMENTS; VIRAL PATHOGENS; ADMIRALTY BAY; DAVIS-STATION</t>
  </si>
  <si>
    <t>Human activities in the Antarctica including tourism and scientific research have been raised substantially in the last century with the concomitant impact on the Antarctic ecosystems through the release of wastewater mainly from different scientific stations activities. The aim of this study was to assess the wastewater contamination of surface waters and sediments of three melt-water streams (11 sites) by leaking septic tanks located in the vicinity of the Uruguayan Scientific Station in the Fades Peninsula, King George Island, Antarclica, during summer 2015. For this purpose, we combined the analysis of fecal steroids in sediments by using gas chromatography and six enteric viruses in surface waters by quantitative and qualitative PCR. Coprostanol concentrations (from 0.03 to 3.31 mu g g(-1)) and fecal steroids diagnostic ratios indicated that stations C7 and C8 located in the kitchen stream presented sewage contamination. Rotavirus was the only enteric virus detected in five sites with concentration ranging from 1.2 x 10(5) gc L-1 to 5.1 x 10(5) gc L-1 being three of them located downstream from the leaking AINA and Kitchen septic tanks. This study shows for the first time the presence of both virological and molecular biomarkers of wastewater pollution in surface waters and sediments of three melt-water streams in the vicinity of a scientific station in the Antarctica. These results highlight the importance of the complementation of these biomarkers in two different matrices (surface waters and sediments) to assess wastewater pollution in an AM arctic environment related lo anthropogenic activities in the area. (C) 2017 Published by Elsevier B.V.</t>
  </si>
  <si>
    <t>[Tort, L. F. L.; Lizasoain, A.; Salvo, M.; Colina, R.; Victoria, M.] Univ Republ, Lab Virol Mol, Sede Salto CENUR Litoral Norte, Rivera 1350, Salto 50000, Uruguay; [Iglesias, K.; Venturini, N.] Univ Republica, Fac Ciencias, IECA, Lab Biogeoquim Marina, Igua 4225, Montevideo 11400, Uruguay; [Bueno, C.; Kandratavicius, N.; Brugnoli, E.] Univ Republica, Fac Ciencias, IECA, Oceanog &amp; Ecol Marina, Igua 4225, Montevideo 11400, Uruguay; [Cristina, J.] Univ Republica, Fac Ciencias, Mol Virol Lab, Ctr Invest Nucl, Mataojo 2055, Montevideo 11400, Uruguay; [Perez, L.] Univ Republ, Ctr Univ Reg Este, Ruta 9 &amp; Ruta 15, Rocha, Uruguay; [Figueira, R.; Bicego, M. C.; Taniguchi, S.] Univ Sao Paulo, Inst Oceanog, Praca Oceanog 191,Cidade Univ, BR-05508120 Sao Paulo, SP, Brazil</t>
  </si>
  <si>
    <t>Universidad de la Republica, Uruguay; Universidad de la Republica, Uruguay; Universidad de la Republica, Uruguay; Universidad de la Republica, Uruguay; Universidad de la Republica, Uruguay; Universidade de Sao Paulo</t>
  </si>
  <si>
    <t>Victoria, M (corresponding author), Univ Republ, Lab Virol Mol, Sede Salto CENUR Litoral Norte, Rivera 1350, Salto 50000, Uruguay.</t>
  </si>
  <si>
    <t>mvictoria@unorte.edu.uy</t>
  </si>
  <si>
    <t>Taniguchi, Satie/D-2552-2013; Bicego, Marcia C/D-1996-2013; Venturini, Natalia/B-8087-2012; Victoria, Matias/ABE-1729-2020; Figueira, Rubens RCL/C-5958-2013; Figueira, Rubens/AAC-1045-2022</t>
  </si>
  <si>
    <t>Figueira, Rubens/0000-0001-8945-4540; Venturini, Natalia/0000-0003-3510-3053; Tort, Luis Fernando Lopez/0000-0001-9252-5135; Bicego, Marcia/0000-0002-9939-9853; LIZASOAIN, ANDRES/0000-0001-8062-6916; Colina, Rodney/0000-0003-3731-5383</t>
  </si>
  <si>
    <t>Instituto Antarctico Uruguayo (IAU) [P-DCC-15]; Comision Sectorial de Investigacion Cientifica (CSIC-Dedication Total, UdelaR), Laboratorio Tecnologico del Uruguay (LATU) [5000005779]; Sistema Nacional de Investigadores, Agencia Nacional de Investigacion e Innovation (SNI-ANII); PEDECIBA-Geociencias</t>
  </si>
  <si>
    <t>Instituto Antarctico Uruguayo (IAU); Comision Sectorial de Investigacion Cientifica (CSIC-Dedication Total, UdelaR), Laboratorio Tecnologico del Uruguay (LATU); Sistema Nacional de Investigadores, Agencia Nacional de Investigacion e Innovation (SNI-ANII); PEDECIBA-Geociencias</t>
  </si>
  <si>
    <t>We thank the Instituto Antarctico Uruguayo (IAU) (P-DCC-15) for providing logistic and financial support. The BCAA crew Antarkos XXXI is especially acknowledged by their support during sampling campaign. We also acknowledge support from Comision Sectorial de Investigacion Cientifica (CSIC-Dedication Total, UdelaR), Laboratorio Tecnologico del Uruguay (LATU) (5000005779) and Sistema Nacional de Investigadores, Agencia Nacional de Investigacion e Innovation (SNI-ANII). This article is part of the MSc. Thesis of K. Iglesias, which is supported by PEDECIBA-Geociencias. Also, we want to thank our colleagues from the LAQUIMAR and the LabQOM of the Oceanographic Institute of Sao Paulo University for their help with sediment chemical analyses.</t>
  </si>
  <si>
    <t>10.1016/j.scitotenv.2017.07.127</t>
  </si>
  <si>
    <t>FG5JZ</t>
  </si>
  <si>
    <t>WOS:000410352900025</t>
  </si>
  <si>
    <t>Fuller, RW; Wong, TE; Keller, K</t>
  </si>
  <si>
    <t>Fuller, Robert William; Wong, Tony E.; Keller, Klaus</t>
  </si>
  <si>
    <t>Probabilistic inversion of expert assessments to inform projections about Antarctic ice sheet responses</t>
  </si>
  <si>
    <t>RUN LENGTH CONTROL; SEA-LEVEL; MARKOV-CHAINS; UNCERTAINTY; CALIBRATION; CONSTRAINTS; DYNAMICS; MODELS</t>
  </si>
  <si>
    <t>The response of the Antarctic ice sheet (AIS) to changing global temperatures is a key component of sea-level projections. Current projections of the AIS contribution to sea-level changes are deeply uncertain. This deep uncertainty stems, in part, from (i) the inability of current models to fully resolve key processes and scales, (ii) the relatively sparse available data, and (iii) divergent expert assessments. One promising approach to characterizing the deep uncertainty stemming from divergent expert assessments is to combine expert assessments, observations, and simple models by coupling probabilistic inversion and Bayesian inversion. Here, we present a proof-of-concept study that uses probabilistic inversion to fuse a simple AIS model and diverse expert assessments. We demonstrate the ability of probabilistic inversion to infer joint prior probability distributions of model parameters that are consistent with expert assessments. We then confront these inferred expert priors with instrumental and paleoclimatic observational data in a Bayesian inversion. These additional constraints yield tighter hindcasts and projections. We use this approach to quantify how the deep uncertainty surrounding expert assessments affects the joint probability distributions of model parameters and future projections.</t>
  </si>
  <si>
    <t>[Fuller, Robert William; Keller, Klaus] Penn State Univ, Dept Geosci, University Pk, PA 16802 USA; [Wong, Tony E.; Keller, Klaus] Penn State Univ, Earth &amp; Environm Syst Inst, University Pk, PA 16802 USA; [Keller, Klaus] Carnegie Mellon Univ, Dept Engn &amp; Publ Policy, Pittsburgh, PA 15213 USA; [Wong, Tony E.] Univ Colorado, Dept Comp Sci, Boulder, CO 80309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</si>
  <si>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Carnegie Mellon University; University of Colorado System; University of Colorado Boulder</t>
  </si>
  <si>
    <t>Keller, K (corresponding author), Penn State Univ, Dept Geosci, University Pk, PA 16802 USA.;Keller, K (corresponding author), Penn State Univ, Earth &amp; Environm Syst Inst, University Pk, PA 16802 USA.;Keller, K (corresponding author), Carnegie Mellon Univ, Dept Engn &amp; Publ Policy, Pittsburgh, PA 15213 USA.</t>
  </si>
  <si>
    <t>klaus@psu.edu</t>
  </si>
  <si>
    <t>Keller, Klaus/A-6742-2013; Wong, Tony/AAS-9534-2020</t>
  </si>
  <si>
    <t>Wong, Tony/0000-0002-7304-3883</t>
  </si>
  <si>
    <t>National Science Foundation through the Network for Sustainable Climate Risk Management (SCRiM) under NSF cooperative agreement [GEO-1240507]; Penn State Center for Climate Risk Management; Directorate For Geosciences [1240507] Funding Source: National Science Foundation</t>
  </si>
  <si>
    <t>National Science Foundation through the Network for Sustainable Climate Risk Management (SCRiM) under NSF cooperative agreement; Penn State Center for Climate Risk Management; Directorate For Geosciences(National Science Foundation (NSF)NSF - Directorate for Geosciences (GEO))</t>
  </si>
  <si>
    <t>This work was partially supported by the National Science Foundation through the Network for Sustainable Climate Risk Management (SCRiM) under NSF cooperative agreement GEO-1240507 and the Penn State Center for Climate Risk Management. Any opinions, findings, and conclusions or recommendations expressed in this material are those of the authors and do not necessarily reflect the views of the National Science Foundation or other funding entities. The funder had no role in study design, data collection and analysis, decision to publish, or preparation of the manuscript.; We thank Kelsey Ruckert for providing code for calibrating DAIS and for testing the reproducibility of our code. Richard Alley, Roger Cooke, Chris Forest, Gregory Garner, Murali Haran, David Johnson, Benjamin Lee, Bob Kopp, and Robert Lempert provided invaluable inputs. This work was partially supported by the National Science Foundation through the Network for Sustainable Climate Risk Management (SCRiM) under NSF cooperative agreement GEO-1240507 and the Penn State Center for Climate Risk Management. Any opinions, findings, conclusions, or recommendations expressed in this material are those of the authors and do not necessarily reflect the views of the funding agencies.</t>
  </si>
  <si>
    <t>DEC 29</t>
  </si>
  <si>
    <t>e0190115</t>
  </si>
  <si>
    <t>10.1371/journal.pone.0190115</t>
  </si>
  <si>
    <t>FR5HD</t>
  </si>
  <si>
    <t>WOS:000419096600028</t>
  </si>
  <si>
    <t>Yudin, NS; Larkin, DM; Ignatieva, EV</t>
  </si>
  <si>
    <t>Yudin, Nikolay S.; Larkin, Denis M.; Ignatieva, Elena V.</t>
  </si>
  <si>
    <t>A compendium and functional characterization of mammalian genes involved in adaptation to Arctic or Antarctic environments</t>
  </si>
  <si>
    <t>BMC GENETICS</t>
  </si>
  <si>
    <t>International Belyaev Conference on Genetics and Evolution - Genetics</t>
  </si>
  <si>
    <t>AUG 07-10, 2017</t>
  </si>
  <si>
    <t>Russian Acad Sci, Siberian Branch, Inst Cytol &amp; Genet, Novosibirsk, RUSSIA</t>
  </si>
  <si>
    <t>Russian Acad Sci, Siberian Branch, Inst Cytol &amp; Genet</t>
  </si>
  <si>
    <t>Cold; Adaptation; Mammal; Database; Genome; Gene; Positive selection</t>
  </si>
  <si>
    <t>BROWN ADIPOSE-TISSUE; COLD; ASSOCIATION; TEMPERATURE; IDENTIFICATION; ACTIVATION; SIGNATURES; GENOMICS; SUSCEPTIBILITY; TRANSCRIPTOME</t>
  </si>
  <si>
    <t>Background: Many mammals are well adapted to surviving in extremely cold environments. These species have likely accumulated genetic changes that help them efficiently cope with low temperatures. It is not known whether the same genes related to cold adaptation in one species would be under selection in another species. The aims of this study therefore were: to create a compendium of mammalian genes related to adaptations to a low temperature environment; to identify genes related to cold tolerance that have been subjected to independent positive selection in several species; to determine promising candidate genes/pathways/organs for further empirical research on cold adaptation in mammals. Results: After a search for publications containing keywords: whole genome, transcriptome or exome sequencing data, and genome-wide genotyping array data authors looked for information related to genetic signatures ascribable to positive selection in Arctic or Antarctic mammalian species. Publications related to Human, Arctic fox, Yakut horse, Mammoth, Polar bear, and Minke whale were chosen. The compendium of genes that potentially underwent positive selection in &gt; 1 of these six species consisted of 416 genes. Twelve of them showed traces of positive selection in three species. Gene ontology term enrichment analysis of 416 genes from the compendium has revealed 13 terms relevant to the scope of this study. We found that enriched terms were relevant to three major groups: terms associated with collagen proteins and the extracellular matrix; terms associated with the anatomy and physiology of cilium; terms associated with docking. We further revealed that genes from compendium were over-represented in the lists of genes expressed in the lung and liver. Conclusions: A compendium combining mammalian genes involved in adaptation to cold environment was designed, based on the intersection of positively selected genes from six Arctic and Antarctic species. The compendium contained 416 genes that have been positively selected in at least two species. However, we did not reveal any positively selected genes that would be related to cold adaptation in all species from our list. But, our work points to several strong candidate genes involved in mechanisms and biochemical pathways related to cold adaptation response in different species.</t>
  </si>
  <si>
    <t>[Yudin, Nikolay S.; Larkin, Denis M.; Ignatieva, Elena V.] Russian Acad Sci, Fed Res Ctr, Siberian Branch, Inst Cytol &amp; Genet, Novosibirsk 630090, Russia; [Yudin, Nikolay S.; Ignatieva, Elena V.] Novosibirsk State Univ, Novosibirsk 630090, Russia; [Larkin, Denis M.] Univ London, Royal Vet Coll, London NW1 0TU, England</t>
  </si>
  <si>
    <t>Russian Academy of Sciences; Institute of Cytology &amp; Genetics ICG SB RAS; Novosibirsk State University; University of London; University of London Royal Veterinary College</t>
  </si>
  <si>
    <t>Yudin, NS (corresponding author), Russian Acad Sci, Fed Res Ctr, Siberian Branch, Inst Cytol &amp; Genet, Novosibirsk 630090, Russia.;Yudin, NS (corresponding author), Novosibirsk State Univ, Novosibirsk 630090, Russia.</t>
  </si>
  <si>
    <t>yudin@bionet.nsc.ru</t>
  </si>
  <si>
    <t>Larkin, Denis/AAB-1633-2022; Larkin, Denis/AAB-2249-2022; Yudin, Nikolay/AAC-8761-2020; Ignatieva, Elena/M-2507-2019</t>
  </si>
  <si>
    <t>Larkin, Denis/0000-0001-7859-6201;</t>
  </si>
  <si>
    <t>Russian Science Foundation [16-14-00090]; Russian Science Foundation [16-14-00090] Funding Source: Russian Science Foundation</t>
  </si>
  <si>
    <t>This study was supported by the grant from the Russian Science Foundation (project no. 16-14-00090). Publication costs were funded by the Russian Science Foundation (project no. 16-14-00090).</t>
  </si>
  <si>
    <t>1471-2156</t>
  </si>
  <si>
    <t>BMC GENET</t>
  </si>
  <si>
    <t>BMC Genet.</t>
  </si>
  <si>
    <t>DEC 28</t>
  </si>
  <si>
    <t>10.1186/s12863-017-0580-9</t>
  </si>
  <si>
    <t>FR6KV</t>
  </si>
  <si>
    <t>Green Accepted, gold, Green Published</t>
  </si>
  <si>
    <t>WOS:000419175700004</t>
  </si>
  <si>
    <t>Yan, XL; Xu, MNN; Wan, XS; Yang, JYT; Trull, TW; Dai, MH; Kao, SJ</t>
  </si>
  <si>
    <t>Yan, Xiuli; Xu, Min Nina; Wan, Xianhui Sean; Yang, Jin-Yu Terence; Trull, Thomas W.; Dai, Minhan; Kao, Shuh-Ji</t>
  </si>
  <si>
    <t>Dual Isotope Measurements Reveal Zoning of Nitrate Processing in the Summer Changjiang (Yangtze) River Plume</t>
  </si>
  <si>
    <t>Changjiang River plume; dual isotope; nitrate; isotope effect</t>
  </si>
  <si>
    <t>EAST CHINA SEA; HARMFUL ALGAL BLOOMS; CONTINENTAL-SHELF; FRESH-WATER; MARINE-PHYTOPLANKTON; NITROGEN; OXYGEN; ESTUARY; FRACTIONATION; DENITRIFICATION</t>
  </si>
  <si>
    <t>Riverine nitrogen input into the coastal zone has increased remarkably in recent decades. Yet its transformation and recycling within hydrodynamically active regions remains unclear. Using observations of nitrate concentration and dual isotopic composition across the Changjiang River plume within a three end-member mixing model, we found deviations between the observed and expected values for mixing alone, revealing the nonconservative behavior of nitrate. Using cross correlations between concentrations and dual isotope deviations, we identified three nitrogen transformation zones, which correspond to separate portions of the plume. Nitrification and sedimentary denitrification occurred near the river mouth, nitrification prevailed further offshore under the plume, and finally, phytoplankton assimilation occurred in the outer surface plume (&gt;100 km offshore), where it was fueled by nitrate that had already been strongly modified by microbial processes. Information was assembled into a conceptual model offering an overview of nitrogen transformations in a large river plume.</t>
  </si>
  <si>
    <t>[Yan, Xiuli; Xu, Min Nina; Wan, Xianhui Sean; Yang, Jin-Yu Terence; Dai, Minhan; Kao, Shuh-Ji] Xiamen Univ, Coll Ocean &amp; Earth Sci, State Key Lab Marine Environm Sci, Xiamen, Peoples R China; [Trull, Thomas W.] Univ Tasmania, Antarctic Climate &amp; Ecosyst Cooperat Res Ctr, Hobart, Tas, Australia; [Trull, Thomas W.] CSIRO, Oceans &amp; Atmosphere, Hobart, Tas, Australia</t>
  </si>
  <si>
    <t>Xiamen University; University of Tasmania; Antarctic Climate &amp; Ecosystems Cooperative Research Centre (ACE CRC); Commonwealth Scientific &amp; Industrial Research Organisation (CSIRO)</t>
  </si>
  <si>
    <t>Kao, SJ (corresponding author), Xiamen Univ, Coll Ocean &amp; Earth Sci, State Key Lab Marine Environm Sci, Xiamen, Peoples R China.</t>
  </si>
  <si>
    <t>sjkao@xmu.edu.cn</t>
  </si>
  <si>
    <t>DAI, M/GPS-8291-2022; Yang, Jin-Yu Terence/AAV-5569-2021; Xu, Min/N-6142-2018; Dai, Minhan/G-3343-2010; Kao, Shuh-Ji/F-8418-2015</t>
  </si>
  <si>
    <t>Yang, Jin-Yu Terence/0000-0003-2066-0375; Xu, Min/0000-0002-4345-8375; Dai, Minhan/0000-0003-0550-0701; Kao, Shuh-Ji/0000-0002-5054-9099; Wan, Xianhui/0000-0002-4870-7369</t>
  </si>
  <si>
    <t>National Natural Science Foundation of China [NSFC U1305233, 41561164019, 2015CB954003]</t>
  </si>
  <si>
    <t>We are grateful for constructive comments from two anonymous reviewers. We thank Patricia M. Glibert and Todd Kana (University of Maryland Center for Environmental Science, USA) for useful comments and helpful edits on this manuscript. We thank Lin Jing and our colleagues at the State Key Laboratory of Marine Environmental Science (Xiamen University, China). We especially thank Zhao Huade and Qian Wei for their help in drawing 3-D plots. This research was supported by the National Natural Science Foundation of China (NSFC U1305233, 41561164019, 2015CB954003). This is the MEL contribution number #melpublication2017188. Data supporting this study are available in supporting information Table S1.</t>
  </si>
  <si>
    <t>10.1002/2017GL075951</t>
  </si>
  <si>
    <t>FT2FG</t>
  </si>
  <si>
    <t>WOS:000422954700003</t>
  </si>
  <si>
    <t>Frederikse, T; Riva, REM; King, MA</t>
  </si>
  <si>
    <t>Frederikse, Thomas; Riva, Riccardo E. M.; King, Matt A.</t>
  </si>
  <si>
    <t>Ocean Bottom Deformation Due To Present-Day Mass Redistribution and Its Impact on Sea Level Observations</t>
  </si>
  <si>
    <t>sea level; elastic deformation; ice mass loss; altimetry; GPS; tide gauges</t>
  </si>
  <si>
    <t>VERTICAL LAND MOTION; RISE; UNCERTAINTY; ANTARCTICA; BUDGET</t>
  </si>
  <si>
    <t>Present-day mass redistribution increases the total ocean mass and, on average, causes the ocean bottom to subside elastically. Therefore, barystatic sea level rise is larger than the resulting global mean geocentric sea level rise, observed by satellite altimetry and GPS-corrected tide gauges. We use realistic estimates of mass redistribution from ice mass loss and land water storage to quantify the resulting ocean bottom deformation and its effect on global and regional ocean volume change estimates. Over 1993-2014, the resulting globally averaged geocentric sea level change is 8% smaller than the barystatic contribution. Over the altimetry domain, the difference is about 5%, and due to this effect, barystatic sea level rise will be underestimated by more than 0.1 mm/yr over 1993-2014. Regional differences are often larger: up to 1mm/yr over the Arctic Ocean and 0.4 mm/yr in the South Pacific. Ocean bottom deformation should be considered when regional sea level changes are observed in a geocentric reference frame.</t>
  </si>
  <si>
    <t>[Frederikse, Thomas; Riva, Riccardo E. M.] Delft Univ Technol, Dept Geosci &amp; Remote Sensing, Delft, Netherlands; [King, Matt A.] Univ Tasmania, Sch Land &amp; Food, Surveying &amp; Spatial Sci, Hobart, Tas, Australia</t>
  </si>
  <si>
    <t>Delft University of Technology; University of Tasmania</t>
  </si>
  <si>
    <t>Frederikse, T (corresponding author), Delft Univ Technol, Dept Geosci &amp; Remote Sensing, Delft, Netherlands.</t>
  </si>
  <si>
    <t>t.frederikse@tudelft.nl</t>
  </si>
  <si>
    <t>King, Matt/B-4622-2008</t>
  </si>
  <si>
    <t>King, Matt/0000-0001-5611-9498; Riva, Riccardo/0000-0002-2042-5669; Frederikse, Thomas/0000-0002-5024-0163</t>
  </si>
  <si>
    <t>Netherlands Organisation for Scientific Research (NWO) through VIDI [864.12.012]; Australian Research Council Future Fellowship [FT110100207]; Australian Research Council Special Research Initiative for Antarctic Gateway Partnership [SR140300001, DP150100615]</t>
  </si>
  <si>
    <t>Netherlands Organisation for Scientific Research (NWO) through VIDI(Netherlands Organization for Scientific Research (NWO)); Australian Research Council Future Fellowship(Australian Research Council); Australian Research Council Special Research Initiative for Antarctic Gateway Partnership(Australian Research Council)</t>
  </si>
  <si>
    <t>The authors would like to thank Ben Marzeion, Michiel van den Broeke, and Yoshihide Wada for sharing the models that have been used to estimate mass redistribution. All pictures have been produced using the Generic Mapping Tools. The deformation data are available from the corresponding author upon request. R. E. M. R. and T. F. acknowledge funding from The Netherlands Organisation for Scientific Research (NWO) through VIDI grant 864.12.012. M. A. K. is a recipient of an Australian Research Council Future Fellowship (project FT110100207) and supported by the Australian Research Council Special Research Initiative for Antarctic Gateway Partnership (Project ID SR140300001) and Discovery Project ID DP150100615. A data repository containing the time-varying solid Earth deformation fields and relative sea level changes can be found at http://doi.org/10.4121/uuid:1fb477a9-12ac-44a2-ae1d-d233b2673304.</t>
  </si>
  <si>
    <t>10.1002/2017GL075419</t>
  </si>
  <si>
    <t>WOS:000422954700007</t>
  </si>
  <si>
    <t>Seefeldt, MA; Campana, GL; Deregibus, D; Quartino, ML; Abele, D; Tollrian, R; Held, C</t>
  </si>
  <si>
    <t>Seefeldt, Meike Anna; Campana, Gabriela Laura; Deregibus, Dolores; Quartino, Maria Liliana; Abele, Doris; Tollrian, Ralph; Held, Christoph</t>
  </si>
  <si>
    <t>Different feeding strategies in Antarctic scavenging amphipods and their implications for colonisation success in times of retreating glaciers</t>
  </si>
  <si>
    <t>FRONTIERS IN ZOOLOGY</t>
  </si>
  <si>
    <t>Southern Ocean; King George Island/Isla 25 de Mayo; Potter Cove; Succession; Carrion-feeding; Food Web; Notothenia rossii; Notothenia coriiceps; Palmaria decipiens; Desmarestia menziesii</t>
  </si>
  <si>
    <t>KING-GEORGE ISLAND; WALDECKIA-OBESA CHEVREUX; NANUS KROYER AMPHIPODA; ORCHOMENE-NANUS; LYSIANASSID AMPHIPODS; CONSUMPTION RATES; INSECT SUCCESSION; PIG CARCASSES; POTTER COVE; DEEP-SEA</t>
  </si>
  <si>
    <t>Background: Scavenger guilds are composed of a variety of species, co-existing in the same habitat and sharing the same niche in the food web. Niche partitioning among them can manifest in different feeding strategies, e.g. during carcass feeding. In the bentho-pelagic realm of the Southern Ocean, scavenging amphipods (Lysianassoidea) are ubiquitous and occupy a central role in decomposition processes. Here we address the question whether scavenging lysianassoid amphipods employ different feeding strategies during carcass feeding, and whether synergistic feeding activities may influence carcass decomposition. To this end, we compared the relatively large species Waldeckia obesa with the small species Cheirimedon femoratus, Hippomedon kergueleni, and Orchomenella rotundifrons during fish carcass feeding (Notothenia spp.). The experimental approach combined ex situ feeding experiments, behavioural observations, and scanning electron microscopic analyses of mandibles. Furthermore, we aimed to detect ecological drivers for distribution patterns of scavenging amphipods in the Antarctic coastal ecosystems of Potter Cove. In Potter Cove, the climate-driven rapid retreat of the Fourcade Glacier is causing various environmental changes including the provision of new marine habitats to colonise. While in the newly ice-free areas fish are rare, macroalgae have already colonised hard substrates. Assuming that a temporal dietary switch may increase the colonisation success of the most abundant lysianassoids C. femoratus and H. kergueleni, we aimed to determine their consumption rates (g food x g amphipods(-1) x day(-1)) and preferences of macroalgae and fish. Results: We detected two functional groups with different feeding strategies among scavenging amphipods during carcass feeding: carcass 'opener' and 'squeezer'. Synergistic effects between these groups were not statistically verified under the conditions tested. C. femoratus switched its diet when fish was not available by consuming macroalgae (about 0.2 day(-1)) but preferred fish by feeding up to 80% of its own mass daily. Contrary, H. kergueleni rejected macroalgae entirely and consumed fish with a maximal rate of 0.8 day(-1). Conclusion: This study reveals functional groups in scavenging shallow-water amphipods and provides new information on coastal intraguild niche partitioning. We conclude that the dietary flexibility of C. femoratus is a potential ecological driver and central to its success in the colonisation of newly available ice-free Antarctic coastal habitats.</t>
  </si>
  <si>
    <t>[Seefeldt, Meike Anna; Tollrian, Ralph] Ruhr Univ Bochum, Dept Anim Ecol Evolut &amp; Biodivers, Bochum, Germany; [Seefeldt, Meike Anna; Abele, Doris; Held, Christoph] Helmholtz Zentrum Polar &amp; Meeresforsch, Alfred Wegener Inst, Bremerhaven, Germany; [Campana, Gabriela Laura; Deregibus, Dolores; Quartino, Maria Liliana] Inst Antartico Argentino, Dept Biol Costera, Buenos Aires, DF, Argentina; [Campana, Gabriela Laura] Univ Nacl Lujan, Dept Ciencias Basicas, Lujan, Argentina; [Quartino, Maria Liliana] Museo Argentino Ciencias Nat Bernardino Rivadavia, Buenos Aires, DF, Argentina</t>
  </si>
  <si>
    <t>Ruhr University Bochum; Helmholtz Association; Alfred Wegener Institute, Helmholtz Centre for Polar &amp; Marine Research; Instituto Antartico Argentino; Universidad Nacional de Lujan; Museo Argentino de Ciencias Naturales Bernardino Rivadavia (MACN)</t>
  </si>
  <si>
    <t>Seefeldt, MA (corresponding author), Ruhr Univ Bochum, Dept Anim Ecol Evolut &amp; Biodivers, Bochum, Germany.;Seefeldt, MA (corresponding author), Helmholtz Zentrum Polar &amp; Meeresforsch, Alfred Wegener Inst, Bremerhaven, Germany.</t>
  </si>
  <si>
    <t>Meike.Seefeldt@rub.de</t>
  </si>
  <si>
    <t>Abele, Doris/0000-0002-5766-5017; Seefeldt, Meike Anna/0000-0003-2106-6933</t>
  </si>
  <si>
    <t>German Research Foundation (DFG) [TO 171/9-1, HE 3391/7-1, 1158]; ANPCyT-DNA [PICTO 0116/2012-2016]; Marie Curie Action International Research Staff Exchange Scheme (FP7 IRSES) [Marie Curie Action International Research Staff Exchange Scheme (FP7 IRSES, Action No. 318718]</t>
  </si>
  <si>
    <t>German Research Foundation (DFG)(German Research Foundation (DFG)); ANPCyT-DNA; Marie Curie Action International Research Staff Exchange Scheme (FP7 IRSES)</t>
  </si>
  <si>
    <t>This study was funded by the German Research Foundation (DFG) with the project TO 171/9-1, HE 3391/7-1 funded through the Priority Programme 1158 on Antarctic Research. Additionally, the research was supported by grants from ANPCyT-DNA (PICTO 0116/2012-2016).; The present manuscript also presents an outcome of the EU research network IMCONet funded by the Marie Curie Action International Research Staff Exchange Scheme (FP7 IRSES, Action No. 318718).</t>
  </si>
  <si>
    <t>1742-9994</t>
  </si>
  <si>
    <t>FRONT ZOOL</t>
  </si>
  <si>
    <t>Front. Zool.</t>
  </si>
  <si>
    <t>DEC 27</t>
  </si>
  <si>
    <t>10.1186/s12983-017-0248-3</t>
  </si>
  <si>
    <t>FR6OM</t>
  </si>
  <si>
    <t>WOS:000419185400001</t>
  </si>
  <si>
    <t>Chambers, SD; Choi, T; Park, SJ; Williams, AG; Hong, SB; Tositti, L; Griffiths, AD; Crawford, J; Pereira, E</t>
  </si>
  <si>
    <t>Chambers, S. D.; Choi, T.; Park, S. -J.; Williams, A. G.; Hong, S. -B.; Tositti, L.; Griffiths, A. D.; Crawford, J.; Pereira, E.</t>
  </si>
  <si>
    <t>Investigating Local and Remote Terrestrial Influence on Air Masses at Contrasting Antarctic Sites Using Radon-222 and Back Trajectories</t>
  </si>
  <si>
    <t>radon-222; Antarctica</t>
  </si>
  <si>
    <t>KING-GEORGE ISLAND; ROSS ICE SHELF; BOUNDARY-LAYER; ATMOSPHERIC TRANSPORT; SOUTHERN-HEMISPHERE; COASTAL ANTARCTICA; RADON MEASUREMENTS; GLOBAL-MODELS; CLIMATE; CORE</t>
  </si>
  <si>
    <t>We report on the first summer of high-sensitivity radon measurements from a two-filter detector at Jang Bogo Station (Terra Nova Bay) and contrast them with simultaneous observations at King Sejong Station (King George Island). King Sejong radon concentrations were characteristic of a marine baseline station (0.02-0.3 Bq m(-3)), whereas Jang Bogo values were highly variable (0.06-5.2 Bq m(-3)), mainly due to emissions from exposed coastal ground (estimated mean flux 0.09-0.11atomscm(-2)s(-1)) and shallow atmospheric mixing depths. For wind speeds of &lt;= 3.5ms(-1) the influence of local radon emissions became increasingly more prominent at both sites. A cluster analysis of back trajectories from King Sejong (62 degrees S) revealed a fairly even distribution between air masses that had passed recently over South America, the Southern Ocean, and Antarctica, whereas at Jang Bogo (75 degrees S) 80% of events had recently passed over the Ross Ice Shelf and West Antarctica, 12% were synoptically forced over Cape Adare, and 8% were associated with subsidence over the Antarctic interior and katabatic flow to the station. When cross-checked against radon concentrations, only half of the back trajectories ending at Jang Bogo that had indicated distant contact with nonpolar southern hemisphere continents within the past 10days showed actual signs of terrestrial influence. A simple-to-implement technique based on high-pass filtered absolute humidity is developed to distinguish between predominantly katabatic, oceanic, and near-coastal air masses for characterization of trace gas and aerosol measurements at coastal East Antarctic sites.</t>
  </si>
  <si>
    <t>[Chambers, S. D.; Williams, A. G.; Griffiths, A. D.; Crawford, J.] Australian Nucl Sci &amp; Technol Org, Kirrawee Dc, NSW, Australia; [Choi, T.; Park, S. -J.; Hong, S. -B.] Korea Polar Res Inst, Incheon, South Korea; [Tositti, L.] Univ Bologna, Lab Radiochim Ambientale, Dipartimento Chim G Ciamician, Bologna, Italy; [Pereira, E.] Inst Nacl Pesquisas Espaciais, Sao Jose Dos Campos, Brazil</t>
  </si>
  <si>
    <t>Australian Nuclear Science &amp; Technology Organisation; Korea Polar Research Institute (KOPRI); University of Bologna; Instituto Nacional de Pesquisas Espaciais (INPE)</t>
  </si>
  <si>
    <t>Hong, SB (corresponding author), Korea Polar Res Inst, Incheon, South Korea.</t>
  </si>
  <si>
    <t>hong909@kopri.re.kr</t>
  </si>
  <si>
    <t>Pereira, Enio/AAH-3308-2020; , Scott/AAI-6917-2020; Williams, Alastair/N-3193-2019; Tositti, Laura/L-3562-2016; Griffiths, Alan/I-4766-2014; park, sang-jong/B-7049-2011</t>
  </si>
  <si>
    <t>Pereira, Enio/0000-0002-5095-0085; Williams, Alastair/0000-0002-0568-8487; Tositti, Laura/0000-0002-1778-672X; Griffiths, Alan/0000-0003-1135-1810; Chambers, Scott/0000-0002-2521-959X; park, sang-jong/0000-0002-6944-6962</t>
  </si>
  <si>
    <t>KOPRI research grant [PE17010]</t>
  </si>
  <si>
    <t>KOPRI research grant(Korea Polar Research Institute of Marine Research Placement (KOPRI))</t>
  </si>
  <si>
    <t>This research was partly supported by KOPRI research grant (PE17010). We thank over-wintering staffs at Jang Bogo Station (Terra Nova Bay) and King Sejong Station (King George Island), Antarctica, as well as Ot Sisoutham and Sylvester Werczynski at the Australian Nuclear Science and Technology Organisation for their support of the radon measurement program at Jang Bogo Station. We also acknowledge NOAA Air Resources Laboratory (ARL) who made available the HYSPLIT transport and dispersion model and the relevant input files for the generation of back trajectories used in this paper. NCEP Reanalysis data, used in this work, were provided by the NOAA/OAR/ESRL PSD Boulder, Colorado. The data cited in this paper are available through PANGAEA: Data publisher for Earth and Environmental Science according to the AGU Data Policy at https://doi.pangaea.de/10.1594/PANGAEA.879451. Last but not least, we would like to acknowledge the efforts of the two anonymous reviewers whose detailed and considered feedback greatly improved the clarity of our findings.</t>
  </si>
  <si>
    <t>10.1002/2017JD026833</t>
  </si>
  <si>
    <t>FS7AS</t>
  </si>
  <si>
    <t>WOS:000419950200010</t>
  </si>
  <si>
    <t>Pandey, DK</t>
  </si>
  <si>
    <t>Pandey, Dhananjai K.</t>
  </si>
  <si>
    <t>What lies beneath the anamolous geoid low in the Indian Ocean?</t>
  </si>
  <si>
    <t>CURRENT SCIENCE</t>
  </si>
  <si>
    <t>[Pandey, Dhananjai K.] Natl Ctr Antarctic &amp; Ocean Res, Vasco Da Gama 403804, Goa, India</t>
  </si>
  <si>
    <t>Pandey, DK (corresponding author), Natl Ctr Antarctic &amp; Ocean Res, Vasco Da Gama 403804, Goa, India.</t>
  </si>
  <si>
    <t>pandey@ncaor.gov.in</t>
  </si>
  <si>
    <t>Pandey, Dhananjai/S-3843-2019</t>
  </si>
  <si>
    <t>Pandey, Dhananjai/0000-0001-6899-8995</t>
  </si>
  <si>
    <t>INDIAN ACAD SCIENCES</t>
  </si>
  <si>
    <t>BANGALORE</t>
  </si>
  <si>
    <t>C V RAMAN AVENUE, SADASHIVANAGAR, P B #8005, BANGALORE 560 080, INDIA</t>
  </si>
  <si>
    <t>0011-3891</t>
  </si>
  <si>
    <t>CURR SCI INDIA</t>
  </si>
  <si>
    <t>Curr. Sci.</t>
  </si>
  <si>
    <t>DEC 25</t>
  </si>
  <si>
    <t>FR0TL</t>
  </si>
  <si>
    <t>WOS:000418776200008</t>
  </si>
  <si>
    <t>Chattova, B; Lebouvier, M; De Haan, M; Van De Vijver, B</t>
  </si>
  <si>
    <t>Chattova, Barbora; Lebouvier, Marc; De Haan, Myriam; Van De Vijver, Bart</t>
  </si>
  <si>
    <t>The genus Luticola (Bacillariophyta) on Ile Amsterdam and Ile Saint-Paul (Southern Indian Ocean) with the description of two new species</t>
  </si>
  <si>
    <t>EUROPEAN JOURNAL OF TAXONOMY</t>
  </si>
  <si>
    <t>Bacillariophyta; diatoms; Luticola; new species; morphology</t>
  </si>
  <si>
    <t>MARITIME ANTARCTIC REGION; SHETLAND ISLANDS; DIATOM GENUS; SP NOV.; MUELLERIA BACILLARIOPHYTA; TAXA BACILLARIOPHYTA; ATLANTIC-OCEAN; REVISION; TAAF</t>
  </si>
  <si>
    <t>Five species of the terrestrial diatom genus Luticola D. G. Mann were found during a taxonomic survey of two small volcanic islands, Ile Amsterdam and Ile Saint-Paul (Southern Indian Ocean). Apart from the two already known Luticola species L. beyensii Van de Vijver et al. and L. subcrozetensis Van de Vijver et al., two new species are described: L. ivetana Chattova &amp; Van de Vijver sp. nov. and L. vancampiana Chattova &amp; Van de Vijver sp. nov. Finally, one, up to now unknown, Luticola species is briefly discussed and illustrated. Detailed morphological descriptions of these taxa are provided based on both light and scanning electron microscopy observations. Morphological features of the new species are compared to morphologically similar taxa, and notes on their ecology and biogeography are added.</t>
  </si>
  <si>
    <t>[Chattova, Barbora] Masaryk Univ, Dept Bot &amp; Zool, Fac Sci, Kotlarska 2, CS-61137 Brno, Czech Republic; [Lebouvier, Marc] Univ Rennes 1, UMR Ecobio CNRS 6553, Stn Biol, F-35380 Paimpont, France; [De Haan, Myriam; Van De Vijver, Bart] Bot Garden Meise, Res Dept, B-1860 Meise, Belgium; [Van De Vijver, Bart] Univ Antwerp, Dept Biol, ECOBE, Univ Pl 1, B-2610 Antwerp, Belgium</t>
  </si>
  <si>
    <t>Masaryk University Brno; Universite de Rennes; University of Antwerp</t>
  </si>
  <si>
    <t>Chattova, B (corresponding author), Masaryk Univ, Dept Bot &amp; Zool, Fac Sci, Kotlarska 2, CS-61137 Brno, Czech Republic.</t>
  </si>
  <si>
    <t>barbora.chattova@gmail.com; marc.lebouvier@univ-rennes1.fr; myriam.dehaan@plantentuinmeise.be; bart.vandevijver@plantentuinmeise.be</t>
  </si>
  <si>
    <t>French Polar Institute [IPEV 136, 1167]; ERASMUS scholarship</t>
  </si>
  <si>
    <t>French Polar Institute; ERASMUS scholarship</t>
  </si>
  <si>
    <t>The authors would like to thank Drs. Pieter Ledeganck, Prof. Dr. Eric Vidal, Dr. Jennie Whinam, Prof. Dr. Willem De Smet, Dr. Germinal Rouhan and Dr. Damien Ertz for their help during the sampling campaigns, supported by the French Polar Institute (programmes IPEV 136 and 1167). Mrs. B. Chattova benefited from an institutional support of Masaryk University and an ERASMUS scholarship while studying at the Botanic Garden Meise (Belgium) and the University of Antwerp (Belgium).</t>
  </si>
  <si>
    <t>MUSEUM NATL HISTOIRE NATURELLE</t>
  </si>
  <si>
    <t>SERVICE PUBLICATIONS SCIENTIFIQUES, 57 RUE CUVIER, 75005 PARIS, FRANCE</t>
  </si>
  <si>
    <t>2118-9773</t>
  </si>
  <si>
    <t>EUR J TAXON</t>
  </si>
  <si>
    <t>Eur. J. Taxon.</t>
  </si>
  <si>
    <t>DEC 22</t>
  </si>
  <si>
    <t>10.5852/ejt.2017.387</t>
  </si>
  <si>
    <t>Plant Sciences; Entomology; Zoology</t>
  </si>
  <si>
    <t>FR2QB</t>
  </si>
  <si>
    <t>WOS:000418910800001</t>
  </si>
  <si>
    <t>Porcelli, S; Marzorati, M; Healey, B; Terraneo, L; Vezzoli, A; Della Bella, S; Dicasillati, R; Samaja, M</t>
  </si>
  <si>
    <t>Porcelli, Simone; Marzorati, Mauro; Healey, Beth; Terraneo, Laura; Vezzoli, Alessandra; Della Bella, Silvia; Dicasillati, Roberto; Samaja, Michele</t>
  </si>
  <si>
    <t>Lack of acclimatization to chronic hypoxia in humans in the Antarctica</t>
  </si>
  <si>
    <t>SCIENTIFIC REPORTS</t>
  </si>
  <si>
    <t>ACUTE MOUNTAIN-SICKNESS; HIGH-ALTITUDE; COGNITIVE IMPAIRMENT; REPLACE ARTERIAL; ERYTHROPOIETIN; PERFORMANCE; TRANSPORT; OXYGEN</t>
  </si>
  <si>
    <t>The study was carried out at Concordia Station (Antarctic Plateau). The aim was to investigate the respiratory and haematological responses to hypoxia in healthy subjects living at constant altitude. Thirteen men and women (34.1 +/- 3.1 years) were exposed for 10 months to hypobaric hypoxia (oxygen level equivalent to 3800 m asl). These unique conditions enable a greater accuracy of monitoring human responses to chronic hypoxia than can be achieved elsewhere. Blood haemoglobin and erythropoietin concentrations were determined at sea level (Pre), and after 3, 7, 20, 90 and 300 days at altitude. Blood gas analysis, base excess and arterial oxygen saturation were measured at Pre, and after 150 and 300 days at altitude. Erythropoietin returned quickly to baseline level after a transient increase in the first days. Blood haemoglobin concentration started increasing at day 7 and remained markedly higher for the entire duration of the mission. At day 150 the blood carbon dioxide partial pressure was markedly reduced, and consequently blood pH remained higher at negative base excess until day 300. The arterial oxygen saturation remained lower than Pre throughout. In conclusion, humans display little capacity of hypoxia acclimatization even after ten months of constant exposure to low oxygen partial pressure.</t>
  </si>
  <si>
    <t>[Porcelli, Simone; Marzorati, Mauro; Vezzoli, Alessandra] CNR, Inst Mol Bioimaging &amp; Physiol, Segrate, MI, Italy; [Healey, Beth] European Space Agcy, Biomed Res, Milan, Italy; [Terraneo, Laura; Samaja, Michele] Univ Milan, Dept Hlth Sci, Milan, MI, Italy; [Della Bella, Silvia] Univ Milan, Dept Med Biotechnol &amp; Translat Med, Milan, MI, Italy; [Della Bella, Silvia] ASST Santi Paolo Carlo, Milan, MI, Italy</t>
  </si>
  <si>
    <t>Consiglio Nazionale delle Ricerche (CNR); Istituto di Bioimmagini e Fisiologia Molecolare (IBFM-CNR); European Space Agency; University of Milan; University of Milan</t>
  </si>
  <si>
    <t>Marzorati, M (corresponding author), CNR, Inst Mol Bioimaging &amp; Physiol, Segrate, MI, Italy.</t>
  </si>
  <si>
    <t>mauro.marzorati@ibfm.cnr.it</t>
  </si>
  <si>
    <t>Della Bella, Silvia/JAC-4044-2023; Samaja, Michele/N-3499-2013; Bella, Silvia Della/AAB-7904-2019; Marzorati, Mauro/H-9377-2019; porcelli, simone/A-1977-2016</t>
  </si>
  <si>
    <t>Samaja, Michele/0000-0002-0705-340X; Marzorati, Mauro/0000-0003-1093-2162; porcelli, simone/0000-0002-9494-0858; Della Bella, Silvia/0000-0003-0818-5049</t>
  </si>
  <si>
    <t>Progamma Nazionale delle Ricerche in Antartide - Ministero dell'Istruzione, Universita e Ricerca [PNRA-MIUR 2013/AC1.02]</t>
  </si>
  <si>
    <t>Progamma Nazionale delle Ricerche in Antartide - Ministero dell'Istruzione, Universita e Ricerca</t>
  </si>
  <si>
    <t>This study has been made possible by the contribution of several people and organizations. First, we are deeply indebted to the Members of the crew that stayed for 10 months at Dome C, donated their blood and always collaborated constructively for the success of this study. We are also indebted to the ENEA (Fabio Catalano, Vincenzo Cincotti, Alberto della Rovere, Claudio Falchi, Umberto Ponzo) for their cooperative logistic support and for materials shipping to and from Dome C. We thank the Department Terra-Ambiente of the National Research Council for their management support. We are also indebted to Dr. Audisio, Instrumentation Laboratory SpA, for assistance to the Blood Gas Analyzer and for training the operators. Sincere thanks also to Ms. Sara Ottolenghi for her skilful assistance in the assay of erythropoietin. We acknowledge Dr. Edwin Mulder (German Aerospace Center (DLR), Institute of Aerospace Medicine, Division of Space Physiology, Cologne, Germany) for kindly providing the SaO2 data at sea level. We are also deeply grateful to European Space Agency for the networking support. The study was financially supported by Progamma Nazionale delle Ricerche in Antartide - Ministero dell'Istruzione, Universita e Ricerca. Project Title: Human (mal) adaptation to hypoxia in the Antarctica, Reference number: PNRA-MIUR 2013/AC1.02, Principle Investigator: Simone Porcelli. The authors thank the International Society of Mountain Medicine for partially covering the Open Access publication costs.</t>
  </si>
  <si>
    <t>2045-2322</t>
  </si>
  <si>
    <t>SCI REP-UK</t>
  </si>
  <si>
    <t>Sci Rep</t>
  </si>
  <si>
    <t>10.1038/s41598-017-18212-1</t>
  </si>
  <si>
    <t>FQ8WO</t>
  </si>
  <si>
    <t>WOS:000418644100049</t>
  </si>
  <si>
    <t>Toscano, S</t>
  </si>
  <si>
    <t>Toscano, S.</t>
  </si>
  <si>
    <t>Neutrino astronomy at the South Pole: Latest results from the IceCube neutrino observatory and its future development</t>
  </si>
  <si>
    <t>NUCLEAR INSTRUMENTS &amp; METHODS IN PHYSICS RESEARCH SECTION A-ACCELERATORS SPECTROMETERS DETECTORS AND ASSOCIATED EQUIPMENT</t>
  </si>
  <si>
    <t>9th International Workshop on Ring Imaging Cherenkov Detectors (RICH)</t>
  </si>
  <si>
    <t>SEP 05-09, 2016</t>
  </si>
  <si>
    <t>Bled, SLOVENIA</t>
  </si>
  <si>
    <t>Neutrino astronomy; Cosmic rays; Cherenkov detectors</t>
  </si>
  <si>
    <t>The IceCube Neutrino Observatory is a cubic-kilometer neutrino telescope located at the geographic South Pole. Buried deep under the Antarctic ice sheet, an array of 5160 Digital Optical Modules (DOMs) is used to capture the Cherenkov light emitted by relativistic particles generated from neutrino interactions. The main goal of IceCube is the detection of astrophysical neutrinos. In 2013 the IceCube neutrino telescope discovered a high-energy diffuse flux of neutrino events with energy ranging from tens of TeV up to few PeV of cosmic origin. Meanwhile, different analyses confirm the discovery and search for possible correlations with astrophysical sources. However, the source of these neutrinos remains a mystery, since no counterparts have been identified yet. In this contribution we give an overview of the detection principles of IceCube, the most recent results, and the plans for a next-generation neutrino detector, dubbed IceCube-Gen2.</t>
  </si>
  <si>
    <t>[Toscano, S.; IceCube Collaboration] Vrije Univ Brussel, Dienst ELEM, B-1050 Brussels, Belgium</t>
  </si>
  <si>
    <t>Vrije Universiteit Brussel</t>
  </si>
  <si>
    <t>Toscano, S (corresponding author), Vrije Univ Brussel, Dienst ELEM, B-1050 Brussels, Belgium.</t>
  </si>
  <si>
    <t>Sarkar, Subir/0000-0002-3542-858X; Toscano, Simona/0000-0002-1860-2240</t>
  </si>
  <si>
    <t>0168-9002</t>
  </si>
  <si>
    <t>1872-9576</t>
  </si>
  <si>
    <t>NUCL INSTRUM METH A</t>
  </si>
  <si>
    <t>Nucl. Instrum. Methods Phys. Res. Sect. A-Accel. Spectrom. Dect. Assoc. Equip.</t>
  </si>
  <si>
    <t>DEC 21</t>
  </si>
  <si>
    <t>10.1016/j.nima.2017.01.062</t>
  </si>
  <si>
    <t>Instruments &amp; Instrumentation; Nuclear Science &amp; Technology; Physics, Nuclear; Physics, Particles &amp; Fields</t>
  </si>
  <si>
    <t>Instruments &amp; Instrumentation; Nuclear Science &amp; Technology; Physics</t>
  </si>
  <si>
    <t>FQ3OU</t>
  </si>
  <si>
    <t>WOS:000418267300020</t>
  </si>
  <si>
    <t>Backman, J; Schmeisser, L; Virkkula, A; Ogren, JA; Asmi, E; Starkweather, S; Sharma, S; Eleftheriadis, K; Uttal, T; Jefferson, A; Bergin, M; Makshtas, A; Tunved, P; Fiebig, M</t>
  </si>
  <si>
    <t>Backman, John; Schmeisser, Lauren; Virkkula, Aki; Ogren, John A.; Asmi, Eija; Starkweather, Sandra; Sharma, Sangeeta; Eleftheriadis, Konstantinos; Uttal, Taneil; Jefferson, Anne; Bergin, Michael; Makshtas, Alexander; Tunved, Peter; Fiebig, Markus</t>
  </si>
  <si>
    <t>On Aethalometer measurement uncertainties and an instrument correction factor for the Arctic</t>
  </si>
  <si>
    <t>ATMOSPHERIC MEASUREMENT TECHNIQUES</t>
  </si>
  <si>
    <t>AEROSOL LIGHT-ABSORPTION; BLACK-CARBON; CORRECTION ALGORITHMS; ATMOSPHERIC AEROSOLS; SPECTRAL ALBEDO; CLIMATE-CHANGE; AMPLIFICATION; VARIABILITY; PARTICLES; SNOW</t>
  </si>
  <si>
    <t>Several types of filter-based instruments are used to estimate aerosol light absorption coefficients. Two significant results are presented based on Aethalometer measurements at six Arctic stations from 2012 to 2014. First, an alternative method of post-processing the Aethalometer data is presented, which reduces measurement noise and lowers the detection limit of the instrument more effectively than box-car averaging. The biggest benefit of this approach can be achieved if instrument drift is minimised. Moreover, by using an attenuation threshold criterion for data post-processing, the relative uncertainty from the electronic noise of the instrument is kept constant. This approach results in a time series with a variable collection time (Delta t) but with a constant relative uncertainty with regard to electronic noise in the instrument. An additional advantage of this method is that the detection limit of the instrument will be lowered at small aerosol concentrations at the expense of temporal resolution, whereas there is little to no loss in temporal resolution at high aerosol concentrations (&gt;2.1-6.7Mm(-1) as measured by the Aethalometers). At high aerosol concentrations, minimising the detection limit of the instrument is less critical. Additionally, utilising co-located filter-based absorption photometers, a correction factor is presented for the Arctic that can be used in Aethalometer corrections available in literature. The correction factor of 3.45 was calculated for low-elevation Arctic stations. This correction factor harmonises Aethalometer attenuation coefficients with light absorption coefficients as measured by the co-located light absorption photometers. Using one correction factor for Arctic Aethalometers has the advantage that measurements between stations become more inter-comparable.</t>
  </si>
  <si>
    <t>[Backman, John; Virkkula, Aki; Asmi, Eija] Finnish Meteorol Inst, Atmospher Composit Res, Helsinki, Finland; [Schmeisser, Lauren; Ogren, John A.; Starkweather, Sandra; Jefferson, Anne] Univ Colorado, Cooperat Inst Res Environm Sci, Boulder, CO 80309 USA; [Virkkula, Aki] Univ Helsinki, Dept Phys, Helsinki, Finland; [Virkkula, Aki] Nanjing Univ, Joint Int Res Lab Atmospher &amp; Earth Syst Sci, Nanjing, Jiangsu, Peoples R China; [Ogren, John A.; Starkweather, Sandra; Uttal, Taneil] Natl Ocean &amp; Atmospher Adm, Earth Syst Res Lab, Boulder, CO USA; [Sharma, Sangeeta] Environm &amp; Climate Change Canada, Climate Res Div, Downsview, ON, Canada; [Eleftheriadis, Konstantinos] NCSR Demokritos, Inst Nucl &amp; Radiol Sci &amp; Technol, Environm Radioact Lab, Energy &amp; Safety, Athens, Greece; [Bergin, Michael] Duke Univ, Civil &amp; Environm Engn, Durham, NC USA; [Makshtas, Alexander] Russian Fed Serv Hydrometeorol &amp; Environm Monitor, Arctic &amp; Antarctic Res Inst, St Petersburg, Russia; [Tunved, Peter] Stockholm Univ, Dept Environm Sci &amp; Analyt Chem, Stockholm, Sweden; [Fiebig, Markus] NILU Norsk Inst Luftforskning, Dept Atmospher &amp; Climate Res ATMOS, Kjeller, Norway; [Schmeisser, Lauren] Univ Washington, Dept Atmospher Sci, Seattle, WA 98195 USA</t>
  </si>
  <si>
    <t>Finnish Meteorological Institute; University of Colorado System; University of Colorado Boulder; University of Helsinki; Nanjing University; National Oceanic Atmospheric Admin (NOAA) - USA; Environment &amp; Climate Change Canada; National Centre of Scientific Research Demokritos; Duke University; Arctic &amp; Antarctic Research Institute; Stockholm University; NILU; University of Washington; University of Washington Seattle</t>
  </si>
  <si>
    <t>Backman, J (corresponding author), Finnish Meteorol Inst, Atmospher Composit Res, Helsinki, Finland.</t>
  </si>
  <si>
    <t>john.backman@fmi.fi</t>
  </si>
  <si>
    <t>Backman, John/AAG-9028-2020; Virkkula, Aki/B-8575-2014; Ogren, John A/M-8255-2015; Fiebig, Markus/I-4872-2012; Eleftheriadis, Konstantinos/G-2814-2011</t>
  </si>
  <si>
    <t>Backman, John/0000-0002-4444-8777; Virkkula, Aki/0000-0003-4874-7552; Ogren, John A/0000-0002-7895-9583; Asmi, Eija/0000-0002-9226-2360; Fiebig, Markus/0000-0002-3380-3470; Eleftheriadis, Konstantinos/0000-0003-2265-4905</t>
  </si>
  <si>
    <t>Academy of Finland project Greenhouse gas, aerosol and albedo variations in the changing Arctic [269095]; Novel Assessment of Black Carbon in the Eurasian Arctic: From Historical Concentrations and Sources to Future Climate Impacts (NABCEA) [296302]; Academy of Finland Centre of Excellence program [272041]; Maj and Tor Nessling Foundation [2014044, 201600449, 201700305]; European Union's Horizon research and innovation programme [654109]</t>
  </si>
  <si>
    <t>Academy of Finland project Greenhouse gas, aerosol and albedo variations in the changing Arctic; Novel Assessment of Black Carbon in the Eurasian Arctic: From Historical Concentrations and Sources to Future Climate Impacts (NABCEA); Academy of Finland Centre of Excellence program(Research Council of Finland); Maj and Tor Nessling Foundation; European Union's Horizon research and innovation programme(Horizon 2020European Union (EU)Horizon Europe Research Infrastructures)</t>
  </si>
  <si>
    <t>This work was supported by the Academy of Finland project Greenhouse gas, aerosol and albedo variations in the changing Arctic (project number 269095), Novel Assessment of Black Carbon in the Eurasian Arctic: From Historical Concentrations and Sources to Future Climate Impacts (NABCEA, project number 296302), and the Academy of Finland Centre of Excellence program (project number 272041). John Backman wishes to acknowledge the Maj and Tor Nessling Foundation grants 2014044, 201600449, and 201700305 for financial support. We acknowledge Russel Schnell for providing Aethalometer data from Summit. The authors would like to acknowledge the Alert operators for lab and instrument maintenance and CFS Alert for the logistics and operations of the Alert base camp. More generally, the authors would like to acknowledge the personnel and researchers at the respective measurement stations that have contributed to the data. We acknowledge the Aerosol working group of the International Arctic System for Observing the Atmosphere (IASOA) for coordinating the data and expert contributions to this work. Data used in this article are archived and accessible from the EBAS database operated at the Norwegian Institute for Air Research (NILU) http://http://ebas.nilu.no. Data management is provided by the WMO Global Atmosphere Watch World Data Centre for Aerosol. This project has received funding from the European Union's Horizon 2020 research and innovation programme under grant agreement No 654109 (ACTRIS).</t>
  </si>
  <si>
    <t>1867-1381</t>
  </si>
  <si>
    <t>1867-8548</t>
  </si>
  <si>
    <t>ATMOS MEAS TECH</t>
  </si>
  <si>
    <t>Atmos. Meas. Tech.</t>
  </si>
  <si>
    <t>10.5194/amt-10-5039-2017</t>
  </si>
  <si>
    <t>FQ5UR</t>
  </si>
  <si>
    <t>WOS:000418427000001</t>
  </si>
  <si>
    <t>Ji, M; Greening, C; Vanwonterghem, I; Carere, CR; Bay, SK; Steen, JA; Montgomery, K; Lines, T; Beardall, J; van Dorst, J; Snape, I; Stott, MB; Hugenholtz, P; Ferrari, BC</t>
  </si>
  <si>
    <t>Ji, Mukan; Greening, Chris; Vanwonterghem, Inka; Carere, Carlo R.; Bay, Sean K.; Steen, Jason A.; Montgomery, Kate; Lines, Thomas; Beardall, John; van Dorst, Josie; Snape, Ian; Stott, Matthew B.; Hugenholtz, Philip; Ferrari, Belinda C.</t>
  </si>
  <si>
    <t>Atmospheric trace gases support primary production in Antarctic desert surface soil</t>
  </si>
  <si>
    <t>RNA GENE DATABASE; MICROBIAL DIVERSITY; ECOLOGY; GENOMES; POLAR; BACTERIA; ENZYMES; H-2</t>
  </si>
  <si>
    <t>Cultivation-independent surveys have shown that the desert soils of Antarctica harbour surprisingly rich microbial communities(1-3). Given that phototroph abundance varies across these Antarctic soils(2,4), an enduring question is what supports life in those communities with low photosynthetic capacity(3,5). Here we provide evidence that atmospheric trace gases are the primary energy sources of two Antarctic surface soil communities. We reconstructed 23 draft genomes from metagenomic reads, including genomes from the candidate bacterial phyla WPS-2 and AD3. The dominant community members encoded and expressed high-affinity hydrogenases, carbon monoxide dehydrogenases, and a RuBisCO lineage known to support chemosynthetic carbon fixation(6,7). Soil microcosms aerobically scavenged atmospheric H-2 and CO at rates sufficient to sustain their theoretical maintenance energy and mediated substantial levels of chemosynthetic but not photosynthetic CO2 fixation. We propose that atmospheric H-2, CO2 and CO provide dependable sources of energy and carbon to support these communities, which suggests that atmospheric energy sources can provide an alternative basis for ecosystem function to solar or geological energy sources(8,9). Although more extensive sampling is required to verify whether this process is widespread in terrestrial Antarctica and other oligotrophic habitats, our results provide new understanding of the minimal nutritional requirements for life and open the possibility that atmospheric gases support life on other planets.</t>
  </si>
  <si>
    <t>[Ji, Mukan; Montgomery, Kate; van Dorst, Josie; Ferrari, Belinda C.] UNSW Sydney, Australian Ctr Astrobiol, Sch Biotechnol &amp; Biomol Sci, Randwick, NSW 2052, Australia; [Greening, Chris; Bay, Sean K.; Lines, Thomas; Beardall, John] Monash Univ, Sch Biol Sci, Ctr Geometr Biol, Clayton, Vic 3800, Australia; [Vanwonterghem, Inka; Steen, Jason A.; Hugenholtz, Philip] Univ Queensland, Australian Ctr Ecogen, Sch Chem &amp; Mol Biosci, St Lucia, Qld 4072, Australia; [Carere, Carlo R.; Stott, Matthew B.] GNS Sci, Wairakei Res Ctr, 114 Karetoto Rd, Taupo 3384, New Zealand; [Snape, Ian] Australian Antarctic Div, Dept Sustainabil Environm Water Populat &amp; Communi, 203 Channel Highway, Kingston, Tas 7050, Australia</t>
  </si>
  <si>
    <t>University of New South Wales Sydney; Monash University; University of Queensland; GNS Science - New Zealand; Australian Antarctic Division</t>
  </si>
  <si>
    <t>Ferrari, BC (corresponding author), UNSW Sydney, Australian Ctr Astrobiol, Sch Biotechnol &amp; Biomol Sci, Randwick, NSW 2052, Australia.</t>
  </si>
  <si>
    <t>b.ferrari@unsw.edu.au</t>
  </si>
  <si>
    <t>Steen, Jason A/A-6031-2010; Vanwonterghem, Inka/Y-5824-2019; Ferrari, Belinda/AAI-3022-2020; Greening, Chris/J-4408-2019; Beardall, John/L-5262-2019; Hugenholtz, Philip/AAD-9138-2019; Bay, Sean/ABC-8400-2020; Ji, Mukan/AAI-5743-2020</t>
  </si>
  <si>
    <t>Vanwonterghem, Inka/0000-0002-0150-2622; Ferrari, Belinda/0000-0001-5043-3726; Greening, Chris/0000-0001-7616-0594; Beardall, John/0000-0001-7684-446X; Hugenholtz, Philip/0000-0001-5386-7925; Bay, Sean/0000-0003-4833-3106; Ji, Mukan/0000-0001-8139-2875; van Dorst, Josie/0000-0002-9353-8787; Steen, Jason/0000-0003-1351-5815; Stott, Matthew/0000-0002-2082-9460; Lines, Thomas/0000-0002-6802-7694</t>
  </si>
  <si>
    <t>Bioplatforms Australia, an Australian Antarctic Science project grant [4406]; ARC [FT170100341]; ARC DECRA Fellowship [DE170100310]; ARC DORA and Laureate Fellowship [DP120103498, FL150100038]; Marsden Grant [16-GNS-035]; UNSW Sydney; Centre for Geometric Biology (Monash University); Geothermal Resources of New Zealand research program (GNS Science); Australian Research Council [FL150100038, FT170100341] Funding Source: Australian Research Council</t>
  </si>
  <si>
    <t>Bioplatforms Australia, an Australian Antarctic Science project grant; ARC(Australian Research Council); ARC DECRA Fellowship(Australian Research Council); ARC DORA and Laureate Fellowship(Australian Research Council); Marsden Grant(Royal Society of New ZealandMarsden Fund (NZ)); UNSW Sydney; Centre for Geometric Biology (Monash University)(Monash University); Geothermal Resources of New Zealand research program (GNS Science); Australian Research Council(Australian Research Council)</t>
  </si>
  <si>
    <t>We thank the Australian Antarctic Division expedition teams who obtained Antarctic soils and photos used in this study. We also thank S. Siciliano for soil sampling, D. Wilkins for the map, T. Mooney for the Adams Flat photo, M. Chuvochina and A. Oren for etymological advice, and S. Chown for valuable insights. This work was supported by Bioplatforms Australia, an Australian Antarctic Science project grant (4406; awarded to B.C.F., C.G., M.B.S. and I.S.), an ARC Future Fellowship (FT170100341; awarded to B.C.F.), an ARC DECRA Fellowship (DE170100310; awarded to C.G.), an ARC DORA and Laureate Fellowship (DP120103498 and FL150100038; awarded to P.H.), and a Marsden Grant (16-GNS-035; awarded to C.R.C. and C.G.). UNSW Sydney, the Centre for Geometric Biology (Monash University), and the Geothermal Resources of New Zealand research program (GNS Science) also provided funding to support this research.</t>
  </si>
  <si>
    <t>10.1038/nature25014</t>
  </si>
  <si>
    <t>FQ7RI</t>
  </si>
  <si>
    <t>WOS:000418559800058</t>
  </si>
  <si>
    <t>Bell, JB; Reid, WDK; Pearce, DA; Glover, AG; Sweeting, CJ; Newton, J; Woulds, C</t>
  </si>
  <si>
    <t>Bell, James B.; Reid, William D. K.; Pearce, David A.; Glover, Adrian G.; Sweeting, Christopher J.; Newton, Jason; Woulds, Clare</t>
  </si>
  <si>
    <t>Hydrothermal activity lowers trophic diversity in Antarctic hydrothermal sediments</t>
  </si>
  <si>
    <t>CARBON ISOTOPIC COMPOSITION; DEEP-SEA; BRANSFIELD STRAIT; STABLE-ISOTOPE; FATTY-ACIDS; NITROGEN-FIXATION; SCLEROLINUM-CONTORTUM; SIBOGLINUM-FIORDICUM; COMMUNITY STRUCTURE; BENTHIC COMMUNITY</t>
  </si>
  <si>
    <t>Hydrothermal sediments are those in which hydrothermal fluid is discharged through sediments and are one of the least studied deep-sea ecosystems. We present a combination of microbial and biochemical data to assess trophodynamics between and within hydrothermal and background areas of the Bransfield Strait (1050-1647m of depth). Microbial composition, biomass, and fatty acid signatures varied widely between and within hydrothermally active and background sites, providing evidence of diverse metabolic activity. Several species had different feeding strategies and trophic positions between hydrothermally active and inactive areas, and the stable isotope values of consumers were not consistent with feeding morphology. Niche area and the diversity of microbial fatty acids was lowest at the most hydrothermally active site, reflecting trends in species diversity. Faunal uptake of chemosynthetically produced organics was relatively limited but was detected at both hydrothermal and non-hydrothermal sites, potentially suggesting that hydrothermal activity can affect trophodynamics over a much wider area than previously thought.</t>
  </si>
  <si>
    <t>[Bell, James B.; Woulds, Clare] Univ Leeds, Sch Geog &amp; Water Leeds, Leeds LS2 9JT, W Yorkshire, England; [Bell, James B.; Glover, Adrian G.] Nat Hist Museum, Life Sci Dept, Cromwell Rd, London SW7 5BD, England; [Bell, James B.] Ctr Environm Fisheries &amp; Aquaculture Sci, Lowestoft NR34 0HT, Suffolk, England; [Reid, William D. K.; Sweeting, Christopher J.] Newcastle Univ, Marine Sci Sch Nat &amp; Environm Sci, Ridley Bldg, Newcastle Upon Tyne NE1 7RU, Tyne &amp; Wear, England; [Pearce, David A.] Northumbria Univ, Appl Sci, Newcastle Upon Tyne NE1 8ST, Tyne &amp; Wear, England; [Newton, Jason] SUERC, NERC Life Sci Mass Spectrometry Facil, E Kilbride G75 0QF, Lanark, Scotland</t>
  </si>
  <si>
    <t>University of Leeds; Natural History Museum London; Centre for Environment Fisheries &amp; Aquaculture Science; Newcastle University - UK; Northumbria University; Scottish Universities Research &amp; Reactor Center; UK Research &amp; Innovation (UKRI); Natural Environment Research Council (NERC)</t>
  </si>
  <si>
    <t>Woulds, C (corresponding author), Univ Leeds, Sch Geog &amp; Water Leeds, Leeds LS2 9JT, W Yorkshire, England.</t>
  </si>
  <si>
    <t>c.woulds@leeds.ac.uk</t>
  </si>
  <si>
    <t>Newton, Jason/A-9536-2009; Reid, William/J-8528-2013</t>
  </si>
  <si>
    <t>Newton, Jason/0000-0001-7594-3693; Pearce, David/0000-0001-5292-4596; Reid, William/0000-0003-0190-0425</t>
  </si>
  <si>
    <t>NERC [NE/L501542/1]; NERC ChEsSo consortium (Chemosynthetically driven Ecosystems South of the Polar Front) [NE/DOI249X/I]; NERC Life Sciences Mass Spectrometry Facility [EK234-13/14]; NERC [lsmsf010002] Funding Source: UKRI</t>
  </si>
  <si>
    <t>NERC(UK Research &amp; Innovation (UKRI)Natural Environment Research Council (NERC)); NERC ChEsSo consortium (Chemosynthetically driven Ecosystems South of the Polar Front); NERC Life Sciences Mass Spectrometry Facility; NERC(UK Research &amp; Innovation (UKRI)Natural Environment Research Council (NERC))</t>
  </si>
  <si>
    <t>James B. Bell was funded by a NERC PhD Studentship (NE/L501542/1). This work was funded by the NERC ChEsSo consortium (Chemosynthetically driven Ecosystems South of the Polar Front; NERC grant NE/DOI249X/I). Elemental analyses were funded by the NERC Life Sciences Mass Spectrometry Facility (proposal no. EK234-13/14). We thank Barry Thornton and the James Hutton Laboratory, Aberdeen for processing the PLFA samples. We also thank Will Goodall-Copestake for assistance in processing the 16S sequence data. We are grateful to the Master and Crew of RRS James Cook cruise 055 for technical support and the Cruise Principal Scientific Officer, Professor Paul Tyler.</t>
  </si>
  <si>
    <t>DEC 20</t>
  </si>
  <si>
    <t>10.5194/bg-14-5705-2017</t>
  </si>
  <si>
    <t>FQ4NH</t>
  </si>
  <si>
    <t>WOS:000418333700003</t>
  </si>
  <si>
    <t>Smerdon, JE; Luterbacher, J; Phipps, SJ; Anchukaitis, KJ; Ault, T; Coats, S; Cobb, KM; Cook, BI; Colose, C; Felis, T; Gallant, A; Jungclaus, JH; Konecky, B; LeGrande, A; Lewis, S; Lopatka, AS; Man, WM; Mankin, JS; Maxwell, JT; Otto-Bliesner, BL; Partin, JW; Singh, D; Steiger, NJ; Stevenson, S; Tierney, JE; Zanchettin, D; Zhang, H; Atwood, AR; Andreu-Hayles, L; Baek, SH; Buckley, B; Cook, ER; D'Arrigo, R; Dee, SG; Griffiths, ML; Kulkarni, C; Kushnir, Y; Lehner, F; Leland, C; Linderholm, HW; Okazaki, A; Palmer, J; Piovano, E; Raible, CC; Rao, MP; Scheff, J; Schmidt, GA; Seager, R; Widmann, M; Williams, AP; Xoplaki, E</t>
  </si>
  <si>
    <t>Smerdon, Jason E.; Luterbacher, Juerg; Phipps, Steven J.; Anchukaitis, Kevin J.; Ault, Toby; Coats, Sloan; Cobb, Kim M.; Cook, Benjamin I.; Colose, Chris; Felis, Thomas; Gallant, Ailie; Jungclaus, Johann H.; Konecky, Bronwen; LeGrande, Allegra; Lewis, Sophie; Lopatka, Alex S.; Man, Wenmin; Mankin, Justin S.; Maxwell, Justin T.; Otto-Bliesner, Bette L.; Partin, Judson W.; Singh, Deepti; Steiger, Nathan J.; Stevenson, Samantha; Tierney, Jessica E.; Zanchettin, Davide; Zhang, Huan; Atwood, Alyssa R.; Andreu-Hayles, Laia; Baek, Seung H.; Buckley, Brendan; Cook, Edward R.; D'Arrigo, Rosanne; Dee, Sylvia G.; Griffiths, Michael L.; Kulkarni, Charuta; Kushnir, Yochanan; Lehner, Flavio; Leland, Caroline; Linderholm, Hans W.; Okazaki, Atsushi; Palmer, Jonathan; Piovano, Eduardo; Raible, Christoph C.; Rao, Mukund P.; Scheff, Jacob; Schmidt, Gavin A.; Seager, Richard; Widmann, Martin; Williams, A. Park; Xoplaki, Elena</t>
  </si>
  <si>
    <t>PAGES Hydro2k Consortium</t>
  </si>
  <si>
    <t>Comparing proxy and model estimates of hydroclimate variability and change over the Common Era</t>
  </si>
  <si>
    <t>CLIMATE OF THE PAST</t>
  </si>
  <si>
    <t>SEA-SURFACE TEMPERATURE; WESTERN NORTH-AMERICA; TREE-RING WIDTH; LAST GLACIAL MAXIMUM; CLIMATE FORCING RECONSTRUCTIONS; INTERTROPICAL CONVERGENCE ZONE; EL-NINO/SOUTHERN OSCILLATION; TROPICAL VOLCANIC-ERUPTIONS; GENERAL-CIRCULATION MODEL; PACIFIC SST VARIABILITY</t>
  </si>
  <si>
    <t>Water availability is fundamental to societies and ecosystems, but our understanding of variations in hydroclimate (including extreme events, flooding, and decadal periods of drought) is limited because of a paucity of modern instrumental observations that are distributed unevenly across the globe and only span parts of the 20th and 21st centuries. Such data coverage is insufficient for characterizing hydroclimate and its associated dynamics because of its multidecadal to centennial variability and highly regionalized spatial signature. High-resolution (seasonal to decadal) hydroclimatic proxies that span all or parts of the Common Era (CE) and paleoclimate simulations from climate models are therefore important tools for augmenting our understanding of hydroclimate variability. In particular, the comparison of the two sources of information is critical for addressing the uncertainties and limitations of both while enriching each of their interpretations. We review the principal proxy data available for hydroclimatic reconstructions over the CE and highlight the contemporary understanding of how these proxies are interpreted as hydroclimate indicators. We also review the available last-millennium simulations from fully coupled climate models and discuss several outstanding challenges associated with simulating hydroclimate variability and change over the CE. A specific review of simulated hydroclimatic changes forced by volcanic events is provided, as is a discussion of expected improvements in estimated radiative forcings, models, and their implementation in the future. Our review of hydroclimatic proxies and last-millennium model simulations is used as the basis for articulating a variety of considerations and best practices for how to perform proxy-model comparisons of CE hydroclimate. This discussion provides a framework for how best to evaluate hydroclimate variability and its associated dynamics using these comparisons and how they can better inform interpretations of both proxy data and model simulations. We subsequently explore means of using proxy-model comparisons to better constrain and characterize future hydroclimate risks. This is explored specifically in the context of several examples that demonstrate how proxy-model comparisons can be used to quantitatively constrain future hydroclimatic risks as estimated from climate model projections.</t>
  </si>
  <si>
    <t>[Smerdon, Jason E.; Cook, Benjamin I.; Mankin, Justin S.; Singh, Deepti; Steiger, Nathan J.; Andreu-Hayles, Laia; Baek, Seung H.; Buckley, Brendan; Cook, Edward R.; D'Arrigo, Rosanne; Kushnir, Yochanan; Leland, Caroline; Rao, Mukund P.; Scheff, Jacob; Seager, Richard; Williams, A. Park] Columbia Univ, Lamont Doherty Earth Observ, Palisades, NY 10027 USA; [Luterbacher, Juerg; Zhang, Huan; Xoplaki, Elena] Justus Liebig Univ Giessen, Dept Geog Climatol Climate Dynam &amp; Climate Change, Giessen, Germany; [Luterbacher, Juerg] Justus Liebig Univ Giessen, Ctr Int Dev &amp; Environm Res, Giessen, Germany; [Phipps, Steven J.] Univ Tasmania, Inst Marine &amp; Antarctic Studies, Hobart, Tas, Australia; [Anchukaitis, Kevin J.] Univ Arizona, Sch Geog &amp; Dev, Tucson, AZ USA; [Anchukaitis, Kevin J.] Univ Arizona, Lab Tree Ring Res, Tucson, AZ USA; [Ault, Toby] Cornell Univ, Dept Earth &amp; Atmospher Sci, Ithaca, NY USA; [Coats, Sloan; Otto-Bliesner, Bette L.; Stevenson, Samantha; Lehner, Flavio] Natl Ctr Atmospher Res, POB 3000, Boulder, CO 80307 USA; [Coats, Sloan; Konecky, Bronwen] Univ Colorado, Cooperat Inst Res Environm Sci, Boulder, CO 80309 USA; [Cobb, Kim M.; Atwood, Alyssa R.] Georgia Inst Technol, Dept Earth &amp; Atmospher Sci, Atlanta, GA 30332 USA; [Cook, Benjamin I.; Colose, Chris; LeGrande, Allegra; Mankin, Justin S.; Schmidt, Gavin A.] NASA, Goddard Inst Space Studies, New York, NY 10025 USA; [Felis, Thomas] Univ Bremen, MARUM Ctr Marine Environm Sci, Bremen, Germany; [Gallant, Ailie] Monash Univ, Sch Earth Atmosphere &amp; Environm, Melbourne, Vic, Australia; [Jungclaus, Johann H.] Max Planck Inst Meteorol, Hamburg, Germany; [Lewis, Sophie] Australian Natl Univ, Fenner Sch Environm &amp; Soc, Canberra, ACT, Australia; [Lopatka, Alex S.] Univ Maryland, Dept Geol, College Pk, MD 20742 USA; [Man, Wenmin] Chinese Acad Sci, Inst Atmospher Phys, LASG, Beijing, Peoples R China; [Maxwell, Justin T.] Indiana Univ, Dept Geog, Bloomington, IN USA; [Partin, Judson W.] Univ Texas Austin, Inst Geophys, Jackson Sch Geosci, Austin, TX 78712 USA; [Tierney, Jessica E.] Univ Arizona, Dept Geosci, Tucson, AZ 85721 USA; [Zanchettin, Davide] Ca Foscari Univ Venice, Dept Environm Sci Informat &amp; Stat, Venice, Italy; [Atwood, Alyssa R.] Univ Calif Berkeley, Dept Geog, Berkeley, CA 94720 USA; [Dee, Sylvia G.] Brown Univ, Dept Earth Environm &amp; Planetary Sci, Providence, RI 02912 USA; [Griffiths, Michael L.] William Paterson Univ, Dept Environm Sci, Wayne, NJ USA; [Kulkarni, Charuta] CUNY, Grad Ctr, Dept Earth &amp; Environm Sci, New York, NY USA; [Linderholm, Hans W.] Univ Gothenburg, Dept Earth Sci, Reg Climate Grp, Gothenburg, Sweden; [Okazaki, Atsushi] Univ Tokyo, Atmosphere &amp; Ocean Res Inst, Tokyo, Japan; [Palmer, Jonathan] Univ New South Wales, Palaeontol Geobiol &amp; Earth Arch Res Ctr, Sch Biol Earth &amp; Environm Sci, Sydney, NSW, Australia; [Piovano, Eduardo] Univ Nacl Cordoba, CONICET, CICTERRA, Ctr Invest Ciencias Tierra, Cordoba, Argentina; [Raible, Christoph C.] Univ Bern, Climate &amp; Environm Phys Phys Inst, Bern, Switzerland; [Raible, Christoph C.] Univ Bern, Oeschger Ctr Climate Change Res, Bern, Switzerland; [Widmann, Martin] Univ Birmingham, Sch Geog Earth &amp; Environm Sci, Birmingham, W Midlands, England</t>
  </si>
  <si>
    <t>Columbia University; Justus Liebig University Giessen; Justus Liebig University Giessen; University of Tasmania; University of Arizona; University of Arizona; Cornell University; National Center Atmospheric Research (NCAR) - USA; University of Colorado System; University of Colorado Boulder; University System of Georgia; Georgia Institute of Technology; National Aeronautics &amp; Space Administration (NASA); NASA Goddard Space Flight Center; Goddard Institute for Space Studies; University of Bremen; Monash University; Melbourne Genomics Health Alliance; Max Planck Society; Australian National University; University System of Maryland; University of Maryland College Park; Chinese Academy of Sciences; Institute of Atmospheric Physics, CAS; Indiana University System; Indiana University Bloomington; University of Texas System; University of Texas Austin; University of Arizona; Universita Ca Foscari Venezia; University of California System; University of California Berkeley; Brown University; City University of New York (CUNY) System; University of Gothenburg; University of Tokyo; University of New South Wales Sydney; Consejo Nacional de Investigaciones Cientificas y Tecnicas (CONICET); National University of Cordoba; University of Bern; University of Bern; University of Birmingham</t>
  </si>
  <si>
    <t>Smerdon, JE (corresponding author), Columbia Univ, Lamont Doherty Earth Observ, Palisades, NY 10027 USA.</t>
  </si>
  <si>
    <t>jsmerdon@ldeo.columbia.edu</t>
  </si>
  <si>
    <t>Andreu-Hayles, Laia/H-6200-2012; Xoplaki, Elena/AAF-1901-2020; IPO, PAGES/JXY-7546-2024; Griffiths, Michael L/E-9848-2011; Kulkarni, Charuta/AAO-6516-2020; Okazaki, Atsushi/AAM-9193-2020; Stuart, Andrew/C-4445-2016; Williams, Park/IQU-0801-2023; Steiger, Nathan/T-3152-2019; Mankin, Justin/N-2979-2017; Gallant, Ailie/N-3938-2013; Smerdon, Jason E/F-9952-2011; Cook, Benjamin I/H-2265-2012; Piovano, Eduardo/AAU-7679-2021; Andreu Hayles, Laia/HLP-6251-2023; Otto-Bliesner, Bette/AAY-7691-2020; Palmer, Jonathan/J-7834-2012; Schmidt, Gavin/D-4427-2012; Linderholm, Hans W/N-1020-2013; Partin, Judson W/A-3086-2012; Rao, Mukund/AAM-8319-2020; Andreu-Hayles, Laia/AGK-7030-2022; Felis, Thomas/G-6670-2011; Phipps, Steven/B-3135-2008; Scheff, Jacob/None; Maxwell, Justin/I-3152-2012; Widmann, Martin/P-5178-2015; LeGrande, Allegra N./D-8920-2012; Lewis, Sophie/H-4968-2011; Raible, Christoph/M-8309-2016</t>
  </si>
  <si>
    <t>Andreu-Hayles, Laia/0000-0003-4185-681X; Xoplaki, Elena/0000-0002-2745-2467; Kulkarni, Charuta/0000-0002-4952-7765; Okazaki, Atsushi/0000-0002-4598-0589; Williams, Park/0000-0001-8176-8166; Mankin, Justin/0000-0003-2520-4555; Piovano, Eduardo/0000-0002-5247-3112; Palmer, Jonathan/0000-0002-6665-4483; Schmidt, Gavin/0000-0002-2258-0486; Rao, Mukund/0000-0003-3398-2453; Felis, Thomas/0000-0003-1417-9657; Griffiths, Michael/0000-0003-4051-7568; Phipps, Steven/0000-0001-5657-8782; Scheff, Jacob/0000-0003-1294-3447; Maxwell, Justin/0000-0001-9195-3146; Gallant, Ailie/0000-0002-7917-1069; Baek, Hun/0000-0001-8369-3081; Cobb, Kim/0000-0002-2125-9164; Luterbacher, Juerg/0000-0002-8569-0973; Lehner, Flavio/0000-0003-4632-9701; Partin, Judson/0000-0003-0315-5545; Widmann, Martin/0000-0001-5447-5763; Seager, Richard/0000-0003-4772-9707; Man, Wenmin/0000-0003-3004-5464; LeGrande, Allegra N./0000-0002-5295-0062; Tierney, Jessica/0000-0002-9080-9289; Hegerl, Gabriele/0000-0002-4159-1295; Lewis, Sophie/0000-0001-6416-0634; Buckley, Brendan/0000-0003-1544-8003; Konecky, Bronwen/0000-0003-1647-2865; Raible, Christoph/0000-0003-0176-0602</t>
  </si>
  <si>
    <t>US National Science Foundation through the National Center for Atmospheric Research; US National Science Foundation [AGS-1502150, AGS-1303976, AGS-1433551, AGS-1602564, AGS-1501856, AGS-1243125, AGS-1243107, AGS-1404003, AGS-1243204, AGS-1401400, AGS-1602581, AGS-1502830, AGS-1203785, AGS-1602920, OCE-1502832]; Australian Research Council [SR140300001, FL100100195, DECRA DE16010092]; National Natural Science Foundation of China [41305069, 41675082]; Jiangsu Collaborative Innovation Center for Climate Change; German Federal Ministry of Education and Research (BMBF); JPI-Climate/Belmont Forum [FKZ: 01LP1607B]; DFG-Research Center/Cluster of Excellence; Swedish Science Council (VR) [2012-5246]; Swiss National Science Foundation; Brown Institute for Environment and Society; Lamont-Doherty Postdoctoral Fellowship and Earth Institute Postdoctoral Fellowship programs of Columbia University; NOAA Climate and Global Change Postdoctoral Fellowship Program; Directorate For Geosciences; Div Atmospheric &amp; Geospace Sciences [1401400, 1404003] Funding Source: National Science Foundation; Directorate For Geosciences; Div Atmospheric &amp; Geospace Sciences [1619827, 1623727, 1243204, 1243107, 1433408] Funding Source: National Science Foundation; Directorate For Geosciences; Division Of Earth Sciences [1440015] Funding Source: National Science Foundation</t>
  </si>
  <si>
    <t>US National Science Foundation through the National Center for Atmospheric Research(National Science Foundation (NSF)); US National Science Foundation(National Science Foundation (NSF)); Australian Research Council(Australian Research Council); National Natural Science Foundation of China(National Natural Science Foundation of China (NSFC)); Jiangsu Collaborative Innovation Center for Climate Change; German Federal Ministry of Education and Research (BMBF)(Federal Ministry of Education &amp; Research (BMBF)); JPI-Climate/Belmont Forum; DFG-Research Center/Cluster of Excellence(German Research Foundation (DFG)); Swedish Science Council (VR)(Swedish Research Council); Swiss National Science Foundation(Swiss National Science Foundation (SNSF)); Brown Institute for Environment and Society; Lamont-Doherty Postdoctoral Fellowship and Earth Institute Postdoctoral Fellowship programs of Columbia University; NOAA Climate and Global Change Postdoctoral Fellowship Program(National Oceanic Atmospheric Admin (NOAA) - USA); Directorate For Geosciences; Div Atmospheric &amp; Geospace Sciences(National Science Foundation (NSF)NSF - Directorate for Geosciences (GEO)); Directorate For Geosciences; Div Atmospheric &amp; Geospace Sciences(National Science Foundation (NSF)NSF - Directorate for Geosciences (GEO)); Directorate For Geosciences; Division Of Earth Sciences(National Science Foundation (NSF)NSF - Directorate for Geosciences (GEO))</t>
  </si>
  <si>
    <t>Individual researchers on this study were supported in part by the US National Science Foundation through the National Center for Atmospheric Research and the following: grants AGS-1502150, AGS-1303976, AGS-1433551, AGS-1602564, AGS-1501856, AGS-1243125, AGS-1243107, AGS-1404003, AGS-1243204, AGS-1401400, AGS-1602581, AGS-1502830, AGS-1203785, AGS-1602920, and OCE-1502832; Australian Research Council grants SR140300001, FL100100195, and DECRA DE16010092; National Natural Science Foundation of China grant numbers 41305069 and 41675082 and the Jiangsu Collaborative Innovation Center for Climate Change; the German Federal Ministry of Education and Research (BMBF) and JPI-Climate/Belmont Forum projects PACMEDY (FKZ: 01LP1607B) and Collaborative Research Action INTEGRATE, An integrated data-model study of interactions between tropical monsoons and extratropical climate variability and extremes; the DFG-Research Center/Cluster of Excellence The Ocean in the Earth System at the University of Bremen; the Swedish Science Council (VR) (2012-5246); the Swiss National Science Foundation; the Brown Institute for Environment and Society; the Lamont-Doherty Postdoctoral Fellowship and Earth Institute Postdoctoral Fellowship programs of Columbia University; and the NOAA Climate and Global Change Postdoctoral Fellowship Program administered by the University Corporation for Atmospheric Research Visiting Scientist Program.</t>
  </si>
  <si>
    <t>1814-9324</t>
  </si>
  <si>
    <t>1814-9332</t>
  </si>
  <si>
    <t>CLIM PAST</t>
  </si>
  <si>
    <t>Clim. Past.</t>
  </si>
  <si>
    <t>10.5194/cp-13-1851-2017</t>
  </si>
  <si>
    <t>FQ4IL</t>
  </si>
  <si>
    <t>Green Published, Green Accepted, Green Submitted, gold</t>
  </si>
  <si>
    <t>WOS:000418320800001</t>
  </si>
  <si>
    <t>Tarling, GA; Thorpe, SE</t>
  </si>
  <si>
    <t>Tarling, Geraint A.; Thorpe, Sally E.</t>
  </si>
  <si>
    <t>Oceanic swarms of Antarctic krill perform satiation sinking</t>
  </si>
  <si>
    <t>Euphausia superba; acoustic Doppler current profiler; Southern Ocean; faecal pellets; carbon flux</t>
  </si>
  <si>
    <t>DOPPLER CURRENT PROFILER; EUPHAUSIA-SUPERBA; VERTICAL MIGRATION; PARTICULATE MATTER; FECAL PELLETS; SCOTIA SEA; TURBULENCE; BEHAVIOR; BACKSCATTER; EXPORT</t>
  </si>
  <si>
    <t>Antarctic krill form some of the highest concentrations of animal biomass observed in the world's oceans potentially due to their prolific ability to swarm. Determining the movement of Antarctic krill within swarms is important to identify drivers of their behaviour and their biogeochemical impact on their environment. We examined vertical velocity within approximately 2000 krill swarms through the combined use of a shipborne echosounder and an acoustic Doppler current profiler. We revealed a pronounced downward anomaly in vertical velocity within swarms of -0.6 cm s(-1) compared with vertical motion outside the swarm. The anomaly changed over the diel cycle, with smaller downward anomalies occurring at night. Swarms in regions of high phytoplankton concentrations (a proxy for food availability) also exhibited significantly smaller downward anomalies. We propose that the anomaly is the result of downward velocities generated by the action of krill beating their swimming appendages. During the night and in high phytoplankton availability, when krill are more likely to feed to the point of satiation, swimming activity is lowered and the anomaly is reduced. Our findings are consistent with laboratory work where krill ceased swimming and adopted a parachute posture when sated. Satiation sinking behaviour can substantially increase the efficiency of carbon transport to depth through depositing faecal pellets at the bottom of swarms, avoiding the reingestion and break-up of pellets by other swarm members.</t>
  </si>
  <si>
    <t>[Tarling, Geraint A.; Thorpe, Sally E.] NERC, British Antarctic Survey, Madingley Rd, Cambridge CB3 0ET, England</t>
  </si>
  <si>
    <t>Tarling, GA (corresponding author), NERC, British Antarctic Survey, Madingley Rd, Cambridge CB3 0ET, England.</t>
  </si>
  <si>
    <t>Natural Environment Research Council, UK; NERC [bas0100035] Funding Source: UKRI; Natural Environment Research Council [bas0100035] Funding Source: researchfish</t>
  </si>
  <si>
    <t>Natural Environment Research Council, UK(UK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</si>
  <si>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Natural Environment Research Council, UK through its support of the Ecosystems program at the British Antarctic Survey.</t>
  </si>
  <si>
    <t>10.1098/rspb.2017.2015</t>
  </si>
  <si>
    <t>FQ6GY</t>
  </si>
  <si>
    <t>WOS:000418463000013</t>
  </si>
  <si>
    <t>Andreoni, I; Ackley, K; Cooke, J; Acharyya, A; Allison, JR; Anderson, GE; Ashley, MCB; Baade, D; Bailes, M; Bannister, K; Beardsley, A; Bessell, MS; Bian, F; Bland, PA; Boer, M; Booler, T; Brandeker, A; Brown, IS; Buckley, DAH; Chang, SW; Coward, DM; Crawford, S; Crisp, H; Crosse, B; Cucchiara, A; Cupák, M; de Gois, JS; Deller, A; Devillepoix, HAR; Dobie, D; Elmer, E; Emrich, D; Farah, W; Farrell, TJ; Franzen, T; Gaensler, BM; Galloway, DK; Gendre, B; Giblin, T; Goobar, A; Green, J; Hancock, PJ; Hartig, BAD; Howell, EJ; Horsley, L; Hotan, A; Howie, RM; Hu, L; Hu, Y; James, CW; Johnston, S; Johnston-Hollitt, M; Kaplan, DL; Kasliwal, M; Keane, EF; Kenney, D; Klotz, A; Lau, R; Laugier, R; Lenc, E; Li, X; Liang, E; Lidman, C; Luvaul, LC; Lynch, C; Ma, B; Macpherson, D; Mao, J; McClelland, DE; McCully, C; Möller, A; Morales, MF; Morris, D; Murphy, T; Noysena, K; Onken, CA; Orange, NB; Oslowski, S; Pallot, D; Paxman, J; Potter, SB; Pritchard, T; Raja, W; Ridden-Harper, R; Romero-Colmenero, E; Sadler, EM; Sansom, EK; Scalzo, RA; Schmidt, BP; Scott, SM; Seghouani, N; Shang, Z; Shannon, RM; Shao, L; Shara, MM; Sharp, R; Sokolowski, M; Sollerman, J; Staff, J; Steele, K; Sun, T; Suntzeff, NB; Tao, C; Tingay, S; Towner, MC; Thierry, P; Trott, C; Tucker, BE; Väisänen, P; Krishnan, VV; Walker, M; Wang, L; Wang, X; Wayth, R; Whiting, M; Williams, A; Williams, T; Wolf, C; Wu, C; Wu, X; Yang, J; Yuan, X; Zhang, H; Zhou, J; Zovaro, H</t>
  </si>
  <si>
    <t>Andreoni, I.; Ackley, K.; Cooke, J.; Acharyya, A.; Allison, J. R.; Anderson, G. E.; Ashley, M. C. B.; Baade, D.; Bailes, M.; Bannister, K.; Beardsley, A.; Bessell, M. S.; Bian, F.; Bland, P. A.; Boer, M.; Booler, T.; Brandeker, A.; Brown, I. S.; Buckley, D. A. H.; Chang, S. -W.; Coward, D. M.; Crawford, S.; Crisp, H.; Crosse, B.; Cucchiara, A.; Cupak, M.; de Gois, J. S.; Deller, A.; Devillepoix, H. A. R.; Dobie, D.; Elmer, E.; Emrich, D.; Farah, W.; Farrell, T. J.; Franzen, T.; Gaensler, B. M.; Galloway, D. K.; Gendre, B.; Giblin, T.; Goobar, A.; Green, J.; Hancock, P. J.; Hartig, B. A. D.; Howell, E. J.; Horsley, L.; Hotan, A.; Howie, R. M.; Hu, L.; Hu, Y.; James, C. W.; Johnston, S.; Johnston-Hollitt, M.; Kaplan, D. L.; Kasliwal, M.; Keane, E. F.; Kenney, D.; Klotz, A.; Lau, R.; Laugier, R.; Lenc, E.; Li, X.; Liang, E.; Lidman, C.; Luvaul, L. C.; Lynch, C.; Ma, B.; Macpherson, D.; Mao, J.; McClelland, D. E.; McCully, C.; Moller, A.; Morales, M. F.; Morris, D.; Murphy, T.; Noysena, K.; Onken, C. A.; Orange, N. B.; Oslowski, S.; Pallot, D.; Paxman, J.; Potter, S. B.; Pritchard, T.; Raja, W.; Ridden-Harper, R.; Romero-Colmenero, E.; Sadler, E. M.; Sansom, E. K.; Scalzo, R. A.; Schmidt, B. P.; Scott, S. M.; Seghouani, N.; Shang, Z.; Shannon, R. M.; Shao, L.; Shara, M. M.; Sharp, R.; Sokolowski, M.; Sollerman, J.; Staff, J.; Steele, K.; Sun, T.; Suntzeff, N. B.; Tao, C.; Tingay, S.; Towner, M. C.; Thierry, P.; Trott, C.; Tucker, B. E.; Vaisanen, P.; Krishnan, V. Venkatraman; Walker, M.; Wang, L.; Wang, X.; Wayth, R.; Whiting, M.; Williams, A.; Williams, T.; Wolf, C.; Wu, C.; Wu, X.; Yang, J.; Yuan, X.; Zhang, H.; Zhou, J.; Zovaro, H.</t>
  </si>
  <si>
    <t>Follow Up of GW170817 and Its Electromagnetic Counterpart by Australian-Led Observing Programmes</t>
  </si>
  <si>
    <t>PUBLICATIONS OF THE ASTRONOMICAL SOCIETY OF AUSTRALIA</t>
  </si>
  <si>
    <t>gamma-ray burst: individual: GRB170817A; gravitational waves; stars: neutron; supernovae: general; supernovae: individual: AT2017gfo</t>
  </si>
  <si>
    <t>GAMMA-RAY BURST; COMPACT OBJECT MERGERS; LIGHT CURVES; HOST-GALAXY; GRAVITATIONAL-WAVES; FUNDAMENTAL PLANE; RADIO-BURST; KILONOVA; 1ST; TELESCOPE</t>
  </si>
  <si>
    <t>The discovery of the first electromagnetic counterpart to a gravitational wave signal has generated follow-up observations by over 50 facilities world-wide, ushering in the new era of multi-messenger astronomy. In this paper, we present follow-up observations of the gravitational wave event GW170817 and its electromagnetic counterpart SSS17a/DLT17ck (IAU label AT2017gfo) by 14 Australian telescopes and partner observatories as part of Australian-based and Australian-led research programs. We report early- to late-time multi-wavelength observations, including optical imaging and spectroscopy, mid-infrared imaging, radio imaging, and searches for fast radio bursts. Our optical spectra reveal that the transient source emission cooled from approximately 6 400 K to 2 100 K over a 7-d period and produced no significant optical emission lines. The spectral profiles, cooling rate, and photometric light curves are consistent with the expected outburst and subsequent processes of a binary neutron star merger. Star formation in the host galaxy probably ceased at least a Gyr ago, although there is evidence for a galaxy merger. Binary pulsars with short (100 Myr) decay times are therefore unlikely progenitors, but pulsars like PSR B1534+12 with its 2.7 Gyr coalescence time could produce such a merger. The displacement (similar to 2.2 kpc) of the binary star system from the centre of the main galaxy is not unusual for stars in the host galaxy or stars originating in the merging galaxy, and therefore any constraints on the kick velocity imparted to the progenitor are poor.</t>
  </si>
  <si>
    <t>[Andreoni, I.; Cooke, J.; Bailes, M.; Deller, A.; Oslowski, S.; Pritchard, T.; Krishnan, V. Venkatraman] Swinburne Univ Technol, Ctr Astrophys &amp; Supercomp, POB 218 H29, Hawthorn, Vic 3122, Australia; [Andreoni, I.; Ackley, K.; Cooke, J.; Bailes, M.; Galloway, D. K.; McClelland, D. E.; Scott, S. M.; Shannon, R. M.; Wolf, C.] Australian Res Council, Ctr Excellence Gravitat Wave Discovery OzGrav, Canberra, ACT, Australia; [Andreoni, I.; Farrell, T. J.; Lidman, C.] Australian Astron Observ, 105 Delhi Rd, N Ryde, NSW 2113, Australia; [Ackley, K.; Galloway, D. K.] Monash Univ, Monash Ctr Astrophys, Clayton, Vic 3800, Australia; [Ackley, K.; Galloway, D. K.] Monash Univ, Sch Phys &amp; Astron, Clayton, Vic 3800, Australia; [Cooke, J.; Chang, S. -W.; Dobie, D.; Lenc, E.; Lynch, C.; Moller, A.; Murphy, T.; Onken, C. A.; Sadler, E. M.; Scalzo, R. A.; Schmidt, B. P.; Sharp, R.; Sokolowski, M.; Tingay, S.; Trott, C.; Tucker, B. E.; Krishnan, V. Venkatraman; Wayth, R.; Wolf, C.] Australian Res Council, Ctr Excellence All Sky Astrophys CAASTRO, Canberra, ACT, Australia; [Acharyya, A.; Bessell, M. S.; Bian, F.; Chang, S. -W.; Luvaul, L. C.; Moller, A.; Onken, C. A.; Ridden-Harper, R.; Scalzo, R. A.; Schmidt, B. P.; Shao, L.; Sharp, R.; Tucker, B. E.; Wolf, C.; Zovaro, H.] Australian Natl Univ, Res Sch Astron &amp; Astrophys, Canberra, ACT 2611, Australia; [Allison, J. R.; Dobie, D.; James, C. W.; Lenc, E.; Lynch, C.; Murphy, T.; Sadler, E. M.] Univ Sydney, Sch Phys, Sydney Inst Astron, Sydney, NSW 2006, Australia; [Allison, J. R.] Australian Res Council, Ctr Excellence All Sky Astrophys Dimens ASTRO 3D, Canberra, ACT, Australia; [Anderson, G. E.; Booler, T.; Crosse, B.; de Gois, J. S.; Emrich, D.; Hancock, P. J.; Horsley, L.; Kenney, D.; Shannon, R. M.; Sokolowski, M.; Steele, K.; Tingay, S.; Trott, C.; Walker, M.; Wayth, R.; Williams, A.] Curtin Univ, Int Ctr Radio Astron Res, Bentley, WA 6102, Australia; [Ashley, M. C. B.] Univ New South Wales, Sch Phys, Sydney, NSW 2052, Australia; [Baade, D.] European Org Astron Res Southern Hemisphere ESO, Karl Schwarzschild Str 2, D-85748 Garching, Germany; [Bannister, K.; Dobie, D.; Green, J.; Johnston, S.; Raja, W.; Shannon, R. M.; Whiting, M.] CSIRO, ATNF, Astron &amp; Space Sci, POB 76, Epping, NSW 1710, Australia; [Beardsley, A.] Arizona State Univ, Sch Earth &amp; Space Explorat, Tempe, AZ 85287 USA; [Acharyya, A.; Bland, P. A.; Cupak, M.; Devillepoix, H. A. R.; Hartig, B. A. D.; Sansom, E. K.; Towner, M. C.] Curtin Univ, Dept Appl Geol, GPO Box U1987, Perth, WA 6845, Australia; [Boer, M.; Gendre, B.; Laugier, R.; Noysena, K.] CNRS, Observ Cote Azur, Artemis, Blvd Observ CS 34229, F-06304 Nice 4, France; [Brandeker, A.; Sollerman, J.] Stockholm Univ, Dept Astron, SE-10691 Stockholm, Sweden; [Brown, I. S.; Kaplan, D. L.] Univ Wisconsin, Dept Phys, Milwaukee, WI 53201 USA; [Buckley, D. A. H.; Crawford, S.; Potter, S. B.; Romero-Colmenero, E.; Vaisanen, P.; Williams, T.] South African Astron Observ, POB 9, ZA-7935 Cape Town, South Africa; [Coward, D. M.; Crisp, H.; Howell, E. J.; Macpherson, D.; Pallot, D.; Wu, C.] Univ Western Australia, Sch Phys, Crawley, WA 6009, Australia; [Cucchiara, A.; Gendre, B.; Morris, D.; Staff, J.] Univ Virgin Isl, 2 John Brewers Bay, St Thomas, VI 00802 USA; [Elmer, E.] Univ Nottingham, Sch Phys &amp; Astron, Nottingham, England; [Franzen, T.; Hotan, A.] CSIRO, ATNF, Astron &amp; Space Sci, 26 Dick Perry Ave, Kensington, WA 6152, Australia; [Gaensler, B. M.] Univ Toronto, Dunlap Inst Astron &amp; Astrophys, Toronto, ON M5S 3H4, Canada; [Giblin, T.] US Air Force Acad, Dept Phys, 2354 Fairchild Dr, Colorado Springs, CO 80840 USA; [Goobar, A.] Stockholm Univ, Dept Phys, Oskar Klein Ctr, SE-10691 Stockholm, Sweden; [Howie, R. M.; Paxman, J.] Curtin Univ, Dept Mech Engn, GPO Box U1987, Perth, WA 6845, Australia; [Hu, L.; Sun, T.; Wang, L.; Wu, X.; Yang, J.] Chinese Acad Sci, Purple Mt Observ, Nanjing 210008, Jiangsu, Peoples R China; [Hu, L.; Hu, Y.; Li, X.; Shang, Z.; Sun, T.; Wang, L.; Wu, X.; Yuan, X.] Chinese Ctr Antarctic Astron, Nanjing 210008, Jiangsu, Peoples R China; [Hu, Y.; Ma, B.; Shang, Z.] Chinese Acad Sci, Natl Astron Observ, Beijing 100012, Peoples R China; [Johnston-Hollitt, M.] Peripety Sci Ltd, POB 11355 Manners St, Wellington 6142, New Zealand; [Kasliwal, M.; Lau, R.] CALTECH, Div Phys Math &amp; Astron, Pasadena, CA 91125 USA; [Keane, E. F.] SKA Org, Jodrell Bank Observ, Macclesfield SK11 9DL, Cheshire, England; [Klotz, A.; Noysena, K.] CNRS, UPS, IRAP, 34 Ave Edouard Belin, F-31400 Toulouse, France; [Li, X.; Yuan, X.] Nanjing Inst Astron Opt &amp; Technol, Nanjing 210042, Jiangsu, Peoples R China; [Liang, E.; Zhang, H.; Zhou, J.] Nanjing Univ, Sch Astron &amp; Space Sci, Nanjing 210093, Jiangsu, Peoples R China; [Liang, E.; Zhang, H.; Zhou, J.] Nanjing Univ, Minist Educ, Key Lab Modern Astron &amp; Astrophys, Nanjing 210093, Jiangsu, Peoples R China; [Mao, J.] Chinese Acad Sci, Yunnan Observ, Kunming 650011, Yunnan, Peoples R China; [McClelland, D. E.; Scott, S. M.] Australian Natl Univ, Res Sch Phys &amp; Engn, Canberra, ACT 2611, Australia; [McCully, C.] Las Cumbres Observ, 6740 Cortona Dr,Suite 102, Goleta, CA 93117 USA; [McCully, C.] Univ Calif Santa Barbara, Dept Phys, Santa Barbara, CA 93106 USA; [Morales, M. F.] Univ Washington, Dept Phys, Seattle, WA 98195 USA; [Orange, N. B.] OrangeWave Innovat Sci LLC, Moncks Corner, SC 29461 USA; [Romero-Colmenero, E.; Vaisanen, P.] Southern African Large Telescope Fdn, POB 9, ZA-7935 Cape Town, South Africa; [Scalzo, R. A.] Univ Sydney, Ctr Translat Data Sci, Sydney, NSW 2006, Australia; [Seghouani, N.] Ctr Rech Astron Astrophys &amp; Geophys, BP 63,Route Observ, Bouzareah 16340, Alger, Algeria; [Shang, Z.] Tianjin Normal Univ, Tianjin 300074, Peoples R China; [Shao, L.] Peking Univ, Kavli Inst Astron &amp; Astrophys, 5 Yiheyuan Rd, Beijing 100871, Peoples R China; [Shara, M. M.] Amer Museum Nat Hist, Dept Astrophys, Cent Pk West &amp; 79th St, New York, NY 10024 USA; [Shara, M. M.] Univ Cambridge, Inst Astron, Madingley Rd, Cambridge CB3 0HA, England; [Suntzeff, N. B.; Wang, L.] Texas A&amp;M Univ, George P &amp; Cynthia Woods Mitchell Inst Fundamenta, Dept Phys &amp; Astron, 4242 TAMU, College Stn, TX 77843 USA; [Tao, C.] Aix Marseille Univ, CNRS, IN2P3, CPPM, F-13288 Marseille, France; [Tao, C.; Wang, X.] Tsinghua Univ, Phys Dept, Beijing 100084, Peoples R China; [Tao, C.; Wang, X.] Tsinghua Univ, Tsinghua Ctr Astrophys, Beijing 100084, Peoples R China; [Thierry, P.] Observ Auragne, F-31190 Auragne, France</t>
  </si>
  <si>
    <t>Swinburne University of Technology; Monash University; Monash University; Australian National University; University of Sydney; University of Western Australia; Curtin University; University of New South Wales Sydney; Commonwealth Scientific &amp; Industrial Research Organisation (CSIRO); Arizona State University; Arizona State University-Tempe; Curtin University; Universite Cote d'Azur; Observatoire de la Cote d'Azur; Centre National de la Recherche Scientifique (CNRS); Stockholm University; University of Wisconsin System; University of Wisconsin Milwaukee; National Research Foundation - South Africa; South African Astronomical Observatory; University of Western Australia; University of the Virgin Islands; University of Nottingham; Commonwealth Scientific &amp; Industrial Research Organisation (CSIRO); University of Toronto; United States Department of Defense; United States Air Force; United States Air Force Academy; Stockholm University; Oskar Klein Centre; Curtin University; Chinese Academy of Sciences; Nanjing Institute of Astronomical Optics &amp; Technology, NAOC, CAS; Purple Mountain Observatory, CAS; Chinese Academy of Sciences; National Astronomical Observatory, CAS; California Institute of Technology; University of Manchester; Jodrell Bank Centre for Astrophysics; Universite de Toulouse; Universite Toulouse III - Paul Sabatier; Centre National de la Recherche Scientifique (CNRS); Chinese Academy of Sciences; Nanjing Institute of Astronomical Optics &amp; Technology, NAOC, CAS; Nanjing University; Nanjing University; Chinese Academy of Sciences; Yunnan Astronomical Observatory, NAOC, CAS; Australian National University; University of California System; University of California Santa Barbara; University of Washington; University of Washington Seattle; University of Sydney; Center for Research in Astronomy, Astrophysics &amp; Geophysics - Algeria; Tianjin Normal University; Peking University; American Museum of Natural History (AMNH); University of Cambridge; Texas A&amp;M University System; Texas A&amp;M University College Station; Aix-Marseille Universite; Centre National de la Recherche Scientifique (CNRS); CNRS - National Institute of Nuclear and Particle Physics (IN2P3); Tsinghua University; Tsinghua University</t>
  </si>
  <si>
    <t>Andreoni, I (corresponding author), Swinburne Univ Technol, Ctr Astrophys &amp; Supercomp, POB 218 H29, Hawthorn, Vic 3122, Australia.;Andreoni, I (corresponding author), Australian Res Council, Ctr Excellence Gravitat Wave Discovery OzGrav, Canberra, ACT, Australia.;Andreoni, I (corresponding author), Australian Astron Observ, 105 Delhi Rd, N Ryde, NSW 2113, Australia.</t>
  </si>
  <si>
    <t>igor.andreoni@gmail.com</t>
  </si>
  <si>
    <t>Johnston, Simon/AAW-8490-2020; Anderson, Gemma/HGE-5759-2022; Sadler, Elaine M/A-5720-2008; Williams, Andrew J/K-2931-2013; Wayth, Randall/B-2444-2013; Gaensler, Bryan M/F-8655-2010; Hu, Yi-Ming/ABD-6909-2021; Ridden-Harper, Ryan/AAN-6859-2020; Shannon, Ryan/ABD-6796-2021; Howie, Robert Michael/S-1245-2019; Oslowski, Stefan/AAI-7959-2021; James, Clancy W/G-9178-2015; Whiting, Matthew T/C-1017-2008; Moller, Anais/KHE-0975-2024; Tingay, Steven J/B-5271-2013; Paxman, Jonathan/ABB-3855-2020; Hotan, Aidan/AAH-4901-2021; Keane, Evan/HLH-5328-2023; Emrich, David J W/B-7002-2013; Christensen, Nelson/AAH-9184-2019; Wolf, Christian/IYS-8110-2023; Johnston-Hollitt, Melanie/B-1803-2013; Shannon, Ryan/AAW-8522-2020; Farah, Wael/ABB-2120-2021; Trott, Cathryn/AAM-5971-2021; Boer, Michel/Q-4428-2019; Green, James Andrew/KCK-0213-2024; Raja, Wasim/AAV-7966-2021; Bulik, Tomasz/AAJ-6742-2020; Zhu, Li/KBA-1685-2024; McClelland, David Ernest/E-6765-2010; Sansom, Eleanor/AAM-5067-2020; Bland, Phil/M-9392-2018; Gendre, Bruce/O-2923-2013; Howell, Eric/H-5072-2014; Lynch, Christene/O-2062-2018; Sokolowski, Marcin/B-5584-2013; Moller, Anais/C-5661-2018; Hancock, Paul/G-8756-2014</t>
  </si>
  <si>
    <t>Johnston, Simon/0000-0002-7122-4963; Sadler, Elaine M/0000-0002-1136-2555; Williams, Andrew J/0000-0001-9080-0105; Wayth, Randall/0000-0002-6995-4131; Hu, Yi-Ming/0000-0002-7869-0174; Ridden-Harper, Ryan/0000-0003-1724-2885; Shannon, Ryan/0000-0002-7285-6348; Howie, Robert Michael/0000-0002-5864-105X; Oslowski, Stefan/0000-0003-0289-0732; James, Clancy W/0000-0002-6437-6176; Whiting, Matthew T/0000-0003-1160-2077; Tingay, Steven J/0000-0002-8195-7562; Paxman, Jonathan/0000-0002-5671-9992; Hotan, Aidan/0000-0001-7464-8801; Keane, Evan/0000-0002-4553-655X; Christensen, Nelson/0000-0002-6870-4202; Wolf, Christian/0000-0002-4569-016X; Shannon, Ryan/0000-0002-7285-6348; Trott, Cathryn/0000-0001-6324-1766; Boer, Michel/0000-0001-9157-4349; Green, James Andrew/0000-0002-2670-188X; McClelland, David Ernest/0000-0001-6210-5842; Sansom, Eleanor/0000-0003-2702-673X; Allison, James/0000-0003-0436-4680; Bannister, Keith/0000-0003-2149-0363; Bland, Phil/0000-0002-4681-7898; Gendre, Bruce/0000-0002-9077-2025; Coward, David/0000-0002-7795-9354; Walker, Mia/0000-0003-4077-6244; Baade, Dietrich/0000-0003-1637-9679; Vaisanen, Petri/0000-0001-7673-4850; Lenc, Emil/0000-0002-9994-1593; Schmidt, Brian/0000-0002-8538-9195; Bian, Fuyan/0000-0002-1620-0897; Howell, Eric/0000-0001-7891-2817; Devillepoix, Hadrien/0000-0001-9226-1870; Onken, Christopher/0000-0003-0017-349X; Pritchard, Tyler/0000-0001-9227-8349; Anderson, Gemma/0000-0001-6544-8007; Lynch, Christene/0000-0002-0494-192X; Crawford, Steven/0000-0002-8969-5229; Kasliwal, Tamay/0000-0001-5634-7167; Sokolowski, Marcin/0000-0001-5772-338X; Morales, Miguel/0000-0001-7694-4030; Orange, Norton/0000-0001-6866-1436; Scalzo, Richard/0000-0003-3740-1214; Deller, Adam/0000-0001-9434-3837; Shao, Li/0000-0003-2015-777X; Moller, Anais/0000-0001-8211-8608; Suntzeff, Nicholas/0000-0002-8102-181X; Dobie, Dougal/0000-0003-0699-7019; Hancock, Paul/0000-0002-4203-2946; Sharp, Rob/0000-0003-4877-7866; NOYSENA, Kanthanakorn/0000-0001-9109-8311; Ackley, Kendall/0000-0002-8648-0767; Scott, Susan M./0000-0002-9875-7700; Acharyya, Ayan/0000-0003-4804-7142; Johnston-Hollitt, Melanie/0000-0003-2756-8301; Lidman, Chris/0000-0003-1731-0497; Bailes, Matthew/0000-0003-3294-3081; Gaensler, Bryan/0000-0002-3382-9558; Galloway, Duncan/0000-0002-6558-5121; Romero-Colmenero, Encarni/0000-0003-0607-1136; Tucker, Brad/0000-0002-4283-5159; Ashley, Michael/0000-0003-1412-2028; Bessell, Michael/0000-0001-7801-1410</t>
  </si>
  <si>
    <t>Australian Research Council Centre of Excellence for Gravitational Wave Discovery (OzGrav) [CE170100004]; Australian Research Council Centre of Excellence for All-sky Astrophysics (CAASTRO) [CE110001020]; Australian Astronomical Observatory (AAO); Australian Research Council Future Fellowship [FT130101219]; NASA [NNX13AD28A, NNX15AP95A]; Australian Research Council [FT150100099]; Australian Research Council grant Laureate Fellowship [FL15010014]; NSF [AST-141242.1 PAB, AST-1313484]; Australian Research Council; Australian Government; Australian Government (NCRIS); Western Australian Government; National Collaborative Research Infrastructure Strategy; Government of Western Australia; Science and Industry Endowment Fund; University of Western Australia Department of Physics, in the Faculty of Engineering and Mathematical Sciences; ARC LIEF from the Australian Research Council [LE130100104]; ANU, Swinburne University of Technology; University of Queensland; University of Western Australia; University of Melbourne; Curtin University of Technology; Australian Astronomical Observatory; National Basic Research Program (973 Program) of China [2013CB834900]; Chinese Polar Environment Comprehensive InvestigationAMP;Assessment Program [CHINARE2016-02-03-05]; Tsinghua University; 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Observatory of China (NAOC); National Research Foundation (NRF) of South Africa; ESO programme [60.A-9392]; Southern African Large Telescope (SALT) under the Director's Discretionary Time programme [2017-1-DDT-009]; Monash University; Australian Research Council Centre of Excellence for All-sky Astrophysics in 3 Dimensions (ASTRO-3D) [CE170100013]; STFC [ST/P000649/1] Funding Source: UKRI; Science and Technology Facilities Council [ST/P000649/1] Funding Source: researchfish; Division Of Astronomical Sciences; Direct For Mathematical &amp; Physical Scien [1412421] Funding Source: National Science Foundation</t>
  </si>
  <si>
    <t>Australian Research Council Centre of Excellence for Gravitational Wave Discovery (OzGrav)(Australian Research Council); Australian Research Council Centre of Excellence for All-sky Astrophysics (CAASTRO)(Australian Research Council); Australian Astronomical Observatory (AAO); Australian Research Council Future Fellowship(Australian Research Council); NASA(National Aeronautics &amp; Space Administration (NASA)); Australian Research Council(Australian Research Council); Australian Research Council grant Laureate Fellowship(Australian Research Council); NSF(National Science Foundation (NSF)); Australian Research Council(Australian Research Council); Australian Government(Australian Government); Australian Government (NCRIS)(Australian GovernmentDepartment of Industry, Innovation and Science); Western Australian Government; National Collaborative Research Infrastructure Strategy(Australian GovernmentDepartment of Industry, Innovation and Science); Government of Western Australia; Science and Industry Endowment Fund; University of Western Australia Department of Physics, in the Faculty of Engineering and Mathematical Sciences; ARC LIEF from the Australian Research Council(Australian Research CouncilUniversity of Queensland); ANU, Swinburne University of Technology; University of Queensland(University of Queensland); University of Western Australia; University of Melbourne(University of Melbourne); Curtin University of Technology; Australian Astronomical Observatory; National Basic Research Program (973 Program) of China(National Basic Research Program of China); Chinese Polar Environment Comprehensive InvestigationAMP;Assessment Program; Tsinghua University; Nanjing University(Nanjing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Observatory of China (NAOC); National Research Foundation (NRF) of South Africa(National Research Foundation - South Africa); ESO programme; Southern African Large Telescope (SALT) under the Director's Discretionary Time programme; Monash University(Monash University); Australian Research Council Centre of Excellence for All-sky Astrophysics in 3 Dimensions (ASTRO-3D)(Australian Research Council); STFC(UK Research &amp; Innovation (UKRI)Science &amp; Technology Facilities Council (STFC)); Science and Technology Facilities Council(UK Research &amp; Innovation (UKRI)Science &amp; Technology Facilities Council (STFC)); Division Of Astronomical Sciences; Direct For Mathematical &amp; Physical Scien(National Science Foundation (NSF)NSF - Directorate for Mathematical &amp; Physical Sciences (MPS))</t>
  </si>
  <si>
    <t>We thank Prof. Brian Metzger who provided the gri light curves for the M15 model. Part of this research was funded by the Australian Research Council Centre of Excellence for Gravitational Wave Discovery (OzGrav), CE170100004 and the Australian Research Council Centre of Excellence for All-sky Astrophysics (CAASTRO), CE110001020. Parts of this research were conducted by the Australian Research Council Centre of Excellence for All-sky Astrophysics in 3 Dimensions (ASTRO-3D), CE170100013.r Research support to IA is provided by the Australian Astronomical Observatory (AAO). JC acknowledges the Australian Research Council Future Fellowship grant FT130101219. The Etelman Observatory team acknowledges support through NASA grants NNX13AD28A and NNX15AP95A. TM acknowledges the support of the Australian Research Council through grant FT150100099. SO acknowledges the Australian Research Council grant Laureate Fellowship FL15010014. DLK and ISB are additionally supported by NSF grant AST-141242.1 PAB and the DFN team acknowledge the Australian Research Council for support under their Australian Laureate Fellowship scheme. C.M. is supported by NSF grant AST-1313484.r The ATCA is part of the Australia Telescope National Facility which is funded by the Australian Government for operation as a National Facility managed by CSIRO.r This scientific work makes use of the Murchison Radio-astronomy Observatory, operated by CSIRO. We acknowledge the Wajarri Yamatji people as the traditional owners of the Observatory site. Support for the operation of the MWA is provided by the Australian Government (NCRIS), under a contract to Curtin University administered by Astronomy Australia Limited. We acknowledge the Pawsey Supercomputing Centre which is supported by the Western Australian and Australian Governments.r The Australian SKA Pathfinder is part of the Australia Telescope National Facility which is managed by CSIRO. Operation of ASKAP is funded by the Australian Government with support from the National Collaborative Research Infrastructure Strategy. ASKAP uses the resources of the Pawsey Supercomputing Centre. Establishment of ASKAP, the Murchison Radio-astronomy Observatory and the Pawsey Supercomputing Centre are initiatives of the Australian Government, with support from the Government of Western Australia and the Science and Industry Endowment Fund. We acknowledge the Wajarri Yamatji people as the traditional owners of the Observatory site. This work was supported by resources provided by the Pawsey Supercomputing Centre with funding from the Australian Government and the Government of Western Australia.r The Zadko Telescope is supported by the University of Western Australia Department of Physics, in the Faculty of Engineering and Mathematical Sciences. We also thank the superb technical support from J. Moore and A. Burrel that has enabled the facility to participate in this project.r SkyMapper is owned and operated by The Australian National University's Research School of Astronomy and Astrophysics. The national facility capability for SkyMapper has been funded through ARC LIEF grant LE130100104 from the Australian Research Council, awarded to the University of Sydney, the ANU, Swinburne University of Technology, the University of Queensland, the University of Western Australia, the University of Melbourne, Curtin University of Technology, Monash University and the Australian Astronomical Observatory.r The AST3 project is supported by the National Basic Research Program (973 Program) of China (Grant No.; 2013CB834900), and the Chinese Polar Environment Comprehensive Investigation&amp;Assessment Program (Grand No. CHINARE2016-02-03-05). The construction of the AST3 telescopes has received fundings from Tsinghua University, Nanjing University, Beijing Normal University, University of New South Wales, Texas A&amp;M University, the Australian Antarctic Division, and the National Collaborative Research Infrastructure Strategy (NCRIS) of Australia. It has also received fundings from Chinese Academy of Sciences through the Center for Astronomical Mega-Science and National Astronomical Observatory of China (NAOC).r Some of the observations reported in this paper were obtained with the Southern African Large Telescope (SALT) under the Director's Discretionary Time programme 2017-1-DDT-009. The SALT/SAAO team are supported by the National Research Foundation (NRF) of South Africa.r Research partially based on observations collected at the European Organisation for Astronomical Research in the Southern Hemisphere under ESO programme 60.A-9392.</t>
  </si>
  <si>
    <t>1323-3580</t>
  </si>
  <si>
    <t>1448-6083</t>
  </si>
  <si>
    <t>PUBL ASTRON SOC AUST</t>
  </si>
  <si>
    <t>Publ. Astron. Soc. Aust.</t>
  </si>
  <si>
    <t>e069</t>
  </si>
  <si>
    <t>10.1017/pasa.2017.65</t>
  </si>
  <si>
    <t>FQ6ES</t>
  </si>
  <si>
    <t>WOS:000418457200001</t>
  </si>
  <si>
    <t>Zhao, XY; Weaver, D; Bognar, K; Manney, G; Millán, L; Yang, X; Eloranta, E; Schneider, M; Strong, K</t>
  </si>
  <si>
    <t>Zhao, Xiaoyi; Weaver, Dan; Bognar, Kristof; Manney, Gloria; Millan, Luis; Yang, Xin; Eloranta, Edwin; Schneider, Matthias; Strong, Kimberly</t>
  </si>
  <si>
    <t>Cyclone-induced surface ozone and HDO depletion in the Arctic</t>
  </si>
  <si>
    <t>SEA-SALT AEROSOL; IODINE-CONTAINING COMPOUNDS; PARTICLE DISPERSION MODEL; TROPICAL DEEP CONVECTION; BROMINE EXPLOSION EVENT; LONG-RANGE TRANSPORT; BOUNDARY-LAYER; WATER-VAPOR; POTENTIAL INFLUENCE; ATMOSPHERIC MODELS</t>
  </si>
  <si>
    <t>Ground-based, satellite, and reanalysis datasets were used to identify two similar cyclone-induced surface ozone depletion events at Eureka, Canada (80.1 degrees N, 86.4 degrees W), in March 2007 and April 2011. These two events were coincident with observations of hydrogen deuterium oxide (HDO) depletion, indicating that condensation and sublimation occurred during the transport of the ozone-depleted air masses. Ice clouds (vapour and crystals) and aerosols were detected by lidar and radar when the ozone- and HDO-depleted air masses arrived over Eureka. For the 2007 event, an ice cloud layer was coincident with an aloft ozone depletion layer at 870 m altitude on 2-3 March, indicating this ice cloud layer contained bromine-enriched blowing-snow particles. Over the following 3 days, a shallow surface ozone depletion event (ODE) was observed at Eureka after the precipitation of bromine-enriched particles onto the local snowpack. A chemistry-climate model (UKCA) and a chemical transport model (pTOMCAT) were used to simulate the surface ozone depletion events. Incorporating the latest surface snow salinity data obtained for the Weddell Sea into the models resulted in improved agreement between the modelled and measured BrO concentrations above Eureka. MERRA-2 global reanalysis data and the FLEXPART particle dispersion model were used to study the link between the ozone and HDO depletion. In general, the modelled ozone and BrO showed good agreement with the ground-based observations; however, the modelled BrO and ozone in the near-surface layer are quite sensitive to the snow salinity. HDO depletion observed during these two blowing-snow ODEs was found to be weaker than pure Rayleigh fractionation. This work provides evidence of a blowing-snow sublimation process, which is a key step in producing bromine-enriched sea-salt aerosol.</t>
  </si>
  <si>
    <t>[Zhao, Xiaoyi; Weaver, Dan; Bognar, Kristof; Strong, Kimberly] Univ Toronto, Dept Phys, Toronto, ON, Canada; [Manney, Gloria] NorthWest Res Associates, Socorro, NM USA; [Manney, Gloria] New Mexico Inst Min &amp; Technol, Dept Phys, Socorro, NM 87801 USA; [Millan, Luis] CALTECH, Jet Prop Lab, Pasadena, CA USA; [Yang, Xin] NERC, British Antarctic Survey, Cambridge, England; [Eloranta, Edwin] Univ Wisconsin, Ctr Space Sci &amp; Engn, 1225 W Dayton St, Madison, WI 53706 USA; [Schneider, Matthias] Karlsruhe Inst Technol, Inst Meteorol &amp; Climate Res IMK ASF, Karlsruhe, Germany; [Zhao, Xiaoyi] Environm &amp; Climate Change Canada, Measurement &amp; Anal Res Sect, Toronto, ON, Canada</t>
  </si>
  <si>
    <t>University of Toronto; NorthWest Research Associates; New Mexico Institute of Mining Technology; National Aeronautics &amp; Space Administration (NASA); NASA Jet Propulsion Laboratory (JPL); California Institute of Technology; UK Research &amp; Innovation (UKRI); Natural Environment Research Council (NERC); NERC British Antarctic Survey; University of Wisconsin System; University of Wisconsin Madison; Helmholtz Association; Karlsruhe Institute of Technology; Environment &amp; Climate Change Canada</t>
  </si>
  <si>
    <t>Zhao, XY; Strong, K (corresponding author), Univ Toronto, Dept Phys, Toronto, ON, Canada.;Zhao, XY (corresponding author), Environm &amp; Climate Change Canada, Measurement &amp; Anal Res Sect, Toronto, ON, Canada.</t>
  </si>
  <si>
    <t>xizhao@atmosp.physics.utoronto.ca; strong@atmosp.physics.utoronto.ca</t>
  </si>
  <si>
    <t>Yang, Xin/AGB-3514-2022; Schneider, Matthias/B-1441-2013; Millan, Luis/J-2759-2015; Strong, Kimberly/D-2563-2012</t>
  </si>
  <si>
    <t>Yang, Xin/0000-0002-3838-9758; Weaver, Dan/0000-0002-5400-5099; Bognar, Kristof/0000-0003-4619-2020; Strong, Kimberly/0000-0001-9947-1053</t>
  </si>
  <si>
    <t>Arctic Research Infrastructure Fund; Atlantic Innovation Fund/Nova Scotia Research Innovation Trust; Canadian Foundation for Climate and Atmospheric Science; Canada Foundation for Innovation; Canadian Space Agency (CSA); Environment and Climate Change Canada (ECCC); Government of Canada International Polar Year; Natural Sciences and Engineering Research Council (NSERC); Ontario Innovation Trust; Ontario Research Fund; Indian and Northern Affairs Canada; Polar Continental Shelf Program; Canadian Arctic ACE/OSIRIS Validation Campaigns - CSA; ECCC; NSERC; Northern Scientific Training Program; Centre for Global Change Science; NSERC CREATE Training Program in Arctic Atmospheric Science; European Research Council under the European Community's Seventh Framework Programme/ERC [256961]; National Aeronautics and Space Administration; NERC [bas0100032] Funding Source: UKRI; Natural Environment Research Council [bas0100032] Funding Source: researchfish</t>
  </si>
  <si>
    <t>Arctic Research Infrastructure Fund; Atlantic Innovation Fund/Nova Scotia Research Innovation Trust; Canadian Foundation for Climate and Atmospheric Science; Canada Foundation for Innovation(Canada Foundation for InnovationCGIARSpanish Government); Canadian Space Agency (CSA)(Canadian Space Agency); Environment and Climate Change Canada (ECCC); Government of Canada International Polar Year; Natural Sciences and Engineering Research Council (NSERC)(Natural Sciences and Engineering Research Council of Canada (NSERC)); Ontario Innovation Trust; Ontario Research Fund; Indian and Northern Affairs Canada; Polar Continental Shelf Program; Canadian Arctic ACE/OSIRIS Validation Campaigns - CSA; ECCC; NSERC(Natural Sciences and Engineering Research Council of Canada (NSERC)); Northern Scientific Training Program; Centre for Global Change Science; NSERC CREATE Training Program in Arctic Atmospheric Science(European Research Council (ERC)); European Research Council under the European Community's Seventh Framework Programme/ERC(European Research Council (ERC)); National Aeronautics and Space Administration(National Aeronautics &amp; Space Administration (NASA)); NERC(UK Research &amp; Innovation (UKRI)Natural Environment Research Council (NERC)); Natural Environment Research Council(UK Research &amp; Innovation (UKRI)Natural Environment Research Council (NERC))</t>
  </si>
  <si>
    <t>CANDAC/PEARL funding partners are the Arctic Research Infrastructure Fund, Atlantic Innovation Fund/Nova Scotia Research Innovation Trust, Canadian Foundation for Climate and Atmospheric Science, Canada Foundation for Innovation, Canadian Space Agency (CSA), Environment and Climate Change Canada (ECCC), Government of Canada International Polar Year, Natural Sciences and Engineering Research Council (NSERC), Ontario Innovation Trust, Ontario Research Fund, Indian and Northern Affairs Canada, and the Polar Continental Shelf Program. The spring 2006-2014 measurements were also supported by the Canadian Arctic ACE/OSIRIS Validation Campaigns funded by CSA, ECCC, NSERC, the Northern Scientific Training Program, and the Centre for Global Change Science. This work also received funding from the NSERC CREATE Training Program in Arctic Atmospheric Science and the NSERC-supported Probing Atmosphere in the High Arctic (PAHA) project. We thank CANDAC/PEARL/PAHA PI James Drummond, ACE/OSIRIS Validation Campaign PI Kaley Walker, PEARL Site Manager Pierre Fogal, the CANDAC operators, and the staff at ECCC's Eureka weather station for their contributions to data acquisition and logistical and on-site support. We thank Vitali Fioletov and David Tarasick from ECCC for providing Brewer and ozonesonde data. We thank Frederick Michel from Carleton University and Xiahong Feng from Dartmouth College for providing Eureka isotopologue precipitation data. This work has also benefitted from discussions with Jonathan Abbatt and Dylan Jones at the University of Toronto. The MUSICA NDACC/FTIR retrievals have been made in the context of the project MUSICA, which was funded by the European Research Council under the European Community's Seventh Framework Programme (FP7/2007-2013)/ERC grant agreement no. 256961. MERRA-2 work at the Jet Propulsion Laboratory, California Institute of Technology was done under contract with the National Aeronautics and Space Administration.</t>
  </si>
  <si>
    <t>DEC 19</t>
  </si>
  <si>
    <t>10.5194/acp-17-14955-2017</t>
  </si>
  <si>
    <t>FQ3TE</t>
  </si>
  <si>
    <t>Green Submitted, Green Accepted, Green Published, gold</t>
  </si>
  <si>
    <t>WOS:000418279100001</t>
  </si>
  <si>
    <t>Sugita, T; Akiyoshi, H; Wolfram, E; Salvador, J; Ohyama, H; Mizuno, A</t>
  </si>
  <si>
    <t>Sugita, Takafumi; Akiyoshi, Hideharu; Wolfram, Elian; Salvador, Jacobo; Ohyama, Hirofumi; Mizuno, Akira</t>
  </si>
  <si>
    <t>Comparison of ozone profiles from DIAL, MLS, and chemical transport model simulations over Rio Gallegos, Argentina, during the spring Antarctic vortex breakup, 2009</t>
  </si>
  <si>
    <t>STRATOSPHERIC OZONE; VERTICAL-DISTRIBUTION; POLAR VORTEX; MIDLATITUDE STATION; POTENTIAL VORTICITY; LIDAR MEASUREMENTS; VALIDATION; SYSTEM; TEMPERATURE; INSTRUMENT</t>
  </si>
  <si>
    <t>This study evaluates the agreement between ozone profiles derived from the ground-based differential absorption lidar (DIAL), satellite-borne Aura Microwave Limb Sounder (MLS), and 3-D chemical transport model (CTM) simulations such as the Model for Interdisciplinary Research on Climate (MIROC-CTM) over the Atmospheric Observatory of Southern Patagonia (Observatorio Atmosferico de la Patagonia Austral, OAPA; 51.6 degrees S, 69.3 degrees W) in Rio Gallegos, Argentina, from September to November 2009. In this austral spring, measurements were performed in the vicinity of the polar vortex and inside it on some occasions; they revealed the variability in the potential vorticity (PV) of measured air masses. Comparisons between DIAL and MLS were performed between 6 and 100 hPa with 500 km and 24 h coincidence criteria. The results show a good agreement between DIAL and MLS with mean differences of -0.1 ppmv (MLS DIAL, n=180) between 6 and 56 hPa. MIROC-CTM also agrees with DIAL, with mean differences of similar to 0.3 ppmv (MIROC-CTM DIAL, n=23) between 10 and 56 hPa. Both comparisons provide mean differences of 0.5 ppmv (MLS) to 0.8-0.9 ppmv (MIROC-CTM) at the 83100 hPa levels. DIAL tends to underestimate ozone values at this lower altitude region. Between 6 and 8 hPa, the MIROCCTM ozone value is 0.4-0.6 ppmv (5-8 %) smaller than those from DIAL. Applying the scaled PV (sPV) criterion for matching pairs in the DIAL-MLS comparison, the variability in the difference decreases 21-47% between 10 and 56 hPa. However, the mean differences are small for all pressure levels, except 6 hPa. Because ground measurement sites in the Southern Hemisphere (SH) are very sparse at mid-to high latitudes, i. e., 35-60 degrees S, the OAPA site is important for evaluating the bias and long-term stability of satellite instruments. The good performance of this DIAL system will be useful for such purposes in the future.</t>
  </si>
  <si>
    <t>[Sugita, Takafumi; Akiyoshi, Hideharu; Ohyama, Hirofumi] NIES, Tsukuba, Ibaraki, Japan; [Wolfram, Elian; Salvador, Jacobo] UNIDEF MINDEF CONICET, Laser Applicat Res Ctr CEILAP, UMI IFAECI CNRS 3351, Villa Martelli, Argentina; [Wolfram, Elian; Salvador, Jacobo] UTN, FRBA, Medrano 951, Buenos Aires, DF, Argentina; [Salvador, Jacobo] Univ Nacl Patagonia Austral, Unidad Acad Rio Gallegos, Rio Gallegos, Argentina; [Salvador, Jacobo] Univ Nacl Patagonia Austral, CIT Santa Cruz, Rio Gallegos, Argentina; [Ohyama, Hirofumi; Mizuno, Akira] Nagoya Univ, Inst Space Earth Environm Res ISEE, Nagoya, Aichi, Japan</t>
  </si>
  <si>
    <t>National Institute for Environmental Studies - Japan; Universidad Nacional de la Patagonia San Juan Bosco; Universidad Nacional de la Patagonia San Juan Bosco; Nagoya University</t>
  </si>
  <si>
    <t>Sugita, T (corresponding author), NIES, Tsukuba, Ibaraki, Japan.</t>
  </si>
  <si>
    <t>tsugita@nies.go.jp</t>
  </si>
  <si>
    <t>Salvador, Jacobo/ISV-5414-2023; Ohyama, Hirofumi/H-7333-2018; Sugita, Takafumi/H-6669-2018; Matsumoto, Akira/HIR-9389-2022; Akiyoshi, Hideharu/H-8170-2018</t>
  </si>
  <si>
    <t>Ohyama, Hirofumi/0000-0003-2109-9874; Wolfram, Elian/0000-0001-6297-4327; Akiyoshi, Hideharu/0000-0001-6463-9004</t>
  </si>
  <si>
    <t>Science and Technology Research Partnership for Sustainable Development (SATREPS); Japan Science and Technology Agency (JST); Japan International Cooperation Agency (JICA)</t>
  </si>
  <si>
    <t>Science and Technology Research Partnership for Sustainable Development (SATREPS); Japan Science and Technology Agency (JST)(Japan Science &amp; Technology Agency (JST)); Japan International Cooperation Agency (JICA)</t>
  </si>
  <si>
    <t>This research was supported by the Science and Technology Research Partnership for Sustainable Development (SATREPS), Japan Science and Technology Agency (JST), and Japan International Cooperation Agency (JICA). The DIAL construction and maintenance from 2005 until the present were supported by projects lead by Eduardo Quel (CEILAP), type PICT from the Science and Technology Ministry of Argentina, and in collaboration with CONICET, as well as the late Gerard Megie and Sophie Godin-Beekmann (CNRS, France) and Hideaki Nakane (Kochi University of Technology, Japan). The Aura MLS data were produced at the Jet Propulsion Laboratory (JPL), California Institute of Technology, under contract with the National Aeronautics and Space Administration (NASA). CTM computations were conducted on NEC-SX9/A(ECO) computers at CGER, NIES. We thank Yousuke Yamashita (Japan Agency for Marine-Earth Science and Technology) and Haruna Nakamura and Izumi Ikeuchi (Fujitsu FIP Corp., Japan) for configuring and preparing the model computations. The derived meteorological products were produced by Gloria L. Manney (NorthWest Research Associates and New Mexico Institute of Mining and Technology) and Luis F. Millan (NASA JPL). We thank Masanao Kadowaki (Japan Atomic Energy Agency) for his helpful discussion in the early stages of the manuscript. The air mass trajectories were computed by the National Institute of Polar Research, Japan, trajectory model using the NASA GMAO MERRA data. We would like to thank Editage (http://www.editage.jp) for English language editing on an earlier version of the manuscript.</t>
  </si>
  <si>
    <t>10.5194/amt-10-4947-2017</t>
  </si>
  <si>
    <t>FQ3TF</t>
  </si>
  <si>
    <t>WOS:000418279200001</t>
  </si>
  <si>
    <t>Ashton, GV; Barnes, DKA; Morley, SA; Peck, LS</t>
  </si>
  <si>
    <t>Ashton, Gail V.; Barnes, David K. A.; Morley, Simon A.; Peck, Lloyd S.</t>
  </si>
  <si>
    <t>Response to van der Meer</t>
  </si>
  <si>
    <t>CURRENT BIOLOGY</t>
  </si>
  <si>
    <t>Letter</t>
  </si>
  <si>
    <t>GROWTH; TEMPERATURE; SIZE; COLD</t>
  </si>
  <si>
    <t>[Ashton, Gail V.; Barnes, David K. A.; Morley, Simon A.; Peck, Lloyd S.] NERC, British Antarctic Survey, Madingley Rd, Cambridge CB3 OET, England; [Ashton, Gail V.] Smithsonian Environm Res Ctr, 3150 Paradise Dr, Tiburon, CA 94920 USA</t>
  </si>
  <si>
    <t>UK Research &amp; Innovation (UKRI); Natural Environment Research Council (NERC); NERC British Antarctic Survey; Smithsonian Institution; Smithsonian Environmental Research Center</t>
  </si>
  <si>
    <t>Ashton, GV; Morley, SA (corresponding author), NERC, British Antarctic Survey, Madingley Rd, Cambridge CB3 OET, England.;Ashton, GV (corresponding author), Smithsonian Environm Res Ctr, 3150 Paradise Dr, Tiburon, CA 94920 USA.</t>
  </si>
  <si>
    <t>ashtong@si.edu; smor@bas.ac.uk</t>
  </si>
  <si>
    <t>Ashton, Gail/0000-0001-5884-3383</t>
  </si>
  <si>
    <t>NERC [NE/J007501/1, bas0100036] Funding Source: UKRI</t>
  </si>
  <si>
    <t>CELL PRESS</t>
  </si>
  <si>
    <t>50 HAMPSHIRE ST, FLOOR 5, CAMBRIDGE, MA 02139 USA</t>
  </si>
  <si>
    <t>0960-9822</t>
  </si>
  <si>
    <t>1879-0445</t>
  </si>
  <si>
    <t>CURR BIOL</t>
  </si>
  <si>
    <t>Curr. Biol.</t>
  </si>
  <si>
    <t>DEC 18</t>
  </si>
  <si>
    <t>R1303</t>
  </si>
  <si>
    <t>R1304</t>
  </si>
  <si>
    <t>10.1016/j.cub.2017.10.066</t>
  </si>
  <si>
    <t>Biochemistry &amp; Molecular Biology; Biology; Cell Biology</t>
  </si>
  <si>
    <t>Biochemistry &amp; Molecular Biology; Life Sciences &amp; Biomedicine - Other Topics; Cell Biology</t>
  </si>
  <si>
    <t>FQ3VF</t>
  </si>
  <si>
    <t>WOS:000418285000006</t>
  </si>
  <si>
    <t>van der Meer, J</t>
  </si>
  <si>
    <t>van der Meer, Jaap</t>
  </si>
  <si>
    <t>Are the Q10 values of more than 1,000 reported for Antarctic seabed fauna realistic?</t>
  </si>
  <si>
    <t>[van der Meer, Jaap] Royal Netherlands Inst Sea Res NIOZ, POB 59, NL-1790 AB Den Burg, Netherlands; [van der Meer, Jaap] Univ Utrecht, POB 59, NL-1790 AB Den Burg, Netherlands; [van der Meer, Jaap] Vrije Univ Amsterdam, Dept Anim Ecol, Amsterdam, Netherlands</t>
  </si>
  <si>
    <t>Utrecht University; Royal Netherlands Institute for Sea Research (NIOZ); Utrecht University; Vrije Universiteit Amsterdam</t>
  </si>
  <si>
    <t>van der Meer, J (corresponding author), Royal Netherlands Inst Sea Res NIOZ, POB 59, NL-1790 AB Den Burg, Netherlands.;van der Meer, J (corresponding author), Univ Utrecht, POB 59, NL-1790 AB Den Burg, Netherlands.;van der Meer, J (corresponding author), Vrije Univ Amsterdam, Dept Anim Ecol, Amsterdam, Netherlands.</t>
  </si>
  <si>
    <t>jaap.van.der.meer@nioz.nl</t>
  </si>
  <si>
    <t>R1302</t>
  </si>
  <si>
    <t>10.1016/j.cub.2017.10.065</t>
  </si>
  <si>
    <t>Green Published, hybrid, Green Submitted</t>
  </si>
  <si>
    <t>WOS:000418285000005</t>
  </si>
  <si>
    <t>Biscontin, A; Wallach, T; Sales, G; Grudziecki, A; Janke, L; Sartori, E; Bertolucci, C; Mazzotta, G; De Pittà, C; Meyer, B; Kramer, A; Costa, R</t>
  </si>
  <si>
    <t>Biscontin, Alberto; Wallach, Thomas; Sales, Gabriele; Grudziecki, Astrid; Janke, Leonard; Sartori, Elena; Bertolucci, Cristiano; Mazzotta, Gabriella; De Pitta, Cristiano; Meyer, Bettina; Kramer, Achim; Costa, Rodolfo</t>
  </si>
  <si>
    <t>Functional characterization of the circadian clock in the Antarctic krill, Euphausia superba</t>
  </si>
  <si>
    <t>SIMULATED LIGHT REGIMES; TRANSCRIPTION FACTORS; TEMPORAL EXPRESSION; MOLECULAR-CLONING; MARINE ECOSYSTEM; DROSOPHILA; GENE; CRUSTACEA; TIMELESS; PERIOD</t>
  </si>
  <si>
    <t>Antarctic krill (Euphausia superba) is a key species in Southern Ocean ecosystem where it plays a central role in the Antarctic food web. Available information supports the existence of an endogenous timing system in krill enabling it to synchronize metabolism and behavior with an environment characterized by extreme seasonal changes in terms of day length, food availability, and surface ice extent. A screening of our transcriptome database KrillDB allowed us to identify the putative orthologues of 20 circadian clock components. Mapping of conserved domains and phylogenetic analyses strongly supported annotations of the identified sequences. Luciferase assays and co-immunoprecipitation experiments allowed us to define the role of the main clock components. Our findings provide an overall picture of the molecular mechanisms underlying the functioning of the endogenous circadian clock in the Antarctic krill and shed light on their evolution throughout crustaceans speciation. Interestingly, the core clock machinery shows both mammalian and insect features that presumably contribute to an evolutionary strategy to cope with polar environment's challenges. Moreover, despite the extreme variability characterizing the Antarctic seasonal day length, the conserved light mediated degradation of the photoreceptor EsCRY1 suggests a persisting pivotal role of light as a Zeitgeber.</t>
  </si>
  <si>
    <t>[Biscontin, Alberto; Wallach, Thomas; Grudziecki, Astrid; Janke, Leonard; Kramer, Achim] Charite Univ Med Berlin, Lab Chronobiol, D-10117 Berlin, Germany; [Biscontin, Alberto; Sales, Gabriele; Sartori, Elena; Mazzotta, Gabriella; De Pitta, Cristiano; Costa, Rodolfo] Univ Padua, Dept Biol, I-35121 Padua, Italy; [Bertolucci, Cristiano] Univ Ferrara, Dept Life Sci &amp; Biotechnol, I-44121 Ferrara, Italy; [Meyer, Bettina] Alfred Wegener Polar Biol Oceanog, D-27570 Bremerhaven, Germany; [Meyer, Bettina] Carl von Ossietzky Univ Oldenburg, Inst Chem &amp; Biol Marine Environm, D-26129 Oldenburg, Germany; [Meyer, Bettina] Helmholtz Inst Funct Marine Biodivers Oldenburg H, D-26129 Oldenburg, Germany</t>
  </si>
  <si>
    <t>Free University of Berlin; Humboldt University of Berlin; Charite Universitatsmedizin Berlin; University of Padua; University of Ferrara; Carl von Ossietzky Universitat Oldenburg</t>
  </si>
  <si>
    <t>Kramer, A (corresponding author), Charite Univ Med Berlin, Lab Chronobiol, D-10117 Berlin, Germany.;Costa, R (corresponding author), Univ Padua, Dept Biol, I-35121 Padua, Italy.</t>
  </si>
  <si>
    <t>achim.kramer@charite.de; rodolfo.costa@unipd.it</t>
  </si>
  <si>
    <t>Bertolucci, Cristiano/H-1916-2015; Meyer, Bettina/ABB-5311-2020; De Pitta, Cristiano/AAY-7302-2020; Sales, Gabriele/K-5065-2016</t>
  </si>
  <si>
    <t>Bertolucci, Cristiano/0000-0003-0252-3107; Meyer, Bettina/0000-0001-6804-9896; De Pitta, Cristiano/0000-0001-8013-8162; Sales, Gabriele/0000-0003-2078-5661; Kramer, Achim/0000-0001-9671-6078; MAZZOTTA, GABRIELLA MARGHERITA/0000-0001-5461-6837; Biscontin, Alberto/0000-0003-1492-7715</t>
  </si>
  <si>
    <t>10.1038/s41598-017-18009-2</t>
  </si>
  <si>
    <t>FQ4JP</t>
  </si>
  <si>
    <t>WOS:000418323900054</t>
  </si>
  <si>
    <t>Snow, K; Goldberg, DN; Holland, PR; Jordan, JR; Arthern, RJ; Jenkins, A</t>
  </si>
  <si>
    <t>Snow, K.; Goldberg, D. N.; Holland, P. R.; Jordan, J. R.; Arthern, R. J.; Jenkins, A.</t>
  </si>
  <si>
    <t>The Response of Ice Sheets to Climate Variability</t>
  </si>
  <si>
    <t>SHELF</t>
  </si>
  <si>
    <t>West Antarctic Ice Sheet loss is a significant contributor to sea level rise. While the ice loss is thought to be triggered by fluctuations in oceanic heat at the ice shelf bases, ice sheet response to ocean variability remains poorly understood. Using a synchronously coupled ice-ocean model permitting grounding line migration, this study evaluates the response of an ice sheet to periodic variations in ocean forcing. Resulting oscillations in grounded ice volume amplitude is shown to grow as a nonlinear function of ocean forcing period. This implies that slower oscillations in climatic forcing are disproportionately important to ice sheets. The ice shelf residence time offers a critical time scale, above which the ice response amplitude is a linear function of ocean forcing period and below which it is quadratic. These results highlight the sensitivity of West Antarctic ice streams to perturbations in heat fluxes occurring at decadal time scales.</t>
  </si>
  <si>
    <t>[Snow, K.; Goldberg, D. N.] Univ Edinburgh, Sch Geosci, Edinburgh, Midlothian, Scotland; [Holland, P. R.; Jordan, J. R.; Arthern, R. J.; Jenkins, A.] British Antarctic Survey, Cambridge, England</t>
  </si>
  <si>
    <t>University of Edinburgh; UK Research &amp; Innovation (UKRI); Natural Environment Research Council (NERC); NERC British Antarctic Survey</t>
  </si>
  <si>
    <t>Goldberg, DN (corresponding author), Univ Edinburgh, Sch Geosci, Edinburgh, Midlothian, Scotland.</t>
  </si>
  <si>
    <t>dngoldberg@gmail.com</t>
  </si>
  <si>
    <t>Holland, Paul R/G-2796-2012; Jenkins, Adrian/IUN-2406-2023</t>
  </si>
  <si>
    <t>Jordan, Jim/0000-0001-8117-1976; Jenkins, Adrian/0000-0002-9117-0616</t>
  </si>
  <si>
    <t>Natural Environment Resources Council [NE/M003590/1]; Natural Environment Research Council [NE/M001660/1, NE/N01801X/1, NE/M003590/1, bas0100033] Funding Source: researchfish; Science and Technology Facilities Council [ST/P000541/1] Funding Source: researchfish; NERC [NE/M001660/1, bas0100033, NE/M003590/1, NE/N01801X/1] Funding Source: UKRI; STFC [ST/P000541/1] Funding Source: UKRI</t>
  </si>
  <si>
    <t>Natural Environment Resources Council;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</si>
  <si>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This work was supported by Natural Environment Resources Council grant NE/M003590/1. The code used to generate all results is available freely at mitgcm.org. The model output used to generate Figures 2, 3, and S3-S8 is available for download at https://doi.org/cgb9.</t>
  </si>
  <si>
    <t>DEC 16</t>
  </si>
  <si>
    <t>10.1002/2017GL075745</t>
  </si>
  <si>
    <t>FR5JI</t>
  </si>
  <si>
    <t>WOS:000419102400023</t>
  </si>
  <si>
    <t>Dawson, GJ; Bamber, JL</t>
  </si>
  <si>
    <t>Dawson, G. J.; Bamber, J. L.</t>
  </si>
  <si>
    <t>Antarctic Grounding Line Mapping From CryoSat-2 Radar Altimetry</t>
  </si>
  <si>
    <t>ICESAT LASER ALTIMETRY; SATELLITE-RADAR; WEST ANTARCTICA; KOHLER GLACIERS; SHELF; INTERFEROMETRY; GREENLAND; RETREAT; ZONE; ROSS</t>
  </si>
  <si>
    <t>We present a new technique for mapping the grounding line of Antarctic ice shelves using a combination of CryoSat-2 standard and swath elevation data. Our method is based on detecting the tidal signal in pseudo crossovers and is tested on the Siple Coast region of West Antarctica. The mapped grounding line is in good agreement with previous observations from differential SAR interferometry and from ICESat repeat tracks, with a standard deviation of 1.1 km and 1.0 km, respectively, between these methods and ours. There is, however, an average seaward bias of 0.6 km, which is due to the poorer precision of CryoSat-2. We have improved coverage particularly near the Echelmeyer Ice Stream where we have shown that the grounding zone is approximately 25 km inland from previous estimates. This new method is computationally efficient and can be applied to the rest of Antarctica.</t>
  </si>
  <si>
    <t>[Dawson, G. J.; Bamber, J. L.] Univ Bristol, Bristol Glaciol Ctr, Sch Geog Sci, Bristol, Avon, England</t>
  </si>
  <si>
    <t>University of Bristol</t>
  </si>
  <si>
    <t>Dawson, GJ (corresponding author), Univ Bristol, Bristol Glaciol Ctr, Sch Geog Sci, Bristol, Avon, England.</t>
  </si>
  <si>
    <t>geoffrey.dawson@bristol.ac.uk</t>
  </si>
  <si>
    <t>Bamber, Jonathan/C-7608-2011</t>
  </si>
  <si>
    <t>Bamber, Jonathan/0000-0002-2280-2819; Dawson, Geoffrey/0000-0001-9873-2266</t>
  </si>
  <si>
    <t>UK Natural Environment Research Council (NERC) [NE/N011511/1]; NERC [NE/N011511/1] Funding Source: UKRI; Natural Environment Research Council [NE/N011511/1] Funding Source: researchfish</t>
  </si>
  <si>
    <t>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</si>
  <si>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the UK Natural Environment Research Council (NERC) grant NE/N011511/1. The CryoSat-2 data used in this study are available from the European Space Agency (ESA). The DInSAR grounding line data are available from the National Snow and Ice Data Centre and the Centre for Environmental Data Analysis. The ICESat grounding line data are available the National Snow and Ice Data Centre. We thank L. Gray for his advice in processing the CryoSat-2 swath data. The authors are also grateful to Laurie Padman and an anonymous reviewer for their comments, which greatly improved this manuscript.</t>
  </si>
  <si>
    <t>10.1002/2017GL075589</t>
  </si>
  <si>
    <t>WOS:000419102400024</t>
  </si>
  <si>
    <t>Fulton, SR; Schubert, WH; Chen, ZQ; Ciesielski, PE</t>
  </si>
  <si>
    <t>Fulton, Scott R.; Schubert, Wayne H.; Chen, Zhengqing; Ciesielski, Paul E.</t>
  </si>
  <si>
    <t>A Dynamical Explanation of the Topographically Bound Easterly Low-Level Jet Surrounding Antarctica</t>
  </si>
  <si>
    <t>topographically bound flow; potential vorticity inversion; balanced dynamical model; Antarctic low-level jet</t>
  </si>
  <si>
    <t>TEMPERATURE INVERSION; SURFACE; ATMOSPHERE; CONTINENT; MOUNTAINS; WINDS; FLOW</t>
  </si>
  <si>
    <t>This study investigates the topographically bound easterly low-level jet surrounding Antarctica. This jet is modeled as a balanced flow that satisfies the potential vorticity invertibility principle, based on local linear balance in spherical coordinates and expressed in isentropic coordinates. In this way, this easterly low-level jet is shown to be the balanced flow associated with the topography of the Antarctic plateau, moderated by a shallow potential vorticity anomaly atop the plateau produced by radiative cooling. The dynamical connection of the jet with katabatic winds can be understood through the meridional circulation equation. Model results based on the simple theoretical arguments developed here are found to be consistent with high-resolution reanalysis data from the European Centre for Medium-Range Weather Forecasts for the 2008-2010 period. Plain Language Summary This study investigates the persistent strong easterly wind (jet) that flows in the lower atmosphere along the eastern coastal region of Antarctica. It is shown that this low-level jet may be explained as a balanced flowresulting from a dynamical balance between wind and pressure fieldsassociated with the cold, high Antarctic plateau. The explanation of this jet may lead to a better understanding of wind patterns over Antarctica and their relation to the topography of the continent.</t>
  </si>
  <si>
    <t>[Fulton, Scott R.; Chen, Zhengqing] Clarkson Univ, Dept Math, Potsdam, NY 13699 USA; [Schubert, Wayne H.; Ciesielski, Paul E.] Colorado State Univ, Dept Atmospher Sci, Ft Collins, CO 80523 USA</t>
  </si>
  <si>
    <t>Clarkson University; Colorado State University</t>
  </si>
  <si>
    <t>Fulton, SR (corresponding author), Clarkson Univ, Dept Math, Potsdam, NY 13699 USA.</t>
  </si>
  <si>
    <t>fulton@clarkson.edu</t>
  </si>
  <si>
    <t>National Science Foundation [AGS-1147431, AGS-1601628, AGS-1147120, AGS-1601623]; Div Atmospheric &amp; Geospace Sciences; Directorate For Geosciences [1601623] Funding Source: National Science Foundation</t>
  </si>
  <si>
    <t>National Science Foundation(National Science Foundation (NSF)); Div Atmospheric &amp; Geospace Sciences; Directorate For Geosciences(National Science Foundation (NSF)NSF - Directorate for Geosciences (GEO))</t>
  </si>
  <si>
    <t>We would like to thank Chris Slocum and Rick Taft for their valuable advice and for assistance with the figures. The reanalysis data used in creating Figures 2, 3, and 11 were provided by the European Centre for Medium-Range Weather Forecasts and were available at http://apps.ecmwf.int/datasets/data/yotc-od/levtype=sfc/type=an/. This research was supported by the National Science Foundation under collaborative grants with award numbers AGS-1147431 and AGS-1601628 to Clarkson University and AGS-1147120 and AGS-1601623 to Colorado State University.</t>
  </si>
  <si>
    <t>10.1002/2017JD027192</t>
  </si>
  <si>
    <t>FR9LZ</t>
  </si>
  <si>
    <t>WOS:000419396500010</t>
  </si>
  <si>
    <t>Joy, K; Fink, D; Storey, B; De Pascale, GP; Quigley, M; Fujioka, T</t>
  </si>
  <si>
    <t>Joy, Kurt; Fink, David; Storey, Bryan; De Pascale, Gregory P.; Quigley, Mark; Fujioka, Toshiyuki</t>
  </si>
  <si>
    <t>Cosmogenic evidence for limited local LGM glacial expansion, Denton Hills, Antarctica</t>
  </si>
  <si>
    <t>Pleistocene; Holocene; LGM; Antarctica; Geomorphology; Glacial; Cosmogenic isotopes; Paleoclimatology</t>
  </si>
  <si>
    <t>SURFACE EXPOSURE AGES; GROUNDED ICE-SHEET; ROSS SEA DRIFT; TAYLOR GLACIER; DRY VALLEYS; TRANSANTARCTIC-MOUNTAINS; LANDSCAPE EVOLUTION; PRODUCTION-RATES; EAST ANTARCTICA; PROGLACIAL LAKE</t>
  </si>
  <si>
    <t>The geomorphology of the Denton Hills provides insight into the timing and magnitude of glacial retreats in a region of Antarctica isolated from the influence of the East Antarctic ice sheet. We present 26 Beryllium-10 surface exposure ages from a variety of glacial and lacustrine features in the Garwood and Miers valleys to document the glacial history of the area from 10 to 286 ka. Our data show that the cold based Miers, Joyce and Garwood glaciers retreated little since their maximum positions at 37.2 +/- 6.9 (1 sigma n = 4), 35.1 +/- 1.5 (1 sigma, n = 3) and 35.6 +/- 10.1 (1 sigma, n = 6) ka respectively. The similar timing of advance of all three glaciers and the lack of a significant glacial expansion during the global LGM suggests a local LGM for the Denton Hills between ca. 26 and 51 ka, with a mean age of 36.0 +/- 7.5 (1 sigma, n = 13) ka. A second cohort of exposure ages provides constraints to the behaviour of Glacial Lake Trowbridge that formerly occupied Miers Valley in the late Pleistocene. These data show active modification of the landscape from similar to 20 ka until the withdrawal of ice from the valley mouths, and deposition of Ross Sea Drift, at 10-14 ka. (C) 2017 Elsevier Ltd. All rights reserved.</t>
  </si>
  <si>
    <t>[Joy, Kurt] Univ Waikato, Private Bag 3105, Hamilton, New Zealand; [Joy, Kurt; Storey, Bryan] Univ Canterbury, Gateway Antarctica, Private Bag 4800, Christchurch, New Zealand; [Fink, David; Fujioka, Toshiyuki] ANSTO, Inst Environm Res, PMB1, Menai, NSW 2234, Australia; [De Pascale, Gregory P.] Univ Chile, Dept Geol, Plaza Ercilla 803, Santiago, Chile; [Quigley, Mark] Univ Melbourne, Sch Earth Sci, Parkville, Vic 3010, Australia</t>
  </si>
  <si>
    <t>University of Waikato; University of Canterbury; Australian Nuclear Science &amp; Technology Organisation; Universidad de Chile; University of Melbourne</t>
  </si>
  <si>
    <t>Joy, K (corresponding author), Univ Waikato, Private Bag 3105, Hamilton, New Zealand.</t>
  </si>
  <si>
    <t>Kurt.Joy@waikato.ac.nz</t>
  </si>
  <si>
    <t>Fujioka, Toshiyuki/AAO-8853-2020; fink, David/A-9518-2012</t>
  </si>
  <si>
    <t>Fujioka, Toshiyuki/0000-0002-5270-788X; fink, David/0000-0001-7156-4602; Joy, Kurt/0000-0002-0803-2926; QUIGLEY, MARK/0000-0002-4430-4212</t>
  </si>
  <si>
    <t>NZ Ministry of Business and Innovation environment research grant [UOWX1401]; Universidad de Chile Academic start-up fund; Chilean Fondecyt [11160038]</t>
  </si>
  <si>
    <t>NZ Ministry of Business and Innovation environment research grant; Universidad de Chile Academic start-up fund; Chilean Fondecyt(Comision Nacional de Investigacion Cientifica y Tecnologica (CONICYT)CONICYT FONDECYT)</t>
  </si>
  <si>
    <t>This research was supported by Antarctica New Zealand (for logistics) and the Australian Institute of Nuclear Science of Engineering for AMS measurements (AINGRA 09066). We thank: Rob Spiers, Sacha Baldwin-Cunningham and James Oram at the University of Canterbury cosmogenic preparation lab; Mike Bentley at Durham University for sample collection and Charles Mifsud at ANSTO for AMS preparation. KJ is supported by a NZ Ministry of Business and Innovation environment research grant (UOWX1401). GDP is supported by the Universidad de Chile Academic start-up fund and Chilean Fondecyt grant number 11160038.</t>
  </si>
  <si>
    <t>DEC 15</t>
  </si>
  <si>
    <t>10.1016/j.quascirev.2017.11.002</t>
  </si>
  <si>
    <t>FR3NT</t>
  </si>
  <si>
    <t>WOS:000418974100007</t>
  </si>
  <si>
    <t>Fitzgibbon, QP; Day, RD; McCauley, RD; Simon, CJ; Semmens, JM</t>
  </si>
  <si>
    <t>Fitzgibbon, Quinn P.; Day, Ryan D.; McCauley, Robert D.; Simon, Cedric J.; Semmens, Jayson M.</t>
  </si>
  <si>
    <t>The impact of seismic air gun exposure on the haemolymph physiology and nutritional condition condition of spiny lobster, Jasus edwardsii</t>
  </si>
  <si>
    <t>Seismic surveys; Marine noise pollution; Invertebrates; Crustaceans; Southern rock lobster; Total haemocyte count; Aquatic noise</t>
  </si>
  <si>
    <t>CRANGON-CRANGON DECAPODA; ROCK LOBSTERS; PANULIRUS-CYGNUS; AMBIENT NOISE; ANTHROPOGENIC NOISE; UNDERWATER NOISE; STRESS; BIOCHEMISTRY; CRUSTACEANS; SURVIVAL</t>
  </si>
  <si>
    <t>There is a critical knowledge gap regarding the impacts of seismic air gun signals on the physiology of adult crustaceans. We conducted four controlled field experiments to examine the impact of seismic acoustic signals on spiny lobster, Jasus edwardsii. Seismic air gun exposure suppressed total haemocyte count (THC) for up to 120 days post-exposure, suggesting a chronic negative impact of immune competency. THC levels after 365 days post-exposure, were elevated two fold, potentially indicating an immune response to infection. Haemolymph refractive index was reduced after 120 days post exposure in one experiment, suggesting a chronic impairment of nutritional condition. There was no effect of air gun exposure on 24 haemolymph biochemical parameters, hepatopancreas index or survival. Collectively these results indicate that the biochemical haematological homeostasis of J. edwardsii is reasonably resilient to seismic acoustic signals, however, air gun exposure may negatively influence the lobster's nutritional condition and immunological capacity.</t>
  </si>
  <si>
    <t>[Fitzgibbon, Quinn P.; Day, Ryan D.; Simon, Cedric J.; Semmens, Jayson M.] Univ Tasmania, Inst Marine &amp; Antarctic Studies, Ctr Fisheries &amp; Aquaculture, Private Bag 49, Hobart, Tas, Australia; [McCauley, Robert D.] Curtin Univ, Ctr Marine Sci &amp; Technol, GPO Box U 1987, Perth, WA 6845, Australia</t>
  </si>
  <si>
    <t>University of Tasmania; Curtin University</t>
  </si>
  <si>
    <t>Fitzgibbon, QP (corresponding author), Univ Tasmania, Inst Marine &amp; Antarctic Studies, Ctr Fisheries &amp; Aquaculture, Private Bag 49, Hobart, Tas, Australia.</t>
  </si>
  <si>
    <t>quinn.fitzgibbon@utas.edu.au</t>
  </si>
  <si>
    <t>Day, Ryan D/J-7715-2014; Simon, Cedric/AAX-5264-2020; Simon, Cedric/AET-0945-2022</t>
  </si>
  <si>
    <t>Simon, Cedric/0000-0002-7535-3332; Simon, Cedric/0000-0002-7535-3332; Day, Ryan/0000-0002-1834-6945; Semmens, Jayson/0000-0003-1742-6692; Fitzgibbon, Quinn/0000-0002-1104-3052</t>
  </si>
  <si>
    <t>Fisheries Research and Development Corporation (FRDC) on behalf of the Australian Government [2012/008]; CarbonNet Project, Department of Economic Development, Jobs, Tourism and Resources, Victoria, Australia; Origin Energy, Australia</t>
  </si>
  <si>
    <t>Fisheries Research and Development Corporation (FRDC) on behalf of the Australian Government(Fisheries R&amp;D Corp); CarbonNet Project, Department of Economic Development, Jobs, Tourism and Resources, Victoria, Australia; Origin Energy, Australia</t>
  </si>
  <si>
    <t>The authors acknowledge the fieldwork contributions of IMAS technical staff, particularly Michael Porteus, CMST technical staff, particularly Malcom Perry and Dave Minchin and marine mammal observer Andrea Walters (IMAS). We thank Andrea Battison and the Atlantic Veterinary College for their assistance with analysis of haemolymph biochemistry. This study was supported by the Fisheries Research and Development Corporation (FRDC Grant 2012/008) on behalf of the Australian Government; The CarbonNet Project, Department of Economic Development, Jobs, Tourism and Resources, Victoria, Australia; and Origin Energy, Australia. All research was conducted in accordance with University of Tasmania Animal Ethics Committee permit #A13328. Field work was conducted in accordance with Tasmania Department of Primary Industries, Parks, Water and Environment permits #13011 and 14038.</t>
  </si>
  <si>
    <t>10.1016/j.marpolbul.2017.08.004</t>
  </si>
  <si>
    <t>FR0BV</t>
  </si>
  <si>
    <t>WOS:000418727000029</t>
  </si>
  <si>
    <t>Galaiduk, R; Radford, BT; Wilson, SK; Harvey, ES</t>
  </si>
  <si>
    <t>Galaiduk, Ronen; Radford, Ben T.; Wilson, Shaun K.; Harvey, Euan S.</t>
  </si>
  <si>
    <t>Comparing two remote video survey methods for spatial predictions of the distribution and environmental niche suitability of demersal fishes</t>
  </si>
  <si>
    <t>TEMPERATE REEF FISH; HABITAT CHARACTERISTICS; MARINE BIODIVERSITY; PRESENCE-ABSENCE; SEASONAL-CHANGES; SIZE STRUCTURE; TOWED CAMERA; ASSEMBLAGES; ABUNDANCE; SPECIALIZATION</t>
  </si>
  <si>
    <t>Information on habitat associations from survey data, combined with spatial modelling, allow the development of more refined species distribution modelling which may identify areas of high conservation/ fisheries value and consequentially improve conservation efforts. Generalised additive models were used to model the probability of occurrence of six focal species after surveys that utilised two remote underwater video sampling methods (i.e. baited and towed video). Models developed for the towed video method had consistently better predictive performance for all but one study species although only three models had a good to fair fit, and the rest were poor fits, highlighting the challenges associated with modelling habitat associations of marine species in highly homogenous, low relief environments. Models based on baited video dataset regularly included large-scale measures of structural complexity, suggesting fish attraction to a single focus point by bait. Conversely, models based on the towed video data often incorporated small-scale measures of habitat complexity and were more likely to reflect true species-habitat relationships. The cost associated with use of the towed video systems for surveying low-relief seascapes was also relatively low providing additional support for considering this method for marine spatial ecological modelling.</t>
  </si>
  <si>
    <t>[Galaiduk, Ronen; Harvey, Euan S.] Curtin Univ, Dept Environm &amp; Agr, Kent St, Bentley, WA 6845, Australia; [Galaiduk, Ronen; Radford, Ben T.] Univ Western Australia, Australian Inst Marine Sci, 39 Fairway, Crawley 6009, Australia; [Radford, Ben T.; Wilson, Shaun K.] Univ Western Australia, UWA Oceans Inst, Crawley 6009, Australia; [Radford, Ben T.] Univ Western Australia, Sch Earth &amp; Environm, 35 Stirling Highway, Crawley 6009, Australia; [Wilson, Shaun K.] Dept Biodivers Conservat &amp; Attract, Div Sci, Marine Sci Program, Kensington, NSW 6151, Australia</t>
  </si>
  <si>
    <t>Curtin University; University of Western Australia; Australian Institute of Marine Science; University of Western Australia; University of Western Australia</t>
  </si>
  <si>
    <t>Galaiduk, R (corresponding author), Curtin Univ, Dept Environm &amp; Agr, Kent St, Bentley, WA 6845, Australia.;Galaiduk, R (corresponding author), Univ Western Australia, Australian Inst Marine Sci, 39 Fairway, Crawley 6009, Australia.</t>
  </si>
  <si>
    <t>r.galaiduk@aims.gov.au</t>
  </si>
  <si>
    <t>Harvey, Euan/B-2896-2011</t>
  </si>
  <si>
    <t>Harvey, Euan/0000-0002-9069-4581; Wilson, Shaun/0000-0002-4590-0948</t>
  </si>
  <si>
    <t>Australian Government's National Environmental Research Program (NERP)</t>
  </si>
  <si>
    <t>Australian Government's National Environmental Research Program (NERP)(Australian Government)</t>
  </si>
  <si>
    <t>We thank the crew of fishing vessel 'Hannah Lee' (Robert and Jason Stone) for support in the field. We are also grateful to the staff and volunteers of the Fish Ecology Lab at Curtin University for their help with data collection and video analysis. In particular Damon Driessen, Laura Fullwood, Elizabeth Myers, Lauren Munks, Elica Pereira Carvalho, Jamie Mcwilliam, Robert Handasyde. A special thank you to Shanta Barley and Xenia Gonzalez for proofreading and commenting on the manuscript. Part of the data used in this research was collected for the Marine Biodiversity Hub, a collaborative partnership supported through funding from the Australian Government's National Environmental Research Program (NERP), administered by the Department of the Environment. NERP Marine Biodiversity Hub partners include the Institute for Marine and Antarctic Studies, University of Tasmania; CSIRO, Geoscience Australia, Australian Institute of Marine Science, Museum Victoria, Charles Darwin University and the University of Western Australia.</t>
  </si>
  <si>
    <t>10.1038/s41598-017-17946-2</t>
  </si>
  <si>
    <t>FQ3IM</t>
  </si>
  <si>
    <t>WOS:000418250800018</t>
  </si>
  <si>
    <t>Van de Vijver, B; Chattová, B; Lebouvier, M; Houk, V</t>
  </si>
  <si>
    <t>Van de Vijver, Bart; Chattova, Barbora; Lebouvier, Marc; Houk, Vaclav</t>
  </si>
  <si>
    <t>Ferocia gen. nov., a new centric diatom genus (Bacillariophyceae) from the sub-Antarctic region</t>
  </si>
  <si>
    <t>centric diatoms; new genus; Melosira; Ferocia; sub-Antarctic Region</t>
  </si>
  <si>
    <t>SOUTH SHETLAND ISLANDS; ILE AMSTERDAM TAAF; INDIAN-OCEAN; COMMUNITIES; REVISION; CROZET</t>
  </si>
  <si>
    <t>A new centric diatom genus, Ferocia Van de Vijver &amp; Houk gen. nov. is described based on Melosira setosa Greville. Several samples collected in lava tunnels on Ile Amsterdam, a small isolated, volcanic island in the southern Indian Ocean where the latter taxon dominated the diatom flora, were investigated. The new genus is characterized by having heavily silicified, spherical frustules, connected into long chains by large, complex linking spines. Valves are dome-shaped with a high mantle with rounded to irregularly shaped areolae. Numerous small rimoportulae forming a marginal ring are present near the mantle edge. The cingulum is composed of a large number of narrow, open copulae. A second species, Ferocia ninae Van de Vijver &amp; Houk sp. nov., is described from the nearby Crozet archipelago. Besides the typical features of the genus Ferocia, the rimoportulae in F. ninae are almost equidistant, the valves have a relatively low valve height and the spines are relatively small. Both F. ninae and F. setosa were found in shaded lava tunnels with a sparse moss vegetation. The two species are illustrated and discussed based on detailed LM and SEM observations.</t>
  </si>
  <si>
    <t>[Van de Vijver, Bart] Bot Garden Meise, Res Dept, Nieuwelaan 38, B-1860 Meise, Belgium; [Van de Vijver, Bart] Univ Antwerp, Dept Biol, ECOBE, Univ Pl 1, B-2610 Antwerp, Belgium; [Chattova, Barbora] Masaryk Univ, Fac Sci, Dept Bot &amp; Zool, Kotlarska 2, CS-61137 Brno, Czech Republic; [Lebouvier, Marc] Univ Rennes 1, UMR Ecobio CNRS 6553, Stn Biol, F-35380 Paimpont, France; [Houk, Vaclav] Acad Sci Czech Republ, Inst Bot, Dukelskai 135, CZ-37982 Trebon, Czech Republic</t>
  </si>
  <si>
    <t>University of Antwerp; Masaryk University Brno; Universite de Rennes; Czech Academy of Sciences; Institute of Botany of the Czech Academy of Sciences</t>
  </si>
  <si>
    <t>Van de Vijver, B (corresponding author), Bot Garden Meise, Res Dept, Nieuwelaan 38, B-1860 Meise, Belgium.;Van de Vijver, B (corresponding author), Univ Antwerp, Dept Biol, ECOBE, Univ Pl 1, B-2610 Antwerp, Belgium.</t>
  </si>
  <si>
    <t>Houk, Václav/H-1592-2014</t>
  </si>
  <si>
    <t>French Polar Institute Paul-Emile Victor [136]; Academy of Sciences of the Czech Republic [AV0Z60050516]; Czech Science Foundation [205/05/0204]</t>
  </si>
  <si>
    <t>French Polar Institute Paul-Emile Victor; Academy of Sciences of the Czech Republic(Czech Academy of Sciences); Czech Science Foundation(Grant Agency of the Czech Republic)</t>
  </si>
  <si>
    <t>Dr. Eileen J. Cox, Dr. J. Witkowski, Prof. Dr. Koen Sabbe and Dr. Patricia Sims are thanked for stimulating discussions. The authors wish to thank Dr. Pieter Ledeganck, Prof. Dr. Eric Vidal, Dr. Jennie Whinam, Prof. Dr. Willem De Smet, Dr. Germinal Rouhan and Dr. Damien Ertz for their help during the different sampling campaigns. Sampling on Ile de La Possession and Ile Amsterdam has been made possible thanks to the logistic and financial support of the French Polar Institute Paul-Emile Victor in the framework of the terrestrial program 136 (Dr. Yves Frenot &amp; Ir. Marc Lebouvier). Mrs. Myriam de Haan assisted with the sample preparation. Dr. Alex Ball, the staff of the EMMA laboratory and Dr. Eileen J. Cox at the Natural History Museum are thanked for their help with the scanning electron microscopy. This work was also supported by the institutional long-term research development project No. AV0Z60050516 funded by the Academy of Sciences of the Czech Republic and by the grant project of the Czech Science Foundation No. 205/05/0204.</t>
  </si>
  <si>
    <t>10.11646/phytotaxa.332.1.2</t>
  </si>
  <si>
    <t>FP8KX</t>
  </si>
  <si>
    <t>WOS:000417893300002</t>
  </si>
  <si>
    <t>Johnson, JS; Smith, JA; Schaefer, JM; Young, NE; Goehring, BM; Hillenbrand, CD; Lamp, JL; Finkel, RC; Gohl, K</t>
  </si>
  <si>
    <t>Johnson, Joanne S.; Smith, James A.; Schaefer, Joerg M.; Young, Nicolas E.; Goehring, Brent M.; Hillenbrand, Claus-Dieter; Lamp, Jennifer L.; Finkel, Robert C.; Gohl, Karsten</t>
  </si>
  <si>
    <t>The last glaciation of Bear Peninsula, central Amundsen Sea Embayment of Antarctica: Constraints on timing and duration revealed by in situ cosmogenic 14C and 10Be dating</t>
  </si>
  <si>
    <t>Quaternary; Glaciology; Antarctica; Cosmogenic isotopes; Geomorphology; Glacial; Amundsen Sea Embayment; In-situ C-14; Ice streams</t>
  </si>
  <si>
    <t>NUCLIDE PRODUCTION-RATES; GROUNDING-LINE RETREAT; MARIE-BYRD-LAND; ICE-SHEET; WEST ANTARCTICA; PINE ISLAND; EXPOSURE AGES; BAFFIN-ISLAND; HOLOCENE DEGLACIATION; EAST ANTARCTICA</t>
  </si>
  <si>
    <t>Ice streams in the Pine Island Thwaites region of West Antarctica currently dominate contributions to sea level rise from the Antarctic ice sheet. Predictions of future ice-mass loss from this area rely on physical models that are validated with geological constraints on past extent, thickness and timing of ice cover. However, terrestrial records of ice sheet history from the region remain sparse, resulting in significant model uncertainties. We report glacial-geological evidence for the duration and timing of the last glaciation of Hunt Bluff, in the central Amundsen Sea Embayment. A multi-nuclide approach was used, measuring cosmogenic Be-10 and in situ C-14 in bedrock surfaces and a perched erratic cobble. Bedrock Be-10 ages (118-144 ka) reflect multiple periods of exposure and ice-cover, not continuous exposure since the last interglacial as had previously been hypothesized. In situ C-14 dating suggests that the last glaciation of Hunt Bluff did not start until 21.1 +/- 5.8 ka - probably during the Last Glacial Maximum - and finished by 9.6 +/- 0.9 ka, at the same time as ice sheet retreat from the continental shelf was complete. Thickening of ice at Hunt Bluff most likely post-dated the maximum extent of grounded ice on the outer continental shelf. Flow re-organisation provides a possible explanation for this, with the date for onset of ice-cover at Hunt Bluff providing a minimum age for the timing of convergence of the Dotson and Getz tributaries to form a single palaeo-ice stream. This is the first time that timing of onset of ice cover has been constrained in the Amundsen Sea Embayment. (C) 2017 The Authors. Published by Elsevier Ltd.</t>
  </si>
  <si>
    <t>[Johnson, Joanne S.; Smith, James A.; Hillenbrand, Claus-Dieter] British Antarctic Survey, Madingley Rd, Cambridge CB3 0ET, England; [Schaefer, Joerg M.; Young, Nicolas E.; Lamp, Jennifer L.] Columbia Univ, Lamont Doherty Earth Observ, Route 9W, New York, NY 10964 USA; [Goehring, Brent M.] Tulane Univ, Dept Earth &amp; Environm Sci, New Orleans, LA 70118 USA; [Finkel, Robert C.] Lawrence Livermore Natl Lab, Ctr Accelerator Mass Spect, 7000 East Ave Ave, Livermore, CA 94550 USA; [Gohl, Karsten] Alfred Wegener Inst Polar &amp; Marine Res, Postfach 120161, D-27515 Bremerhaven, Germany</t>
  </si>
  <si>
    <t>UK Research &amp; Innovation (UKRI); Natural Environment Research Council (NERC); NERC British Antarctic Survey; Columbia University; Tulane University; United States Department of Energy (DOE); Lawrence Livermore National Laboratory; Helmholtz Association; Alfred Wegener Institute, Helmholtz Centre for Polar &amp; Marine Research</t>
  </si>
  <si>
    <t>Johnson, JS (corresponding author), British Antarctic Survey, Madingley Rd, Cambridge CB3 0ET, England.</t>
  </si>
  <si>
    <t>jsj@bas.ac.uk</t>
  </si>
  <si>
    <t>Johnson, Joanne/0000-0003-4537-4447; Gohl, Karsten/0000-0002-9558-2116; Goehring, Brent/0000-0001-6405-5156</t>
  </si>
  <si>
    <t>Natural Environment Research Council (NERC) [NE/K012088/1]; NERC; Natural Environment Research Council [bas0100030, NE/K012088/1] Funding Source: researchfish; NERC [NE/K011278/1, bas0100030, NE/K012088/1] Funding Source: UKRI</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</si>
  <si>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</si>
  <si>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Captain, crew and helicopter pilots of RV Polar stern cruise ANT-XXVI/3 for their logistical support, and British Antarctic Survey field assistant Ian McNab for assisting with fieldwork. Technical support was provided by Mike Tabecki and Hilary Blagbrough (BAS), and Roseanne Schwartz and Jean Hanley (LDEO). Laura Gerrish (BAS Mapping &amp; Geographic Information Unit) helped with preparing Fig. 1. We thank Dominic Hodgson, Kelly Hogan, Rob Larter, and Eric Wolff for useful discussions, and Nick Golledge, David Pollard and Pippa Whitehouse for providing the model outputs for Fig. 5. Greg Balco and an anonymous reviewer provided thorough and constructive comments which significantly improved the manuscript. JSJ acknowledges the support of Natural Environment Research Council (NERC) grant NE/K012088/1. This work forms part of the British Antarctic Survey 'Polar Science for Planet Earth' programme, also funded by NERC.</t>
  </si>
  <si>
    <t>10.1016/j.quascirev.2017.11.003</t>
  </si>
  <si>
    <t>hybrid, Green Published, Green Accepted</t>
  </si>
  <si>
    <t>WOS:000418974100006</t>
  </si>
  <si>
    <t>Wang, JC; Xie, ZQ; Wang, FY; Kang, H</t>
  </si>
  <si>
    <t>Wang, Jiancheng; Xie, Zhouqing; Wang, Feiyue; Kang, Hui</t>
  </si>
  <si>
    <t>Gaseous elemental mercury in the marine boundary layer and air-sea flux in the Southern Ocean in austral summer</t>
  </si>
  <si>
    <t>Antartica; Thin gas film equation; Liss model; Sea ice</t>
  </si>
  <si>
    <t>ATMOSPHERIC MERCURY; DEPLETION EVENTS; ATLANTIC-OCEAN; EXCHANGE; COASTAL; OZONE; WATER; CONTAMINATION; VARIABILITY; ANTARCTICA</t>
  </si>
  <si>
    <t>Gaseous elemental mercury (GEM) in the marine boundary layer (MBL), and dissolved gaseous mercury (DGM) in surface seawater of the Southern Ocean were measured in the austral summer from December 13, 2014 to February 1, 2015. GEM concentrations in the MBL ranged from 0.4 to 1.9 ng m(-3) (mean +/- standard deviation: 0.9 +/- 0.2 ng m(-3)), whereas DGM concentrations in surface seawater ranged from 7.0 to 75.9 pg L-1 (mean +/- standard deviation: 23.7 +/- 13.2 pg L-1). The occasionally observed low GEM in the MBL suggested either the occurrence of atmospheric mercury depletion in summer, or the transport of GEM-depleted air from the Antarctic Plateau. Elevated GEM concentrations in the MBL and DGM concentrations in surface seawater were consistently observed in the ice-covered region of the Ross Sea implying the influence of the sea ice environment. Diminishing sea ice could cause more mercury evasion from the ocean to the air. Using the thin film gas exchange model, the air-sea fluxes of gaseous mercury in non-ice-covered area during the study period were estimated to range from 0.0 to 6.5 ng m(-2) h(-1)with amean value of 1.5 +/- 1.8 ng m(-2) h(-1), revealing GEM(re-)emission from the East Southern Ocean in summer. (C) 2017 Elsevier B.V. All rights reserved.</t>
  </si>
  <si>
    <t>[Wang, Jiancheng; Xie, Zhouqing; Kang, Hui] Univ Sci &amp; Technol China, Sch Earth &amp; Space Sci, Anhui Prov Key Lab Polar Environm &amp; Global Change, Hefei 230026, Anhui, Peoples R China; [Wang, Feiyue] Univ Manitoba, Ctr Earth Observat Sci, Dept Environm &amp; Geog, Winnipeg, MB R3T 2N2, Canada</t>
  </si>
  <si>
    <t>Chinese Academy of Sciences; University of Science &amp; Technology of China, CAS; University of Manitoba</t>
  </si>
  <si>
    <t>Xie, ZQ (corresponding author), Univ Sci &amp; Technol China, Sch Earth &amp; Space Sci, Anhui Prov Key Lab Polar Environm &amp; Global Change, Hefei 230026, Anhui, Peoples R China.</t>
  </si>
  <si>
    <t>zqxie@ustc.edu.cn</t>
  </si>
  <si>
    <t>xie, zhouqing/P-9661-2019; wang, jian-cheng/AAR-3728-2021; Wang, Feiyue/E-4147-2012</t>
  </si>
  <si>
    <t>wang, jian-cheng/0000-0001-5325-4432; Wang, Feiyue/0000-0001-5297-0859</t>
  </si>
  <si>
    <t>National Natural Science Foundation of China [41676173]; Program of China Polar Environment Investigation and Assessment [CHINARE2011-2016]; External Cooperation Program of BIC, CAS [211134KYSB20130012]</t>
  </si>
  <si>
    <t>National Natural Science Foundation of China(National Natural Science Foundation of China (NSFC)); Program of China Polar Environment Investigation and Assessment; External Cooperation Program of BIC, CAS</t>
  </si>
  <si>
    <t>This research was supported by grants from the National Natural Science Foundation of China (Project No. 41676173), the Program of China Polar Environment Investigation and Assessment (Project No. CHINARE2011-2016), and the External Cooperation Program of BIC, CAS (Project No. 211134KYSB20130012).</t>
  </si>
  <si>
    <t>10.1016/j.scitotenv.2017.06.120</t>
  </si>
  <si>
    <t>FB2NW</t>
  </si>
  <si>
    <t>WOS:000405981500054</t>
  </si>
  <si>
    <t>Wang, Y; Liu, DX; Deng, JP; Wang, Y; Xu, JG; Ye, CY</t>
  </si>
  <si>
    <t>Wang, Yi; Liu, Dongxin; Deng, Jianping; Wang, Yan; Xu, Jianguo; Ye, Changyun</t>
  </si>
  <si>
    <t>Loop-mediated isothermal amplification using self-avoiding molecular recognition systems and antarctic thermal sensitive uracil-DNA-glycosylase for detection of nucleic acid with prevention of carryover contamination</t>
  </si>
  <si>
    <t>ANALYTICA CHIMICA ACTA</t>
  </si>
  <si>
    <t>Loop-mediated isothermal amplification; Biosensor; Self-avoiding molecular recognition systems; Antarctic thermal sensitive uracil-DNA-Glycosylase; Mycobacterium tuberculosis complex</t>
  </si>
  <si>
    <t>POLYMERASE-CHAIN-REACTION; LATERAL FLOW DIPSTICK; MYCOBACTERIUM-TUBERCULOSIS; LAMP; BIOSENSOR; VIRUS; ASSAY</t>
  </si>
  <si>
    <t>Loop-mediated isothermal amplification (LAMP) is the most popular technique to amplify nucleic acid sequence without the use of temperature cycling. However, LAMP is often confounded by false-positive results, arising from interactions between (hetero-dimer) or within (self-dimerization) primers, off-target hybrids and carryover contaminants. Here, we devised a new LAMP technique that is self-avoiding molecular recognition system (SAMRS) components and antarctic thermal sensitive uracil-DNA-glycosylase (AUDG) enzyme-assisted, termed AUDG-SAMRS-LAMP. Incorporating SAMRS components into 30-ends of LAMP primers can improve assay's specificity, which completely prevents the nonspecific amplification yielding from off-target hybrids and undesired interactions between or within primers. Adding AUDG into reaction mixtures can effectively eliminate the false-positive results arising from carryover contamination, thus the genuine positive reactions are generated from the amplification of target templates. Furthermore, AUDG-SAMRS-LAMP results are confirmed using a new analysis strategy, which is developed for detecting LAMP amplicons by lateral flow biosensor (LFB). Only a single labeled primer is required in the analysis system, thus the false positive results arising from hybridization (the labeled primer and probe, or between two labeled primers) are avoided. Hence, the SAMRS components, AUDG and LFB convert traditional LAMP from a technique suited for the research laboratory into one that has practical value in the field of diagnosis. Human Tuberculosis (TB) is caused by infection with members of Mycobacterium tuberculosis complex (MTC), which are detected by the AUDG-SAMRS-LAMP technique to demonstrate the availability of target analysis. The proof-of-concept method can be reconfigured to detect various nucleic acids by redesigning the specific primers. (C) 2017 Elsevier B.V. All rights reserved.</t>
  </si>
  <si>
    <t>[Wang, Yi; Wang, Yan; Xu, Jianguo; Ye, Changyun] Chinese Ctr Dis Control &amp; Prevent, State Key Lab Infect Dis Prevent &amp; Control, Natl Inst Communicable Dis Control &amp; Prevent, Collaborat Innovat Ctr Diag &amp; Treatment Infect Di, Beijing 102206, Peoples R China; [Liu, Dongxin] Chinese Ctr Dis Control &amp; Prevent, Natl Inst Communicable Dis Control &amp; Prevent, Beijing 102206, Peoples R China; [Deng, Jianping] Zigong Ctr Dis Control &amp; Prevent, Zigong 643000, Sichuan, Peoples R China</t>
  </si>
  <si>
    <t>Chinese Center for Disease Control &amp; Prevention; National Institute for Communicable Disease Control &amp; Prevention, Chinese Center for Disease Control &amp; Prevention; Collaborative Innovation Center for Diagnosis &amp; Treatment of Infectious Diseases; Chinese Center for Disease Control &amp; Prevention; National Institute for Communicable Disease Control &amp; Prevention, Chinese Center for Disease Control &amp; Prevention</t>
  </si>
  <si>
    <t>Ye, CY (corresponding author), Chinese Ctr Dis Control &amp; Prevent, State Key Lab Infect Dis Prevent &amp; Control, Natl Inst Communicable Dis Control &amp; Prevent, Collaborat Innovat Ctr Diag &amp; Treatment Infect Di, Beijing 102206, Peoples R China.</t>
  </si>
  <si>
    <t>chen, yijia/KGM-4378-2024; wang, yiting/GYU-5306-2022; Li, Guo/JNR-1700-2023; xu, jianguo/JZD-9552-2024; Wang, Yi/JAD-1967-2023</t>
  </si>
  <si>
    <t>Wang, Yi/0000-0002-2031-087X</t>
  </si>
  <si>
    <t>We acknowledge the financial supports of the grants (Mega Project of Research on the Prevention and Control of HIV/AIDS, Viral Hepatitis Infectious Diseases 2013ZX10004-101 to Changyun Ye) from the Ministry of Science and Technology, People's Republic of China, and grant (2015SKLID507 to Changyun Ye) from State Key Laboratory of Infectious Disease Prevention and Control, China CDC. Yi Wang and Changyun Ye have filed for a patent from the State Intellectural Property Office of the People's Republic of China, which covers the novel technique and sequences included in this study (Application number: CN201710988982.3).</t>
  </si>
  <si>
    <t>0003-2670</t>
  </si>
  <si>
    <t>1873-4324</t>
  </si>
  <si>
    <t>ANAL CHIM ACTA</t>
  </si>
  <si>
    <t>Anal. Chim. Acta</t>
  </si>
  <si>
    <t>10.1016/j.aca.2017.10.022</t>
  </si>
  <si>
    <t>FM3AL</t>
  </si>
  <si>
    <t>WOS:000414875100009</t>
  </si>
  <si>
    <t>Vázquez, S; Monien, P; Minetti, RP; Jürgens, J; Curtosi, A; Primitz, JV; Frickenhaus, S; Abele, D; Mac Cormack, W; Helmke, E</t>
  </si>
  <si>
    <t>Vazquez, Susana; Monien, Patrick; Pepino Minetti, Roberto; Juergens, Jutta; Curtosi, Antonio; Villalba Primitz, Julia; Frickenhaus, Stephan; Abele, Doris; Mac Cormack, Walter; Helmke, Elisabeth</t>
  </si>
  <si>
    <t>Bacterial communities and chemical parameters in soils and coastal sediments in response to diesel spills at Carlini Station, Antarctica</t>
  </si>
  <si>
    <t>Antarctica; Clone library; Bacterial communities; Hydrocarbons; Pollution</t>
  </si>
  <si>
    <t>POLYCYCLIC AROMATIC-HYDROCARBONS; KING GEORGE ISLAND; SOUTH SHETLAND ISLANDS; POTTER COVE; FUEL SPILLS; CONTAMINATION; OIL; BIODEGRADATION; BIOREMEDIATION; DIVERSITY</t>
  </si>
  <si>
    <t>A diesel spill occurring at Carlini Station (King George Island (Isla 25 de Mayo), South Shetland Islands) in 2009 started the study of the fate of the hydrocarbons and their effect on the bacterial communities of the Potter Cove ecosystem. Soils and sediments were sampled across the 200-meter long diesel plume towards Potter Cove four and 15 months after the spill. The sampling revealed a second fuel leakage from an underground pipeline at the spill site. The hydrocarbon fraction spilt over frozen and snow-covered ground reached the sea and dispersed with the currents. Contrary, diesel that infiltrated unfrozen soil remained detectable for years, and was seeping with ground water towards coastal marine sediments. Structural changes of the bacterial communities as well as hydrocarbon, carbon and nitrogen contents were investigated in sediments in front of the station, two affected terrestrial sites, and a terrestrial non-contaminated reference site. Bacterial communities (16S rRNA gene clone libraries) changed over time in contaminated soils and sediments. At the underground seepage site of highest contamination (5812 to 366 mu g g(dw)(-1) hydrocarbons from surface to 90-cm depth), communities were dominated by Actinobacteria (18%) and a betaproteobacterium closely related to Polaromonas naphthalenivorans (40%). At one of the spill sites, affected exclusively at the surface, contamination disappeared within one year. The same bacterial groups were enriched at both contaminated sites. This response at community level suggests that the cold-adapted indigenous microbiota in soils of the West Antarctic Peninsula have a high potential for bioremediation and can support soil cleaning actions in the ecosystem. Intensive monitoring of pollution and site assessment after episodic fuel spills is required for decision-making towards remediation strategies. (C) 2017 Elsevier B.V. All rights reserved.</t>
  </si>
  <si>
    <t>[Vazquez, Susana; Villalba Primitz, Julia; Mac Cormack, Walter] Univ Buenos Aires, Fac Farm &amp; Bioquim, Catedra Biotecnol, Junin 956, RA-1113 Buenos Aires, DF, Argentina; [Vazquez, Susana; Villalba Primitz, Julia] Univ Buenos Aires, CONICET, Inst Nanobiotecnol NANOBIOTEC, Junin 956, RA-1113 Buenos Aires, DF, Argentina; [Monien, Patrick] Inst Chem &amp; Biol Marine Environm ICBM, Carl von Ossietzky Str 9-11, D-26129 Oldenburg, Germany; [Pepino Minetti, Roberto] Univ Tecnol Nacl, Fac Reg Cordoba, Ctr Invest &amp; Transferencia Ingn Quim Ambiental CI, Cruz Roja Argentina, RA-5016 Cordoba, Argentina; [Juergens, Jutta; Frickenhaus, Stephan; Abele, Doris; Helmke, Elisabeth] Alfred Wegener Inst, Helmholtz Ctr Polar &amp; Marine Res, Handelshafen 12, D-27570 Bremerhaven, Germany; [Curtosi, Antonio; Mac Cormack, Walter] IAA, 25 Mayo 1143, RA-1650 Buenos Aires, DF, Argentina; [Monien, Patrick] Univ Bremen, Dept Geosci, Klagenfurter Str 2-4, D-28359 Bremen, Germany</t>
  </si>
  <si>
    <t>University of Buenos Aires; Consejo Nacional de Investigaciones Cientificas y Tecnicas (CONICET); University of Buenos Aires; Helmholtz Association; Alfred Wegener Institute, Helmholtz Centre for Polar &amp; Marine Research; University of Bremen</t>
  </si>
  <si>
    <t>Vázquez, S (corresponding author), Univ Buenos Aires, Fac Farm &amp; Bioquim, Catedra Biotecnol, CONICET,Inst Nanobiotecnol NANOBIOTEC, Junin 956, RA-1113 Buenos Aires, DF, Argentina.</t>
  </si>
  <si>
    <t>svazquez@ffyb.uba.ar</t>
  </si>
  <si>
    <t>Vazquez, Susana/AEP-5214-2022; Monien, Patrick/K-8338-2017</t>
  </si>
  <si>
    <t>Vazquez, Susana/0000-0002-0760-6254; Abele, Doris/0000-0002-5766-5017; Mac Cormack, Walter/0000-0002-5280-5463; Frickenhaus, Stephan/0000-0002-0356-9791; Pepino Minetti, Roberto/0000-0003-2482-0356</t>
  </si>
  <si>
    <t>Alfred Wegener Institut, Bremerhaven, Germany; CONICET [PIP0187]; ANPCyT [PICTO 2010-0124, 2010-0106]; Universidad de Buenos Aires, Buenos Aires, Argentina [UBACYT 20020130100569BA]</t>
  </si>
  <si>
    <t>Alfred Wegener Institut, Bremerhaven, Germany; CONICET(Consejo Nacional de Investigaciones Cientificas y Tecnicas (CONICET)); ANPCyT(ANPCyT); Universidad de Buenos Aires, Buenos Aires, Argentina(University of Buenos Aires)</t>
  </si>
  <si>
    <t>This work was supported by the Alfred Wegener Institut, Bremerhaven, Germany, and by CONICET [grant PIP0187], ANPCyT [grants PICTO 2010-0124 and 2010-0106] and Universidad de Buenos Aires [grant UBACYT 20020130100569BA], Buenos Aires, Argentina. This work is also part of the EU project IMCONet (FP7404 IRSES, action no. 318718). We are grateful to the Instituto Antartico Argentino (IAA), the crew at Carlini Station for the logistic support during the field campaigns 2009/2010 and 2010/2011 and to the Institut des sciences de la mer de Rimouski (ISMER), Universite du Quebec a Rimouski, Canada, for their technical support in the analysis of PAHs.</t>
  </si>
  <si>
    <t>10.1016/j.scitotenv.2017.06.129</t>
  </si>
  <si>
    <t>FE5TZ</t>
  </si>
  <si>
    <t>WOS:000408275500004</t>
  </si>
  <si>
    <t>Greenwood, S</t>
  </si>
  <si>
    <t>Greenwood, Sarah</t>
  </si>
  <si>
    <t>PALAEOGLACIOLOGY Antarctic ice dynamics in warm climates</t>
  </si>
  <si>
    <t>SEA-LEVEL RISE; SHEET; RETREAT; BEHAVIOR; ADVANCE</t>
  </si>
  <si>
    <t>[Greenwood, Sarah] Stockholm Univ, Dept Geol Sci, S-10691 Stockholm, Sweden</t>
  </si>
  <si>
    <t>Stockholm University</t>
  </si>
  <si>
    <t>Greenwood, S (corresponding author), Stockholm Univ, Dept Geol Sci, S-10691 Stockholm, Sweden.</t>
  </si>
  <si>
    <t>sarah.greenwood@geo.su.se</t>
  </si>
  <si>
    <t>Greenwood, Sarah/0000-0003-3048-7916</t>
  </si>
  <si>
    <t>DEC 14</t>
  </si>
  <si>
    <t>10.1038/d41586-017-08285-3</t>
  </si>
  <si>
    <t>FQ0FK</t>
  </si>
  <si>
    <t>WOS:000418029500031</t>
  </si>
  <si>
    <t>Gulick, SPS; Shevenell, AE; Montelli, A; Fernandez, R; Smith, C; Warny, S; Bohaty, SM; Sjunneskog, C; Leventer, A; Frederick, B; Blankenship, DD</t>
  </si>
  <si>
    <t>Gulick, Sean P. S.; Shevenell, Amelia E.; Montelli, Aleksandr; Fernandez, Rodrigo; Smith, Catherine; Warny, Sophie; Bohaty, Steven M.; Sjunneskog, Charlotte; Leventer, Amy; Frederick, Bruce; Blankenship, Donald D.</t>
  </si>
  <si>
    <t>Initiation and long-term instability of the East Antarctic Ice Sheet</t>
  </si>
  <si>
    <t>TUNNEL VALLEYS; LATE EOCENE; MELTWATER FEATURES; TOTTEN GLACIER; NORTH-SEA; GLACIATION; EVOLUTION; MORPHOLOGY; MIDDLE; OCEAN</t>
  </si>
  <si>
    <t>Antarctica's continental-scale ice sheets have evolved over the past 50 million years(1-4). However, the dearth of ice-proximal geological records(5-8) limits our understanding of past East Antarctic Ice Sheet (EAIS) behaviour and thus our ability to evaluate its response to ongoing environmental change. The EAIS is marine-terminating and grounded below sea level within the Aurora subglacial basin, indicating that this catchment, which drains ice to the Sabrina Coast, may be sensitive to climate perturbations(9-11). Here we show, using marine geological and geophysical data from the continental shelf seaward of the Aurora subglacial basin, that marine-terminating glaciers existed at the Sabrina Coast by the early to middle Eocene epoch. This finding implies the existence of substantial ice volume in the Aurora subglacial basin before continental-scale ice sheets were established about 34 million years ago(1-4). Subsequently, ice advanced across and retreated from the Sabrina Coast continental shelf at least 11 times during the Oligocene and Miocene epochs. Tunnel valleys(12) associated with half of these glaciations indicate that a surface-meltwater-rich sub-polar glacial system existed under climate conditions similar to those anticipated with continued anthropogenic warming(10,11). Cooling since the late Miocene(13) resulted in an expanded polar EAIS and a limited glacial response to Pliocene warmth in the Aurora subglacial basin catchment(14-16). Geological records from the Sabrina Coast shelf indicate that, in addition to ocean temperature, atmospheric temperature and surface-derived meltwater influenced East Antarctic ice mass balance under warmer-than-present climate conditions. Our results imply a dynamic EAIS response with continued anthropogenic warming and suggest that the EAIS contribution to future global sea-level projections(10,11,15,17) may be under-estimated.</t>
  </si>
  <si>
    <t>[Gulick, Sean P. S.; Montelli, Aleksandr; Fernandez, Rodrigo; Frederick, Bruce; Blankenship, Donald D.] Univ Texas Austin, Inst Geophys, Jackson Sch Geosci, Austin, TX 78758 USA; [Shevenell, Amelia E.; Smith, Catherine] Univ S Florida, Coll Marine Sci, St Petersburg, FL 33701 USA; [Warny, Sophie] Louisiana State Univ, Dept Geol &amp; Geophys, Baton Rouge, LA 70803 USA; [Warny, Sophie] Louisiana State Univ, Museum Nat Sci, Baton Rouge, LA 70803 USA; [Bohaty, Steven M.] Univ Southampton, Sch Ocean &amp; Earth Sci, Southampton SO14 3ZH, Hants, England; [Sjunneskog, Charlotte] Florida State Univ, Antarctic Marine Geol Res Facil, Tallahassee, FL 32306 USA; [Leventer, Amy] Colgate Univ, Geol Dept, Hamilton, NY 13346 USA; [Montelli, Aleksandr] Univ Cambridge, Scott Polar Res Inst, Cambridge CB2 1ER, England; [Sjunneskog, Charlotte] Texas A&amp;M Univ, Int Ocean Discovery Program, 1000 Discovery Dr, College Stn, TX 77845 USA; [Frederick, Bruce] Univ Kansas, Dept Geol, Lawrence, KS 66045 USA</t>
  </si>
  <si>
    <t>University of Texas System; University of Texas Austin; State University System of Florida; University of South Florida; Louisiana State University System; Louisiana State University; Louisiana State University System; Louisiana State University; University of Southampton; NERC National Oceanography Centre; State University System of Florida; Florida State University; Colgate University; University of Cambridge; Texas A&amp;M University System; Texas A&amp;M University College Station; University of Kansas</t>
  </si>
  <si>
    <t>Gulick, SPS (corresponding author), Univ Texas Austin, Inst Geophys, Jackson Sch Geosci, Austin, TX 78758 USA.</t>
  </si>
  <si>
    <t>sean@ig.utexas.edu</t>
  </si>
  <si>
    <t>Blankenship, Donald D./G-5935-2010; Fernandez, Rodrigo/ABC-8361-2020; Frederick, Bruce/N-3916-2019; Gulick, Sean/GNH-2042-2022; Warny, Sophie A/A-8226-2013; Fernandez, Rodrigo/GRF-1350-2022; Shevenell, Amelia E/C-2757-2015</t>
  </si>
  <si>
    <t>Frederick, Bruce/0000-0002-7381-8693; Gulick, Sean/0000-0003-4740-9068; Fernandez, Rodrigo/0000-0003-4226-6010; Warny, Sophie/0000-0002-3451-040X; Leventer, Amy/0000-0001-9401-0987</t>
  </si>
  <si>
    <t>National Science Foundation [NSF PLR-1143836, PLR-1143837, PLR-1143843, PLR-1430550, PLR-1048343]; GSA graduate student research grant; UTIG [3137]; NERC [NE/L007452/1] Funding Source: UKRI; Natural Environment Research Council [NE/L007452/1] Funding Source: researchfish; Office of Polar Programs (OPP); Directorate For Geosciences [1048343] Funding Source: National Science Foundation</t>
  </si>
  <si>
    <t>National Science Foundation(National Science Foundation (NSF)); GSA graduate student research grant; UTIG;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</si>
  <si>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thank the NBP14-02 science party, the ECO captain and crew, and the ASC technical staff aboard the RV/IB N. B. Palmer. NBP14-02 was supported by the National Science Foundation (grants NSF PLR-1143836, PLR-1143837, PLR-1143843, PLR-1430550 and PLR-1048343) and a GSA graduate student research grant (to C.S.). We thank the Antarctic Marine Geology Research Facility staff at Florida State University for sampling assistance and E. Thomas, M. Katz, F. Sangiorni, P. Bijl and S. Manchester for discussions. This is UTIG Contribution #3137.</t>
  </si>
  <si>
    <t>10.1038/nature25026</t>
  </si>
  <si>
    <t>WOS:000418029500041</t>
  </si>
  <si>
    <t>Bunzel, D; Schmiedl, G; Lindhorst, S; Mackensen, A; Reolid, J; Romahn, S; Betzler, C</t>
  </si>
  <si>
    <t>Bunzel, Dorothea; Schmiedl, Gerhard; Lindhorst, Sebastian; Mackensen, Andreas; Reolid, Jesus; Romahn, Sarah; Betzler, Christian</t>
  </si>
  <si>
    <t>A multi-proxy analysis of Late Quaternary ocean and climate variability for the Maldives, Inner Sea</t>
  </si>
  <si>
    <t>BENTHIC FORAMINIFERAL FAUNAS; EQUATORIAL INDIAN-OCEAN; BOTTOM WATER OXYGENATION; NORTH-ATLANTIC CLIMATE; ARABIAN SEA; ORGANIC-CARBON; WINTER MONSOON; PRODUCTIVITY CHANGES; IRON FERTILIZATION; PARTICLE-FLUX</t>
  </si>
  <si>
    <t>As a natural sediment trap, the marine sediments of the sheltered central part of the Maldives Inner Sea represent an exceptional archive for paleoenvironmental and climate changes in the equatorial Indian Ocean. To evaluate the complex interplay between high-latitude and monsoonal climate variability, related dust fluxes, and regional oceanographic responses, we focused on Fe/Al, Ti/Al and Si/Ca ratios as proxies for terrigenous sediment delivery and total organic carbon (TOC) and Br XRF counts as proxies for marine productivity. Benthic foraminiferal fauna distributions, grain size and stable delta O-18 and delta C-13 data were used for evaluating changes in the benthic ecosystem and changes in the intermediate water circulation, bottom water current velocity and oxygenation. Our multi-proxy data record reveals an enhanced dust supply during the glacial intervals, causing elevated Fe/Al and Si/Ca ratios, an overall coarsening of the sediment and an increasing amount of agglutinated benthic foraminifera. The enhanced dust fluxes can be attributed to higher dust availability in the Asian desert and loess areas and its transport by intensified winter monsoon winds during glacial conditions. These combined effects of wind-induced mixing of surface waters and dust fertilization during the cold phases resulted in an increased surface water productivity and related organic carbon fluxes. Thus, the development of highly diverse benthic foraminiferal faunas with certain detritus and suspension feeders was fostered. The difference in the delta C-13 signal between epifaunal and deep infaunal benthic foraminifera reveals intermediate water oxygen concentrations between approximately 40 and 100 mu mol kg(-1) during this time. The precessional fluctuation pattern of oxygen changes resembles that from the deep Arabian Sea, suggesting an expansion of the oxygen minimum zone (OMZ) from the Arabian Sea into the tropical Indian Ocean with a probable regional signal of strengthened winter-monsoon-induced organic matter fluxes and oxygen consumption further controlled by the varying inflow intensity of the Antarctic Intermediate Water (AAIW). In addition, the bottom water oxygenation pattern of the Maldives Inner Sea reveals a long phase of reduced ventilation during the last glacial period. This process is likely linked to the combined effects of generally enhanced oxygen consumption rates during high-productivity phases, reduced AAIW production and the restriction of upper bathyal environments in the Inner Sea during sea-level lowstands. Thus, our multi-proxy record reflects a close linkage between the Indian monsoon oscillation, intermediate water circulation, productivity and sea-level changes on orbital timescale.</t>
  </si>
  <si>
    <t>[Bunzel, Dorothea; Schmiedl, Gerhard; Lindhorst, Sebastian; Reolid, Jesus; Romahn, Sarah; Betzler, Christian] Univ Hamburg, Inst Geol, Ctr Earth Syst Res &amp; Sustainabil CEN, D-20146 Hamburg, Germany; [Mackensen, Andreas] AWI, Helmholtz Ctr Polar &amp; Marine Res, D-27568 Bremerhaven, Germany</t>
  </si>
  <si>
    <t>University of Hamburg; Helmholtz Association; Alfred Wegener Institute, Helmholtz Centre for Polar &amp; Marine Research</t>
  </si>
  <si>
    <t>Bunzel, D (corresponding author), Univ Hamburg, Inst Geol, Ctr Earth Syst Res &amp; Sustainabil CEN, D-20146 Hamburg, Germany.</t>
  </si>
  <si>
    <t>dorothea.bunzel@uni-hamburg.de</t>
  </si>
  <si>
    <t>; Mackensen, Andreas/J-8600-2013; Schmiedl, Gerhard/E-6644-2017</t>
  </si>
  <si>
    <t>Bunzel, Dorothea/0000-0002-5157-5221; Mackensen, Andreas/0000-0002-5024-4455; Betzler, Christian/0000-0002-5757-4553; Schmiedl, Gerhard/0000-0002-2177-6858; Reolid, Jesus/0000-0003-2329-4163</t>
  </si>
  <si>
    <t>Federal Ministry of Education and Research [03G0236A]</t>
  </si>
  <si>
    <t>Federal Ministry of Education and Research(Federal Ministry of Education &amp; Research (BMBF))</t>
  </si>
  <si>
    <t>We thank the masters, crews and the shipboard scientific parties of the R/V SONNE SO236 and R/V METEOR M74/4 cruises for their excellent collaboration. Jutta Richarz is thanked for her support during grain size analyses, and Lisa Schonborn and Gunther Meyer are thanked for technical support during stable isotope measurements. Aurora Elmore and Thomas Ronge are thanked for providing the stable carbon isotope records of the south-western Pacific Ocean (cores DSDP593, MD06-2986, MD06-2990/SO136/003), and we thank Yvonne Milker for the many helpful discussions. We acknowledge the two anonymous reviewers who helped to considerably improve this paper with detailed comments and suggestions. This research used data acquired at the XRF Core Scanner Lab at the MARUM Center for Marine Environmental Sciences, University of Bremen, Germany. This study was supported by grant 03G0236A from the Federal Ministry of Education and Research. The Ministry of Fisheries and Agriculture of the Maldives is thanked for granting the research permit for Maldivian waters.</t>
  </si>
  <si>
    <t>DEC 13</t>
  </si>
  <si>
    <t>10.5194/cp-13-1791-2017</t>
  </si>
  <si>
    <t>FP8MU</t>
  </si>
  <si>
    <t>WOS:000417899200001</t>
  </si>
  <si>
    <t>Fourteau, K; Faïn, X; Martinerie, P; Landais, A; Ekaykin, AA; Lipenkov, VY; Chappellaz, J</t>
  </si>
  <si>
    <t>Fourteau, Kevin; Fain, Xavier; Martinerie, Patricia; Landais, Amaelle; Ekaykin, Alexey A.; Lipenkov, Vladimir Ya.; Chappellaz, Jerome</t>
  </si>
  <si>
    <t>Analytical constraints on layered gas trapping and smoothing of atmospheric variability in ice under low-accumulation conditions</t>
  </si>
  <si>
    <t>CAVITY-ENHANCED ABSORPTION; IN-SITU PRODUCTION; PAST 800,000 YEARS; ANTARCTIC ICE; CHRONOLOGY AICC2012; CONTINUOUS-FLOW; VOSTOK STATION; AIR MOVEMENT; POLAR ICE; CORE</t>
  </si>
  <si>
    <t>We investigate for the first time the loss and alteration of past atmospheric information from air trapping mechanisms under low-accumulation conditions through continuous CH4 (and CO) measurements. Methane concentration changes were measured over the Dansgaard-Oeschger event 17 (DO-17, similar to 60000 yrBP) in the Antarctic Vostok 4G-2 ice core. Measurements were performed using continuous-flow analysis combined with laser spectroscopy. The results highlight many anomalous layers at the centimeter scale that are unevenly distributed along the ice core. The anomalous methane mixing ratios differ from those in the immediate surrounding layers by up to 50 ppbv. This phenomenon can be theoretically reproduced by a simple layered trapping model, creating very localized gas age scale inversions. We propose a method for cleaning the record of anomalous values that aims at minimizing the bias in the overall signal. Once the layered-trapping-induced anomalies are removed from the record, DO-17 appears to be smoother than its equivalent record from the high-accumulation WAIS Divide ice core. This is expected due to the slower sinking and densification speeds of firn layers at lower accumulation. However, the degree of smoothing appears surprisingly similar between modern and DO-17 conditions at Vostok. This suggests that glacial records of trace gases from low-accumulation sites in the East Antarctic plateau can provide a better time resolution of past atmospheric composition changes than previously expected. We also developed a numerical method to extract the gas age distributions in ice layers after the removal of the anomalous layers based on comparison with a weakly smoothed record. It is particularly adapted for the conditions of the East Antarctic plateau, as it helps to characterize smoothing for a large range of very low-temperature and low-accumulation conditions.</t>
  </si>
  <si>
    <t>[Fourteau, Kevin; Fain, Xavier; Martinerie, Patricia; Chappellaz, Jerome] Univ Grenoble Alpes, CNRS, IRD, Grenoble INP,IGE, F-38000 Grenoble, France; [Landais, Amaelle] CEA CNRS UVSQ UPS IPSL, UMR8212, Lab Sci Climat &amp; Environm, Gif Sur Yvette, France; [Ekaykin, Alexey A.; Lipenkov, Vladimir Ya.] Arctic &amp; Antarctic Res Inst, Climate &amp; Environm Res Lab, St Petersburg 199397, Russia</t>
  </si>
  <si>
    <t>Communaute Universite Grenoble Alpes; Institut National Polytechnique de Grenoble; Universite Grenoble Alpes (UGA); Centre National de la Recherche Scientifique (CNRS); Institut de Recherche pour le Developpement (IRD); CEA; Centre National de la Recherche Scientifique (CNRS); Universite Paris Saclay; CNRS - National Institute for Earth Sciences &amp; Astronomy (INSU); Arctic &amp; Antarctic Research Institute</t>
  </si>
  <si>
    <t>Fourteau, K; Martinerie, P (corresponding author), Univ Grenoble Alpes, CNRS, IRD, Grenoble INP,IGE, F-38000 Grenoble, France.</t>
  </si>
  <si>
    <t>kevin.fourteau@univ-grenoble-alpes.fr; patricia.martinerie@univ-grenoble-alpes.fr</t>
  </si>
  <si>
    <t>Fourteau, Kevin/ITV-9385-2023; Martinerie, Patricia/N-5731-2017; Lipenkov, Vladimir Y/Q-8262-2016; Chappellaz, Jérôme A./A-4872-2011; FAIN, Xavier/AAF-7985-2019; Ekaykin, Alexey/K-9894-2015</t>
  </si>
  <si>
    <t>Fourteau, Kevin/0000-0002-9905-2446; Martinerie, Patricia/0000-0002-6820-2296; FAIN, Xavier/0000-0002-4119-6025; Ekaykin, Alexey/0000-0001-9819-2802; LANDAIS, Amaelle/0000-0002-5620-5465</t>
  </si>
  <si>
    <t>European Community [291062]; INSU/CNRS LEFE project NEVE-CLIMAT; Laboratoire International Associe Vostok; LabEx OSUG@2020 [ANR10LABX56]; Ecole Normale Superieure Paris-Saclay</t>
  </si>
  <si>
    <t>European Community; INSU/CNRS LEFE project NEVE-CLIMAT; Laboratoire International Associe Vostok; LabEx OSUG@2020; Ecole Normale Superieure Paris-Saclay</t>
  </si>
  <si>
    <t>The research leading to these results received funding from the European Community Seventh Framework Programme ERC2011 under grant agreement no. 291062 (ERC Ice&amp;Lasers), the INSU/CNRS LEFE project NEVE-CLIMAT, the Laboratoire International Associe Vostok partnership, the LabEx OSUG@2020 (Investissements d'avenir - ANR10LABX56), and the Ecole Normale Superieure Paris-Saclay. Ice core samples were made available within the Laboratoire International Associe Vostok partnership. We are grateful to the Russian Antarctic Expeditions for carrying out the logistics and the shipping of the ice core samples to Europe. We also thank Frederic Prie for his help during nitrogen isotope measurements and Maurine Montagnat and Cedric Lachaud for their help with the thin sections. Finally, we thank Hubertus Fischer and the two anonymous referees for their constructive and helpful comments on this paper.</t>
  </si>
  <si>
    <t>10.5194/cp-13-1815-2017</t>
  </si>
  <si>
    <t>WOS:000417899200002</t>
  </si>
  <si>
    <t>Goel, V; Brown, J; Matsuoka, K</t>
  </si>
  <si>
    <t>Goel, Vikram; Brown, Joel; Matsuoka, Kenichi</t>
  </si>
  <si>
    <t>Glaciological settings and recent mass balance of Blaskimen Island in Dronning Maud Land, Antarctica</t>
  </si>
  <si>
    <t>GROUND-PENETRATING RADAR; ICE-SHEET; WEST ANTARCTICA; EAST ANTARCTICA; FLOW; SURFACE; DIVIDES; MODEL; SHELF; RISE</t>
  </si>
  <si>
    <t>The ice-shelf-fringed coast of Dronning Maud Land in East Antarctica contains numerous ice rises that influence the dynamics and mass balance of the region. However, only a few of these ice rises have been investigated in detail. Here, we present field measurements of Blaskimen Island, an isle-type ice rise adjacent to Fimbul Ice Shelf. This ice rise is largely dome shaped, with a pronounced ridge extending to the south-west from its summit (410m a.s.l.). Its bed is mostly flat and about 100m below the current sea level. Shallow radar-detected isochrones dated with a firn core reveal that the surface mass balance is higher on the south-eastern (upwind) slope than on the north-western (downwind) slope by similar to 37 %, and this pattern has persisted for at least the past decade. Moreover, arches in radar stratigraphy suggest that the summit of the ice rise has been stable for similar to 600 years. Ensemble estimates of the mass balance using the input-output method show that this ice rise has thickened by 0.12-0.37m ice equivalent per year over the past decade.</t>
  </si>
  <si>
    <t>[Goel, Vikram; Brown, Joel; Matsuoka, Kenichi] Norwegian Polar Res Inst, Tromso, Norway; [Brown, Joel] Aesir Consulting LLC, Missoula, MT USA</t>
  </si>
  <si>
    <t>Goel, V (corresponding author), Norwegian Polar Res Inst, Tromso, Norway.</t>
  </si>
  <si>
    <t>vikram.goel@outlook.com</t>
  </si>
  <si>
    <t>Goel, Vikram/ABV-7985-2022; Matsuoka, Kenichi/B-7298-2017</t>
  </si>
  <si>
    <t>Goel, Vikram/0000-0002-8393-0195; Matsuoka, Kenichi/0000-0002-3587-3405</t>
  </si>
  <si>
    <t>Norwegian Antarctic Research Expeditions (NARE) of the Norwegian Polar Institute; Center for Ice Climate and Ecosystems (ICE) of the Norwegian Polar Institute; National Centre for Antarctic and Ocean Research (NCAOR) through the Ministry of Earth Sciences (MoES), Government of India</t>
  </si>
  <si>
    <t>This work was funded by grants from Norwegian Antarctic Research Expeditions (NARE) and the Center for Ice Climate and Ecosystems (ICE) of the Norwegian Polar Institute. Vikram Goel received a PhD studentship from National Centre for Antarctic and Ocean Research (NCAOR) through financial support from the Ministry of Earth Sciences (MoES), Government of India. We thank Harvey Goodwin, Kjetil Bakkland, Orjan Karlsen, and Peter Leopold for their contributions to fieldwork. Troll Station of NARE and SANAE Station of the South African National Antarctic Programs provided field support. Tor Ivan Karlsen developed the low-frequency radar. Carmen P. Vega, Elisabeth Isaksson, and their team provided the depth-age data of the core. We thank Robert Bingham and two other anonymous reviewers and the editor Olaf Eisen for their constructive comments, which improved the manuscript significantly. Figure 1 was developed using a free GIS data package Quantarctica (quantarctica.npolar.no).</t>
  </si>
  <si>
    <t>DEC 12</t>
  </si>
  <si>
    <t>10.5194/tc-11-2883-2017</t>
  </si>
  <si>
    <t>FP6RS</t>
  </si>
  <si>
    <t>WOS:000417754000002</t>
  </si>
  <si>
    <t>Mayr, G; Scofield, RP; De Pietri, VL; Tennyson, AJD</t>
  </si>
  <si>
    <t>Mayr, Gerald; Scofield, R. Paul; De Pietri, Vanesa L.; Tennyson, Alan J. D.</t>
  </si>
  <si>
    <t>A Paleocene penguin from New Zealand substantiates multiple origins of gigantism in fossil Sphenisciformes</t>
  </si>
  <si>
    <t>GIANT PENGUIN; PALAEEUDYPTES-KLEKOWSKII; CROSSVALLIA-UNIENWILLIA; ANTARCTIC PENGUIN; EOCENE; SKELETON; OLIGOCENE; EVOLUTION; GUNNARI; ISLAND</t>
  </si>
  <si>
    <t>One of the notable features of penguin evolution is the occurrence of very large species in the early Cenozoic, whose body size greatly exceeded that of the largest extant penguins. Here we describe a new giant species from the late Paleocene of New Zealand that documents the very early evolution of large body size in penguins. Kumimanu biceae, n. gen. et sp. is larger than all other fossil penguins that have substantial skeletal portions preserved. Several plesiomorphic features place the new species outside a clade including all post-Paleocene giant penguins. It is phylogenetically separated from giant Eocene and Oligocene penguin species by various smaller taxa, which indicates multiple origins of giant size in penguin evolution. That a penguin rivaling the largest previously known species existed in the Paleocene suggests that gigantism in penguins arose shortly after these birds became flightless divers. Our study therefore strengthens previous suggestions that the absence of very large penguins today is likely due to the Oligo-Miocene radiation of marine mammals.</t>
  </si>
  <si>
    <t>[Mayr, Gerald] Senckenberg Res Inst, Senckenberganlage 25, D-60325 Frankfurt, Germany; [Mayr, Gerald] Nat Hist Museum Frankfurt, Ornithol Sect, Senckenberganlage 25, D-60325 Frankfurt, Germany; [Scofield, R. Paul; De Pietri, Vanesa L.] Canterbury Museum, Rolleston Ave, Christchurch 8013, New Zealand; [Tennyson, Alan J. D.] Museum New Zealand Te Papa Tongarewa, POB 467, Wellington 6140, New Zealand</t>
  </si>
  <si>
    <t>Senckenberg Gesellschaft fur Naturforschung (SGN)</t>
  </si>
  <si>
    <t>Mayr, G (corresponding author), Senckenberg Res Inst, Senckenberganlage 25, D-60325 Frankfurt, Germany.;Mayr, G (corresponding author), Nat Hist Museum Frankfurt, Ornithol Sect, Senckenberganlage 25, D-60325 Frankfurt, Germany.</t>
  </si>
  <si>
    <t>Gerald.Mayr@senckenberg.de</t>
  </si>
  <si>
    <t>Scofield, R. Paul/A-4271-2011</t>
  </si>
  <si>
    <t>Scofield, R. Paul/0000-0002-7510-6980; De Pietri, Vanesa/0000-0002-3786-9741</t>
  </si>
  <si>
    <t>Marsden Fund Council from New Zealand Government; RS Allan Fund</t>
  </si>
  <si>
    <t>Marsden Fund Council from New Zealand Government(Royal Society of New ZealandMarsden Fund (NZ)); RS Allan Fund</t>
  </si>
  <si>
    <t>We are indebted to Al Mannering for the preparation of the penguin fossil. Chris Clowes (GNS Science) provided data on the dinoflagellate fauna associated with the fossil. Jean-Claude Stahl (NMNZ) took the overview photos of the fossil before final preparation. We furthermore thank Carolina Acosta Hospitaleche, Martin de los Reyes, and Nadia Haidr (all MLP), and Ewan Fordyce and Marcus Richards (both Otago University) for access to fossil specimens. This research was supported by a grant from the Marsden Fund Council from New Zealand Government funding, managed by Royal Society Te Aparangi; the publication costs were covered by the RS Allan Fund.</t>
  </si>
  <si>
    <t>10.1038/s41467-017-01959-6</t>
  </si>
  <si>
    <t>FP5ZF</t>
  </si>
  <si>
    <t>WOS:000417701100001</t>
  </si>
  <si>
    <t>Walker, RT; Werder, MA; Dow, CF; Nowicki, SMJ</t>
  </si>
  <si>
    <t>Walker, Ryan T.; Werder, Mauro A.; Dow, Christine F.; Nowicki, Sophie M. J.</t>
  </si>
  <si>
    <t>Determining Ice-Sheet Uplift Surrounding Subglacial Lakes with a Viscous Plate Model</t>
  </si>
  <si>
    <t>FRONTIERS IN EARTH SCIENCE</t>
  </si>
  <si>
    <t>subglacial lakes; hydrology; ice sheets; obstacle problem; viscous plate</t>
  </si>
  <si>
    <t>ANTARCTICA; DRAINAGE; STREAM; SYSTEM; CALDRON; MOTION</t>
  </si>
  <si>
    <t>We develop a viscous model of plate bending suitable for studying ice-sheet flexure due to subglacial lake filling and draining, and apply this model to determine the area of ice-sheet uplift surrounding a subglacial lake. The choice of a viSCOUS model reflects our interest in Antarctic subglacial lakes, which can fill and drain on time scales of months to decades. Experiments with idealized lake shapes show that the size of the uplift area relative to lake area depends on subglacial water pressure and ice-sheet thickness, with the viscous material parameters scaling the magnitude of uplift rate within this area. The water pressure therefore has a strong control on the evolution of the lake shape and related subglacial hydrological development, but is not yet well constrained by observations. Due to the likelihood that ice flexure will affect subglacial lake filling and draining, we suggest that the insights of this study should be applied to development of a realistic ice sheet-hydrological coupled model.</t>
  </si>
  <si>
    <t>[Walker, Ryan T.] Univ Maryland, Earth Syst Sci Interdisciplinary Ctr, College Pk, MD 20742 USA; [Walker, Ryan T.; Dow, Christine F.; Nowicki, Sophie M. J.] NASA, Goddard Space Flight Ctr, Cryospher Sci Lab, Greenbelt, MD 20771 USA; [Werder, Mauro A.] Swiss Fed Inst Technol, Lab Hydraul Hydrol &amp; Glaciol VAW, Zurich, Switzerland; [Dow, Christine F.] Univ Waterloo, Dept Geog &amp; Environm Management, Waterloo, ON, Canada</t>
  </si>
  <si>
    <t>University System of Maryland; University of Maryland College Park; National Aeronautics &amp; Space Administration (NASA); NASA Goddard Space Flight Center; Swiss Federal Institutes of Technology Domain; ETH Zurich; University of Waterloo</t>
  </si>
  <si>
    <t>Walker, RT (corresponding author), Univ Maryland, Earth Syst Sci Interdisciplinary Ctr, College Pk, MD 20742 USA.;Walker, RT (corresponding author), NASA, Goddard Space Flight Ctr, Cryospher Sci Lab, Greenbelt, MD 20771 USA.</t>
  </si>
  <si>
    <t>ryan.t.walker@nasa.gov</t>
  </si>
  <si>
    <t>Werder, Mauro/0000-0003-0137-9377; Dow, Christine/0000-0003-1346-2258</t>
  </si>
  <si>
    <t>NSF [PLR-1443284]; NASA [NNX12AD03A]; NASA Postdoctoral Program fellowship; NASA</t>
  </si>
  <si>
    <t>NSF(National Science Foundation (NSF)); NASA(National Aeronautics &amp; Space Administration (NASA)); NASA Postdoctoral Program fellowship; NASA(National Aeronautics &amp; Space Administration (NASA))</t>
  </si>
  <si>
    <t>RW was supported by he NSF under grant PLR-1443284 and by NASA under grant NNX12AD03A. CD was supported by a NASA Postdoctoral Program fellowship at: Goddard Space Hight Center. Additional funding was provided to SN by NASA through its Cryospheric Sciences and Modeling Analysis and Prediction programs.</t>
  </si>
  <si>
    <t>2296-6463</t>
  </si>
  <si>
    <t>FRONT EARTH SC-SWITZ</t>
  </si>
  <si>
    <t>Front. Earth Sci.</t>
  </si>
  <si>
    <t>10.3389/feart.2017.00103</t>
  </si>
  <si>
    <t>FS0GC</t>
  </si>
  <si>
    <t>WOS:000419451100001</t>
  </si>
  <si>
    <t>Pardo, D; Forcada, J; Wood, AG; Tuck, GN; Ireland, L; Pradel, R; Croxall, JP; Phillips, RA</t>
  </si>
  <si>
    <t>Pardo, Deborah; Forcada, Jaume; Wood, Andrew G.; Tuck, Geoff N.; Ireland, Louise; Pradel, Roger; Croxall, John P.; Phillips, Richard A.</t>
  </si>
  <si>
    <t>Additive effects of climate and fisheries drive ongoing declines in multiple albatross species</t>
  </si>
  <si>
    <t>seabird demography; climate; fisheries; conservation; population dynamics</t>
  </si>
  <si>
    <t>POPULATION-DYNAMICS; WANDERING ALBATROSSES; LONGLINE FISHERIES; BREEDING SUCCESS; SOUTHERN-OCEAN; SURVIVAL; ATLANTIC; PATTERNS; DENSITY; IMPACT</t>
  </si>
  <si>
    <t>Environmental and anthropogenic factors often drive population declines in top predators, but how their influences may combine remains unclear. Albatrosses are particularly threatened. They breed in fast-changing environments, and their extensive foraging ranges expose them to incidental mortality (bycatch) in multiple fisheries. The albatross community at South Georgia includes globally important populations of three species that have declined by 40-60% over the last 35 years. We used three steps to deeply understand the drivers of such dramatic changes: (i) describe fundamental demographic rates using multievent models, (ii) determine demographic drivers of population growth using matrix models, and (iii) identify environmental and anthropogenic drivers using ANOVAs. Each species was affected by different processes and threats in their foraging areas during the breeding and nonbreeding seasons. There was evidence for two kinds of combined environmental and anthropogenic effects. The first was sequential; in wandering and black-browed albatrosses, high levels of bycatch have reduced juvenile and adult survival, then increased temperature, reduced sea-ice cover, and stronger winds are affecting the population recovery potential. The second was additive; in gray-headed albatrosses, not only did bycatch impact adult survival but also this impact was exacerbated by lower food availability in years following El Nino events. This emphasizes the need for much improved implementation of mitigation measures in fisheries and better enforcement of compliance. We hope our results not only help focus future management actions for these populations but also demonstrate the power of the modelling approach for assessing impacts of environmental and anthropogenic drivers in wild animal populations.</t>
  </si>
  <si>
    <t>[Pardo, Deborah; Forcada, Jaume; Wood, Andrew G.; Ireland, Louise; Phillips, Richard A.] British Antarctic Survey, Nat Environm Res Council, Cambridge CB3 0ET, England; [Tuck, Geoff N.] Commonwealth Sci &amp; Ind Res Org, Oceans &amp; Atmosphere, Hobart, Tas 7004, Australia; [Pradel, Roger] CNRS, Ctr Ecol Fonct &amp; Evolut, F-34293 Montpellier, France; [Croxall, John P.] Birdlife Int, Cambridge CB2 3QZ, England</t>
  </si>
  <si>
    <t>UK Research &amp; Innovation (UKRI); Natural Environment Research Council (NERC); NERC British Antarctic Survey; Commonwealth Scientific &amp; Industrial Research Organisation (CSIRO); Universite PSL; Ecole Pratique des Hautes Etudes (EPHE); Institut Agro; Montpellier SupAgro; CIRAD; Centre National de la Recherche Scientifique (CNRS); Institut de Recherche pour le Developpement (IRD); Universite Paul-Valery; Universite de Montpellier; BirdLife International</t>
  </si>
  <si>
    <t>Pardo, D (corresponding author), British Antarctic Survey, Nat Environm Res Council, Cambridge CB3 0ET, England.</t>
  </si>
  <si>
    <t>deborah.pardo@gmail.com</t>
  </si>
  <si>
    <t>Pradel, Roger/A-8666-2008; Forcada, Jaume/GYU-0677-2022; Pardo, Deborah/D-6996-2013; Tuck, Geoff/E-2356-2012</t>
  </si>
  <si>
    <t>Pradel, Roger/0000-0002-2684-9251; Pardo, Deborah/0000-0001-9593-1155; Tuck, Geoff/0000-0002-3640-6147</t>
  </si>
  <si>
    <t>Natural Environment Research Council [NE/J021083/1]; NERC [NE/J021083/1, bas010011, bas0100035] Funding Source: UKRI; Natural Environment Research Council [bas010011, NE/J021083/1, bas0100035] Funding Source: researchfish</t>
  </si>
  <si>
    <t>We thank the many fieldworkers involved in the long-term monitoring of albatrosses at Bird Island. We also thank Guillaume Souchay, Vladimir Grosbois, Sophie Fielding, Jean-Dominique Lebreton, Sebastian Jimenez, and Hanna Granroth-Wilding for helpful discussions. This work was supported by Natural Environment Research Council Grant NE/J021083/1. This research represents a contribution to the Ecosystems component of the British Antarctic Survey Polar Science for Planet Earth Programme, funded by the Natural Environment Research Council.</t>
  </si>
  <si>
    <t>E10829</t>
  </si>
  <si>
    <t>E10837</t>
  </si>
  <si>
    <t>10.1073/pnas.1618819114</t>
  </si>
  <si>
    <t>FP7IJ</t>
  </si>
  <si>
    <t>WOS:000417806200028</t>
  </si>
  <si>
    <t>Howe, JNW; Piotrowski, AM</t>
  </si>
  <si>
    <t>Howe, Jacob N. W.; Piotrowski, Alexander M.</t>
  </si>
  <si>
    <t>Atlantic deep water provenance decoupled from atmospheric CO2 concentration during the lukewarm interglacials</t>
  </si>
  <si>
    <t>MERIDIONAL OVERTURNING CIRCULATION; NEODYMIUM ISOTOPE COMPOSITION; LAST GLACIAL CYCLE; MID-BRUNHES EVENT; OCEAN CIRCULATION; NORTH-ATLANTIC; SOUTHERN-OCEAN; MIDPLEISTOCENE TRANSITION; THERMOHALINE CIRCULATION; CLIMATE VARIABILITY</t>
  </si>
  <si>
    <t>Ice core records show that atmospheric CO2 concentrations and Antarctic temperature were lower during the 'lukewarm interglacials' from 800 to 430 ka than the subsequent five interglacials. These different interglacial 'strengths' have been hypothesised to be controlled by Antarctic overturning circulation. How these variations in Antarctic overturning relate to Northern Atlantic overturning circulation, a major driver of Northern Hemisphere climate, is uncertain. Here we present a high-resolution record of authigenic neodymium isotopes-a water mass tracer that is independent of biological processes-and use it to reconstruct Atlantic overturning circulation during the last 800 kyr. This record reveals a similar proportion of North Atlantic Deep Water during the 'lukewarm interglacials' and the more recent interglacials. This observation suggests that the provenance of deep water in the Atlantic Ocean can be decoupled from ventilation state of the Southern Ocean and consequently the atmospheric concentration of carbon dioxide.</t>
  </si>
  <si>
    <t>[Howe, Jacob N. W.; Piotrowski, Alexander M.] Univ Cambridge, Dept Earth Sci, Downing St, Cambridge CB2 3EQ, England</t>
  </si>
  <si>
    <t>Howe, JNW (corresponding author), Univ Cambridge, Dept Earth Sci, Downing St, Cambridge CB2 3EQ, England.</t>
  </si>
  <si>
    <t>jacob.howe@cantab.net</t>
  </si>
  <si>
    <t>NERC [1752.1013, NE/K005235/1, NE/F006047/1]; Rutherford Memorial Scholarship; NERC [NE/K005235/1, NE/F006047/1] Funding Source: UKRI; Natural Environment Research Council [NE/K005235/1, NE/F006047/1] Funding Source: researchfish</t>
  </si>
  <si>
    <t>NERC(UK Research &amp; Innovation (UKRI)Natural Environment Research Council (NERC)); Rutherford Memorial Scholarship; NERC(UK Research &amp; Innovation (UKRI)Natural Environment Research Council (NERC)); Natural Environment Research Council(UK Research &amp; Innovation (UKRI)Natural Environment Research Council (NERC))</t>
  </si>
  <si>
    <t>Sample material was provided by the International Ocean Drilling Program. D. Wilson, S. Crowhurst and A. Elmore are thanked for comments on an earlier version of this manuscript. S. Williams, J. Clegg, V. Rennie, S. Misra, J. Day, E. Tipper and H. Chapman are thanked for technical support. T. Bickert is thanked for providing published data from ODP site 929. Radiocarbon analyses were supported by NERC radiocarbon grant 1752.1013 and Nd isotope analyses by NERC grants NE/K005235/1 and NE/F006047/1 to A.M.P. J.N.W.H. was supported by a Rutherford Memorial Scholarship.</t>
  </si>
  <si>
    <t>DEC 8</t>
  </si>
  <si>
    <t>10.1038/s41467-017-01939-w</t>
  </si>
  <si>
    <t>FP2RW</t>
  </si>
  <si>
    <t>WOS:000417467100013</t>
  </si>
  <si>
    <t>Langford, B; Cash, J; Acton, WJF; Valach, AC; Hewitt, CN; Fares, S; Goded, I; Gruening, C; House, E; Kalogridis, AC; Gros, V; Schafers, R; Thomas, R; Broadmeadow, M; Nemitz, E</t>
  </si>
  <si>
    <t>Langford, Ben; Cash, James; Acton, W. Joe F.; Valach, Amy C.; Hewitt, C. Nicholas; Fares, Silvano; Goded, Ignacio; Gruening, Carsten; House, Emily; Kalogridis, Athina-Cerise; Gros, Valerie; Schafers, Richard; Thomas, Rick; Broadmeadow, Mark; Nemitz, Eiko</t>
  </si>
  <si>
    <t>Isoprene emission potentials from European oak forests derived from canopy flux measurements: an assessment of uncertainties and inter-algorithm variability</t>
  </si>
  <si>
    <t>VOLATILE ORGANIC-COMPOUNDS; MONOTERPENE EMISSION; CIRCADIAN CONTROL; BVOC EMISSIONS; BIOGENIC ISOPRENE; HORNBEAM FOREST; SEASONAL COURSE; MIXED FOREST; MEGAN MODEL; RAIN-FOREST</t>
  </si>
  <si>
    <t>Biogenic emission algorithms predict that oak forests account for similar to 70% of the total European isoprene budget. Yet the isoprene emission potentials (IEPs) that underpin these model estimates are calculated from a very limited number of leaf-level observations and hence are highly uncertain. Increasingly, micrometeorological techniques such as eddy covariance are used to measure whole-canopy fluxes directly, from which isoprene emission potentials can be calculated. Here, we review five observational datasets of isoprene fluxes from a range of oak forests in the UK, Italy and France. We outline procedures to correct the measured net fluxes for losses from deposition and chemical flux divergence, which were found to be on the order of 5-8 and 4-5 %, respectively. The corrected observational data were used to derive isoprene emission potentials at each site in a two-step process. Firstly, six commonly used emission algorithms were inverted to back out time series of isoprene emission potential, and then an average isoprene emission potential was calculated for each site with an associated uncertainty. We used these data to assess how the derived emission potentials change depending upon the specific emission algorithm used and, importantly, on the particular approach adopted to derive an average site-specific emission potential. Our results show that isoprene emission potentials can vary by up to a factor of 4 depending on the specific algorithm used and whether or not it is used in a big-leaf or canopy environment (CE) model format. When using the same algorithm, the calculated average isoprene emission potential was found to vary by as much as 34% depending on how the average was derived. Using a consistent approach with version 2.1 of the Model for Emissions of Gases and Aerosols from Nature (MEGAN), we derive new ecosystem-scale isoprene emission potentials for the five measurement sites: Alice Holt, UK (10 500 +/- 2500 mu gm(-2)h(-1)); Bosco Fontana, Italy (1610 +/- 420 mu gm(-2)h(-1)); Castel-porziano, Italy (121 +/- 15 mu gm(-2)h(-1)); Ispra, Italy (7590 +/- 1070 mu g g(-1) h(-1)); and the Observatoire de Haute Provence, France (7990 +/- 1010 mu g g(-1) h(-1)). Ecosystemscale isoprene emission potentials were then extrapolated to the leaf-level and compared to previous leaf-level measurements for Quercus robur and Quercus pubescens, two species thought to account for 50% of the total European isoprene budget. The literature values agreed closely with emission potentials calculated using the G93 algorithm, which were 85 +/- 75 and 78 +/- 25 mu g g(-1) h(-1) for Q. robur and Q. pubescens, respectively. By contrast, emission potentials calculated using the G06 algorithm, the same algorithm used in a previous study to derive the European budget, were significantly lower, which we attribute to the influence of past light and temperature conditions. Adopting these new G06 specific emission potentials for Q. robur (55 +/- 24 mu g g(-1) h(-1)) and Q. pubescens (47 +/- 16 mu g g(-1) h(-1)) reduced the projected European budget by similar to 17 %. Our findings demonstrate that calculated isoprene emission potentials vary considerably depending upon the specific approach used in their calculation. Therefore, it is our recommendation that the community now adopt a standardised approach to the way in which micrometeorological flux measurements are corrected and used to derive isoprene, and other biogenic volatile organic compounds, emission potentials.</t>
  </si>
  <si>
    <t>[Langford, Ben; Cash, James; House, Emily; Schafers, Richard; Nemitz, Eiko] Ctr Ecol &amp; Hydrol, Edinburgh EH26 0QB, Midlothian, Scotland; [Cash, James; House, Emily; Schafers, Richard] Univ Edinburgh, Sch Chem, West Mains Rd, Edinburgh EH9 3JJ, Midlothian, Scotland; [Acton, W. Joe F.; Valach, Amy C.; Hewitt, C. Nicholas; House, Emily] Univ Lancaster, Lancaster Environm Ctr, Lancaster LA1 4YQ, England; [Fares, Silvano] Council Agr Res &amp; Econ, Res Ctr Forestry &amp; Wood CREA FL, Arezzo, Italy; [Goded, Ignacio; Gruening, Carsten] European Commiss, Joint Res Ctr, Ispra, Italy; [Kalogridis, Athina-Cerise; Gros, Valerie] Univ Versailles St Quentin En Yvelines, CNRS, CEA, LSCE,IPSL,Unite Mixte,UVSQ, F-91198 Gif Sur Yvette, France; [Thomas, Rick] Univ Birmingham, Sch Geog Earth &amp; Environm Sci, Birmingham B15 2TT, W Midlands, England; [Broadmeadow, Mark] Forestry Commiss, Farnham GU10 4LH, Surrey, England; [Valach, Amy C.] British Antarctic Survey, Cambridge, England; [Kalogridis, Athina-Cerise] NCSR Demokritos, Inst Nucl &amp; Radiol Sci &amp; Technol, Energy &amp; Safety, Attiki 15341, Greece</t>
  </si>
  <si>
    <t>UK Centre for Ecology &amp; Hydrology (UKCEH); University of Edinburgh; Lancaster University; Consiglio per la Ricerca in Agricoltura e L'analisi Dell'economia Agraria (CREA); European Commission Joint Research Centre; EC JRC ISPRA Site; Universite Paris Saclay; Universite Paris Cite; CEA; Centre National de la Recherche Scientifique (CNRS); University of Birmingham; UK Research &amp; Innovation (UKRI); Natural Environment Research Council (NERC); NERC British Antarctic Survey; National Centre of Scientific Research Demokritos</t>
  </si>
  <si>
    <t>Langford, B (corresponding author), Ctr Ecol &amp; Hydrol, Edinburgh EH26 0QB, Midlothian, Scotland.</t>
  </si>
  <si>
    <t>benngf@ceh.ac.uk</t>
  </si>
  <si>
    <t>Valach, Alex/AAX-7438-2020; Nemitz, Eiko/I-6121-2012; Fares, Silvano/H-4322-2011; Hewitt, Charles Nicholas/ABF-9429-2020; Langford, Ben/N-3072-2013</t>
  </si>
  <si>
    <t>Valach, Alex/0000-0003-4782-5766; Fares, Silvano/0000-0002-1990-0928; Hewitt, Charles Nicholas/0000-0001-7973-2666; Acton, William/0000-0001-5328-3399; Kalogridis, Athina-Cerise/0000-0003-3754-520X; Cash, James M./0000-0002-8567-1377; Langford, Ben/0000-0002-6968-5197</t>
  </si>
  <si>
    <t>European FP7 project ECLAIRE [282910]; NERC National Capability funding; ANR-CANOPEE project, CNRS, CEA [ANR 2010 JCJC 603 01]; NERC [ceh020011] Funding Source: UKRI; Natural Environment Research Council [ceh020011] Funding Source: researchfish</t>
  </si>
  <si>
    <t>European FP7 project ECLAIRE; NERC National Capability funding(UK Research &amp; Innovation (UKRI)Natural Environment Research Council (NERC)); ANR-CANOPEE project, CNRS, CEA(Agence Nationale de la Recherche (ANR)); NERC(UK Research &amp; Innovation (UKRI)Natural Environment Research Council (NERC)); Natural Environment Research Council(UK Research &amp; Innovation (UKRI)Natural Environment Research Council (NERC))</t>
  </si>
  <si>
    <t>This work was supported by the European FP7 project ECLAIRE (no. 282910) and NERC National Capability funding and inspired by discussions within the ECLAIRE community and in particular with David Simpson, Chalmers University Gothenburg. The authors thank Matthew Wilkinson at Forest Research for facilitating our measurements at the Alice Holt field site. For the O3HP dataset, we thank the ANR-CANOPEE project (ANR 2010 JCJC 603 01), CNRS, CEA and the Oak observatory staff. We also thank Alex Guenther, Rudiger Grote and two anonymous reviewers for their helpful comments and suggestions.</t>
  </si>
  <si>
    <t>10.5194/bg-14-5571-2017</t>
  </si>
  <si>
    <t>FP2TL</t>
  </si>
  <si>
    <t>Green Accepted, gold, Green Submitted</t>
  </si>
  <si>
    <t>WOS:000417471600002</t>
  </si>
  <si>
    <t>Davis, LB; Hofmann, EE; Klinck, JM; Piñones, A; Dinniman, MS</t>
  </si>
  <si>
    <t>Davis, L. Brynn; Hofmann, Eileen E.; Klinck, John M.; Pinones, Andrea; Dinniman, Michael S.</t>
  </si>
  <si>
    <t>Distributions of krill and Antarctic silverfish and correlations with environmental variables in the western Ross Sea, Antarctica</t>
  </si>
  <si>
    <t>Antarctic krill; Euphausia superba; Crystal krill; E. crystallorophias; Pleuragramma antarctica; Habitat characteristics; Ross Sea; Antarctic</t>
  </si>
  <si>
    <t>TERRA-NOVA BAY; LARVAL EUPHAUSIA-SUPERBA; EARLY-LIFE STAGES; PLEURAGRAMMA-ANTARCTICUM; SPATIAL-DISTRIBUTION; WEDDELL SEA; MARGUERITE BAY; PRYDZ BAY; VERTICAL-DISTRIBUTION; E-CRYSTALLOROPHIAS</t>
  </si>
  <si>
    <t>Antarctic krill Euphausia superba, crystal krill E. crystallorophias, and Antarctic silverfish Pleuragramma antarctica are key mid-trophic level species in the Ross Sea, connecting primary production to the upper trophic levels. Distributions of these species were constructed from observations made in the western Ross Sea from 1988 to 2004. Distributions of environmental conditions were obtained from a 5-km resolution circulation model (temperature, mixed layer depth, surface speed) and satellite-derived observations (chlorophyll, sea ice cover). A hierarchy of statistical methods determined correlations and relationships between species and environmental conditions. Each species occupies a localized habitat defined by different environmental characteristics. Antarctic krill are concentrated along the northwestern shelf break in a habitat characterized by deep (&gt;1000 m) bottom depth, warm temperature (1 to 1.25 degrees C), decreased sea ice, and proximity to the shelf break. Crystal krill and Antarctic silverfish are concentrated in Terra Nova Bay. Common characteristics of the habitat for these species are southwesterly location, coastal proximity, and cold temperature (-1.75 to -2 degrees C). The habitat characteristics obtained for the 3 species provide a basis for projecting potential distribution changes in response to environmental change and for delineating regions of the Ross Sea for focused management and selection of marine protected areas that support ecosystem-level conservation plans.</t>
  </si>
  <si>
    <t>[Davis, L. Brynn; Hofmann, Eileen E.; Klinck, John M.; Dinniman, Michael S.] Old Dominion Univ, Ctr Coastal Phys Oceanog, Norfolk, VA 23508 USA; [Pinones, Andrea] Univ Austral Chile, Inst Ciencias Marinas &amp; Limnol, Casilla 567, Valdivia 5090000, Chile; [Pinones, Andrea] Univ Austral Chile, Ctr Invest Dinam Ecosistemas Marinos Altas Latitu, Valdivia 5090000, Chile; [Pinones, Andrea] Univ Concepcion, COPAS Sur Austral, Concepcion 4030000, Chile</t>
  </si>
  <si>
    <t>Old Dominion University; Universidad Austral de Chile; Universidad Austral de Chile; Universidad de Concepcion</t>
  </si>
  <si>
    <t>Davis, LB (corresponding author), Old Dominion Univ, Ctr Coastal Phys Oceanog, Norfolk, VA 23508 USA.</t>
  </si>
  <si>
    <t>LDavi062@odu.edu</t>
  </si>
  <si>
    <t>Dinniman, Michael/0000-0001-7519-9278; Pinones, Andrea/0000-0002-1737-9016; Klinck, John/0000-0003-4312-5201</t>
  </si>
  <si>
    <t>National Science Foundation, Office of Polar Programs [ANT-0944174, ANT-0838911]; Old Dominion University teaching and research assistantships; CONICYT through Program FONDAP [15150003]</t>
  </si>
  <si>
    <t>National Science Foundation, Office of Polar Programs(National Science Foundation (NSF)); Old Dominion University teaching and research assistantships; CONICYT through Program FONDAP</t>
  </si>
  <si>
    <t>This study was supported by the National Science Foundation, Office of Polar Programs Grants ANT-0944174 and ANT-0838911, and Old Dominion University teaching and research assistantships to L.B.D., and A.P. thanks CONICYT for support through the Program FONDAP, Project 15150003. Thoughtful comments provided by Peter Sedwick, Mark Butler, and Ari Friedlaender improved an earlier version of this manuscript. Statistical advice from Chester Grosch, data contributions from Dennis McGillicuddy, and Ross Sea circulation simulations from Stefanie Mack are graciously appreciated. We thank Marino Vacchi for providing unpublished CCAMLR documents describing some of the Italian Antarctic cruises. A special thanks to Ari Friedlaender for the guidance and enthusiasm throughout this research. L.B.D. thanks Julie Morgan for the introduction to CCPO. This research was the basis for L.B.D.'s MSc thesis.</t>
  </si>
  <si>
    <t>DEC 7</t>
  </si>
  <si>
    <t>10.3354/meps12347</t>
  </si>
  <si>
    <t>FQ3PK</t>
  </si>
  <si>
    <t>WOS:000418268900004</t>
  </si>
  <si>
    <t>De Paoli-Iseppi, R; Polanowski, AM; McMahon, C; Deagle, BE; Dickinson, JL; Hindell, MA; Jarman, SN</t>
  </si>
  <si>
    <t>De Paoli-Iseppi, Ricardo; Polanowski, Andrea M.; McMahon, Clive; Deagle, Bruce E.; Dickinson, Joanne L.; Hindell, Mark A.; Jarman, Simon N.</t>
  </si>
  <si>
    <t>DNA methylation levels in candidate genes associated with chronological age in mammals are not conserved in a long-lived seabird</t>
  </si>
  <si>
    <t>SENESCENCE; SAMPLES; POPULATIONS; WIDESPREAD; VIABILITY; SEQUENCES; ACCURACY; TISSUES; QUALITY; SEARCH</t>
  </si>
  <si>
    <t>Most seabirds do not have any outward identifiers of their chronological age, so estimation of seabird population age structure generally requires expensive, long-term banding studies. We investigated the potential to use a molecular age biomarker to estimate age in shorttailed shearwaters (Ardenna tenuirostris). We quantified DNA methylation in several A. tenuirostris genes that have shown age-related methylation changes in mammals. In birds ranging from chicks to 21 years of age, bisulphite treated blood and feather DNA was sequenced and methylation levels analysed in 67 CpG sites in 13 target gene regions. From blood samples, five of the top relationships with age were identified in KCNC3 loci (CpG66: R-2 = 0.325, p = 0.019). In feather samples ELOVL2 (CpG42: R-2 = 0.285, p = 0.00048) and EDARADD (CpG46: R-2 = 0.168, p = 0.0067) were also weakly correlated with age. However, the majority of markers had no clear association with age (of 131 comparisons only 12 had a p-value &lt; 0.05) and statistical analysis using a penalised lasso approach did not produce an accurate ageing model. Our data indicate that some age-related signatures identified in orthologous mammalian genes are not conserved in the long-lived short tailed shearwater. Alternative molecular approaches will be required to identify a reliable biomarker of chronological age in these seabirds.</t>
  </si>
  <si>
    <t>[De Paoli-Iseppi, Ricardo; McMahon, Clive; Hindell, Mark A.] Univ Tasmania, Inst Marine &amp; Antarctic Studies, Hobart, Tas, Australia; [De Paoli-Iseppi, Ricardo; Polanowski, Andrea M.; Deagle, Bruce E.] Australian Antarctic Div, Hobart, Tas, Australia; [McMahon, Clive] Sydney Inst Marine Sci, Sydney, NSW, Australia; [Dickinson, Joanne L.] Menzies Inst Res Tasmania, Canc Genet &amp; Immunol Grp, Hobart, Tas, Australia; [Jarman, Simon N.] Curtin Univ, Dept Environm &amp; Agr, Trace &amp; Environm DNA TrEnD Lab, Perth, WA, Australia; [Jarman, Simon N.] Univ Western Australia, CSIRO Indian Ocean Marine Res Ctr, Perth, WA, Australia</t>
  </si>
  <si>
    <t>University of Tasmania; Australian Antarctic Division; Sydney Institute of Marine Science; Curtin University; University of Western Australia</t>
  </si>
  <si>
    <t>De Paoli-Iseppi, R (corresponding author), Univ Tasmania, Inst Marine &amp; Antarctic Studies, Hobart, Tas, Australia.;De Paoli-Iseppi, R (corresponding author), Australian Antarctic Div, Hobart, Tas, Australia.</t>
  </si>
  <si>
    <t>ricardo.depaoliiseppi@utas.edu.au</t>
  </si>
  <si>
    <t>McMahon, Clive R/D-5713-2013; Hindell, Mark A/K-1131-2013; Dickinson, Joanne L/J-7728-2014; Deagle, Bruce E/R-2999-2019; Jarman, Simon/H-9265-2016</t>
  </si>
  <si>
    <t>McMahon, Clive R/0000-0001-5241-8917; Deagle, Bruce E/0000-0001-7651-3687; Hindell, Mark/0000-0002-7823-7185; De Paoli-Iseppi, Ricardo/0000-0001-7724-9144; Polanowski, Andrea/0000-0002-9612-220X; Dickinson, Joanne/0000-0003-4621-1703; Jarman, Simon/0000-0002-0792-9686</t>
  </si>
  <si>
    <t>Australian Antarctic Science project [4014]; Australian Government Research Training Program; Holsworth Wildlife Research Endowment-ANZ Trustees Foundation; Joyce W. Vickery Scientific Research Fund - The Linnean Society of New South Wales</t>
  </si>
  <si>
    <t>Australian Antarctic Science project; Australian Government Research Training Program(Australian Government); Holsworth Wildlife Research Endowment-ANZ Trustees Foundation; Joyce W. Vickery Scientific Research Fund - The Linnean Society of New South Wales</t>
  </si>
  <si>
    <t>This work was funded by Australian Antarctic Science project number: 4014 (BD, SNJ), the Australian Government Research Training Program (RDP), the Holsworth Wildlife Research Endowment-ANZ Trustees Foundation (RDP) (http://www.egt.com.au/charities-and-not-for-profits/grants/animals-and-environment-grants) and the Joyce W. Vickery Scientific Research Fund - The Linnean Society of New South Wales (RDP) (http://linneansocietynsw.org.au/). The funders had no role in study design, data collection and analysis, decision to publish, or preparation of the manuscript.; The authors would like to acknowledge the generous financial support through the Australian Government Research Training Program, the Holsworth Wildlife Research Endowment-ANZ Trustees Foundation and the Joyce W. Vickery Scientific Research Fund-The Linnean Society of New South Wales. We also thank James Marthick (MiSeq supervision and review), Cassandra Price (sample collection), WILDCARE Friends of Fisher Island, Ross Monash and DPIPWE volunteers (sample collection) and Tasmania Parks and Wildlife Service.</t>
  </si>
  <si>
    <t>e018918</t>
  </si>
  <si>
    <t>10.1371/journal.pone.0189181</t>
  </si>
  <si>
    <t>FP0ZD</t>
  </si>
  <si>
    <t>WOS:000417337800089</t>
  </si>
  <si>
    <t>Russ, GR; Lowe, JR; Rizzari, JR; Bergseth, BJ; Alcala, AC</t>
  </si>
  <si>
    <t>Russ, Garry R.; Lowe, Jake R.; Rizzari, Justin R.; Bergseth, Brock J.; Alcala, Angel C.</t>
  </si>
  <si>
    <t>Partitioning no-take marine reserve (NTMR) and benthic habitat effects on density of small and large-bodied tropical wrasses</t>
  </si>
  <si>
    <t>CORAL-REEF FISH; GREAT-BARRIER-REEF; LABRID FISHES; EXTINCTION VULNERABILITY; TROPHIC RELATIONSHIPS; PATTERNS; MANAGEMENT; ABUNDANCE; IMPACTS; BIODIVERSITY</t>
  </si>
  <si>
    <t>No-take marine reserves (NTMRs) are increasingly implemented for fisheries management and biodiversity conservation. Yet, assessing NTMR effectiveness depends on partitioning the effects of NTMR protection and benthic habitat on protected species. Such partitioning is often difficult, since most studies lack well-designed sampling programs (i.e. Before-After-Control-Impact-Pair designs) spanning long-term time scales. Spanning 31 years, this study quantifies the effects of NTMR protection and changes to benthic habitat on the density of tropical wrasses (F. Labridae) at Sumilon and Apo Islands, Philippines. Five species of wrasse were studied: two species of large-bodied (40-50 cm TL) Hemigymnus that were vulnerable to fishing, and three species of small-bodied (10-25 cm TL) Thalassoma and Cirrhilabrus that were not targeted by fishing. NTMR protection had no measurable effect on wrasse density, irrespective of species or body size, over 20 (Sumilon) and 31 (Apo) years of protection. However, the density of wrasses was often affected strongly by benthic cover. Hemigymnus spp. had a positive association with hard coral cover, while Thalassoma spp. and Cirrhilabrus spp. had strong positive associations with cover of rubble and dead substratum. These associations were most apparent after environmental disturbances (typhoons, coral bleaching, crown of thorns starfish (COTS) outbreaks, use of explosives and drive nets) reduced live hard coral cover and increased cover of rubble, dead substratum and sand. Disturbances that reduced hard coral cover often reduced the density of Hemigymnus spp. and increased the density of Thalassoma spp. and Cirrhilabrus spp. rapidly (1- 2 years). As hard coral recovered, density of Hemigymnus spp. often increased while density of Thalassoma spp. and Cirrhilabrus spp. often decreased, often on scales of 5-10 years. This study demonstrates that wrasse population density was influenced more by changes to benthic cover than by protection from fishing.</t>
  </si>
  <si>
    <t>[Russ, Garry R.; Lowe, Jake R.; Rizzari, Justin R.] James Cook Univ, Coll Sci &amp; Engn, Townsville, Qld, Australia; [Russ, Garry R.; Rizzari, Justin R.; Bergseth, Brock J.] James Cook Univ, Ctr Excellence Coral Reef Studies, Australian Res Council, Townsville, Qld, Australia; [Rizzari, Justin R.] Univ Tasmania, Inst Marine &amp; Antarctic Studies, Fisheries &amp; Aquaculture Ctr, Hobart, Tas, Australia; [Alcala, Angel C.] SUAKCREM, Dumaguete, Negros, Philippines</t>
  </si>
  <si>
    <t>James Cook University; James Cook University; University of Tasmania</t>
  </si>
  <si>
    <t>Lowe, JR (corresponding author), James Cook Univ, Coll Sci &amp; Engn, Townsville, Qld, Australia.</t>
  </si>
  <si>
    <t>jake.lowe@my.jcu.edu.au</t>
  </si>
  <si>
    <t>Alcala, Angel C/B-2054-2013; Lowe, Jake/AAI-4407-2020</t>
  </si>
  <si>
    <t>Lowe, Jake/0000-0002-2001-646X; Bergseth, Brock/0000-0002-5486-175X</t>
  </si>
  <si>
    <t>ARC; Pew Fellowship; ARC Centre of Excellence for Coral Reef Studies [CE0561435, CE140100020]; Australian Government Research Training Program (RTP) Scholarship</t>
  </si>
  <si>
    <t>ARC(Australian Research Council); Pew Fellowship; ARC Centre of Excellence for Coral Reef Studies(Australian Research Council); Australian Government Research Training Program (RTP) Scholarship(Australian GovernmentDepartment of Industry, Innovation and Science)</t>
  </si>
  <si>
    <t>This research was funded by a Pew Fellowship (GRR and ACA), an ARC Discovery grant (GRR and ACA) and the ARC Centre of Excellence for Coral Reef Studies (GRR) (CE0561435, CE140100020). JRL was supported by an Australian Government Research Training Program (RTP) Scholarship.</t>
  </si>
  <si>
    <t>e0188515</t>
  </si>
  <si>
    <t>10.1371/journal.pone.0188515</t>
  </si>
  <si>
    <t>WOS:000417337800029</t>
  </si>
  <si>
    <t>Langlais, CE; Lenton, A; Matear, R; Monselesan, D; Legresy, B; Cougnon, E; Rintoul, S</t>
  </si>
  <si>
    <t>Langlais, C. E.; Lenton, A.; Matear, R.; Monselesan, D.; Legresy, B.; Cougnon, E.; Rintoul, S.</t>
  </si>
  <si>
    <t>Stationary Rossby waves dominate subduction of anthropogenic carbon in the Southern Ocean</t>
  </si>
  <si>
    <t>ANTARCTIC CIRCUMPOLAR CURRENT; MIXED-LAYER; WATER; TRANSPORT; CLIMATE; CIRCULATION; PATHWAYS; DIOXIDE; TRACERS; MODEL</t>
  </si>
  <si>
    <t>The Southern Ocean has taken up more than 40% of the total anthropogenic carbon (C-ant) stored in the oceans since the preindustrial era, mainly in subantarctic mode and intermediate waters (SAMW-AAIW). However, the physical mechanisms responsible for the transfer of C-ant into the ocean interior remain poorly understood. Here, we use high resolution (1/10 degrees) ocean simulations to investigate these mechanisms at the SAMW-AAIW subduction hotspots. Mesoscale Stationary Rossby Waves (SRWs), generated where the Antarctic Circumpolar Current interacts with topography, make the dominant contribution to the C-ant transfer in SAMW-AAIW in the Indian and Pacific sectors (66% and 95% respectively). Eddy-resolving simulations reproduce the observed C-ant sequestration in these layers, while lower spatial resolution models, that do not reproduce SRWs, underestimate the inventory of C-ant in these layers by 40% and overestimate the storage in denser layers. A key implication is that climate model simulations, that lack sufficient resolution to represent sequestration by SRWs, are therefore likely to overestimate the residence time of C-ant in the ocean, with implications for simulated rates of climate change.</t>
  </si>
  <si>
    <t>[Langlais, C. E.; Lenton, A.; Matear, R.; Monselesan, D.; Legresy, B.; Rintoul, S.] CSIRO Oceans &amp; Atmosphere, Hobart, Tas 7000, Australia; [Lenton, A.; Legresy, B.; Cougnon, E.; Rintoul, S.] Univ Tasmania, Antarctic Climate &amp; Ecosyst Cooperat Res Ctr, Private Bag 80, Hobart, Tas 7001, Australia; [Lenton, A.; Rintoul, S.] CSIRO Castray Esplanade, Ctr Southern Hemisphere Oceans Res, Hobart, Tas 7000, Australia; [Cougnon, E.] Univ Tasmania, Inst Marine &amp; Antarctic Studies, IMAS Hobart Private Bag 129, Hobart, Tas 7001, Australia</t>
  </si>
  <si>
    <t>Commonwealth Scientific &amp; Industrial Research Organisation (CSIRO); University of Tasmania; Antarctic Climate &amp; Ecosystems Cooperative Research Centre (ACE CRC); Commonwealth Scientific &amp; Industrial Research Organisation (CSIRO); University of Tasmania</t>
  </si>
  <si>
    <t>Langlais, CE (corresponding author), CSIRO Oceans &amp; Atmosphere, Hobart, Tas 7000, Australia.</t>
  </si>
  <si>
    <t>clothilde.langlais@gmail.com</t>
  </si>
  <si>
    <t>Rintoul, Stephen R/A-1471-2012; Langlais, Clothilde/AAI-9859-2021; legresy, benoit/K-6673-2018; Cougnon, Eva/C-4110-2014; Monselesan, Didier/A-2327-2012; Lenton, Andrew/D-2077-2012; matear, richard/C-5133-2011</t>
  </si>
  <si>
    <t>Rintoul, Stephen R/0000-0002-7055-9876; Langlais, Clothilde/0000-0002-6423-7678; legresy, benoit/0000-0002-1909-1630; Cougnon, Eva/0000-0002-8691-5935; Monselesan, Didier/0000-0002-0310-8995; Lenton, Andrew/0000-0001-9437-8896; matear, richard/0000-0002-3225-0800</t>
  </si>
  <si>
    <t>Australian Government's Cooperative Research Centre (CRC) program through Antarctic Climate and Ecosystems CRC; Earth Systems and Climate Change Hub - Australian Government's National Environmental Science Programme (NESP); CSIRO OCE (Office of the chief executive) science team postdoctoral program; CSIRO Oceans and Atmosphere Business Unit</t>
  </si>
  <si>
    <t>Australian Government's Cooperative Research Centre (CRC) program through Antarctic Climate and Ecosystems CRC(Australian GovernmentDepartment of Industry, Innovation and ScienceCooperative Research Centres (CRC) Programme); Earth Systems and Climate Change Hub - Australian Government's National Environmental Science Programme (NESP); CSIRO OCE (Office of the chief executive) science team postdoctoral program; CSIRO Oceans and Atmosphere Business Unit</t>
  </si>
  <si>
    <t>The authors acknowledge the funding support of the Australian Government's Cooperative Research Centre (CRC) program through the Antarctic Climate and Ecosystems CRC, and the Earth Systems and Climate Change Hub funded by the Australian Government's National Environmental Science Programme (NESP). C.E.L was supported by the CSIRO OCE (Office of the chief executive) science team postdoctoral program. This work used simulations performed within the frame of the Ocean downscaling strategic project funded by the CSIRO Oceans and Atmosphere Business Unit. We thank Xuebin Zhang, Matt Chamberlain and Russ Fiedler for their involvement in the project. Mean Dynamic Topography and geostrophic velocities were generated by DUACS and distributed by AVISO (ftp://ftp.aviso.oceanobs.com). GLODAP (GLobal Ocean Data Analysis Project) data were generated by CDIAC (Carbon Dioxide Information Analysis Centre). CARS climatology is a product of CSIRO Oceans and Atmosphere and was updated by DM using Argo only 2006-2015.</t>
  </si>
  <si>
    <t>DEC 6</t>
  </si>
  <si>
    <t>10.1038/s41598-017-17292-3</t>
  </si>
  <si>
    <t>FO8KR</t>
  </si>
  <si>
    <t>WOS:000417135800015</t>
  </si>
  <si>
    <t>Jones, RS; Norton, KP; Mackintosh, AN; Anderson, JTH; Kubik, P; Vockenhuber, C; Wittmann, H; Fink, D; Wilson, GS; Golledge, NR; McKay, R</t>
  </si>
  <si>
    <t>Jones, R. S.; Norton, K. P.; Mackintosh, A. N.; Anderson, J. T. H.; Kubik, P.; Vockenhuber, C.; Wittmann, H.; Fink, D.; Wilson, G. S.; Golledge, N. R.; McKay, R.</t>
  </si>
  <si>
    <t>Cosmogenic nuclides constrain surface fluctuations of an East Antarctic outlet glacier since the Pliocene</t>
  </si>
  <si>
    <t>Antarctica; ice sheet; cosmogenic nuclides; Pliocene; Pleistocene; paleoclimate</t>
  </si>
  <si>
    <t>NORTHERN VICTORIA LAND; MARIE-BYRD-LAND; ICE-SHEET; PRODUCTION-RATES; EXPOSURE AGES; HALF-LIFE; BE-10; EROSION; AL-26; MOUNTAINS</t>
  </si>
  <si>
    <t>Understanding past changes in the Antarctic ice sheets provides insight into how they might respond to future climate warming. During the Pliocene and Pleistocene, geological data show that the East Antarctic Ice Sheet responded to glacial and interglacial cycles by remaining relatively stable in its interior, but oscillating at its marine-based margin. It is currently not clear how outlet glaciers, which connect the ice sheet interior to its margin, responded to these orbitally-paced climate cycles. Here we report new ice surface constraints from Skelton Glacier, an outlet of the East Antarctic ice sheet, which drains into the Ross Ice Shelf. Our multiple-isotope (Be-10 and Al-26) cosmogenic nuclide data indicate that currently ice-free areas adjacent to the glacier underwent substantial periods of exposure and ice cover in the past. We use an exposure-burial model driven by orbitally-paced glacial-interglacial cycles to determine the probable ice surface history implied by our data. This analysis shows that: 1) the glacier surface has likely fluctuated since at least the Pliocene; 2) the ice surface was &gt; 200 m higher than today during glacial periods, and the glacier has been thicker than present for similar to 75-90% of each glacial-interglacial cycle; and 3) ice cover at higher elevations possibly occurred for a relatively shorter time per Pliocene cycle than Pleistocene cycle. Our multiple-nuclide approach demonstrates the magnitude of ice surface fluctuations during the Pliocene and Pleistocene that are linked to marine-based ice margin variability. (C) 2017 Elsevier B.V. All rights reserved.</t>
  </si>
  <si>
    <t>[Jones, R. S.; Mackintosh, A. N.; Golledge, N. R.; McKay, R.] Victoria Univ Wellington, Antarctic Res Ctr, POB 600, Wellington 6140, New Zealand; [Jones, R. S.; Norton, K. P.; Mackintosh, A. N.] Victoria Univ Wellington, Sch Geog Environm &amp; Earth Sci, POB 600, Wellington 6140, New Zealand; [Jones, R. S.] Univ Durham, Dept Geog, Sci Labs, South Rd, Durham DH1 3LE, England; [Anderson, J. T. H.; Wilson, G. S.] Univ Otago, Geol Dept, POB 56, Dunedin 9054, New Zealand; [Anderson, J. T. H.; Wilson, G. S.] Univ Otago, Dept Marine Sci, 310 Castle St, Dunedin 9016, New Zealand; [Kubik, P.; Vockenhuber, C.] ETH, Lab Ion Beam Phys, Otto Stern Weg 5, CH-8093 Zurich, Switzerland; [Wittmann, H.] GFZ Deutsch GeoForschungszentrum, Helmholtz Zentrum Potsdam, D-14473 Potsdam, Germany; [Fink, D.] ANSTO, Menai, NSW 2234, Australia; [Golledge, N. R.] GNS Sci, Lower Hutt, New Zealand; [Jones, R. S.] Univ Durham, Dept Geog, Durham, England</t>
  </si>
  <si>
    <t>Victoria University Wellington; Victoria University Wellington; Durham University; University of Otago; University of Otago; Swiss Federal Institutes of Technology Domain; ETH Zurich; Helmholtz Association; Helmholtz-Center Potsdam GFZ German Research Center for Geosciences; Australian Nuclear Science &amp; Technology Organisation; GNS Science - New Zealand; Durham University</t>
  </si>
  <si>
    <t>Jones, RS (corresponding author), Victoria Univ Wellington, Antarctic Res Ctr, POB 600, Wellington 6140, New Zealand.;Jones, RS (corresponding author), Victoria Univ Wellington, Sch Geog Environm &amp; Earth Sci, POB 600, Wellington 6140, New Zealand.;Jones, RS (corresponding author), Univ Durham, Dept Geog, Sci Labs, South Rd, Durham DH1 3LE, England.;Jones, RS (corresponding author), Univ Durham, Dept Geog, Durham, England.</t>
  </si>
  <si>
    <t>sjones@durham.ac.uk</t>
  </si>
  <si>
    <t>fink, David/A-9518-2012; Wilson, Gary S/B-3803-2010; Jones, Richard Selwyn/AAJ-3949-2021; Norton, Kevin/F-1606-2011; Wittmann, Hella/F-9391-2011</t>
  </si>
  <si>
    <t>fink, David/0000-0001-7156-4602; Jones, Richard Selwyn/0000-0003-2988-0999; Vockenhuber, Christof/0000-0002-2141-0733; Norton, Kevin/0000-0002-7995-6464; Wittmann, Hella/0000-0002-1252-7059; McKay, Robert/0000-0002-5602-6985; Golledge, Nicholas/0000-0001-7676-8970; Anderson, Jacob/0000-0002-4329-4200; Wilson, Gary/0000-0003-0025-3641; Mackintosh, Andrew/0000-0002-6430-4711</t>
  </si>
  <si>
    <t>MBIE; Victoria Doctoral Scholarship; New Zealand Antarctic Research Institute grant; Antarctica New Zealand - New Zealand Government (MBIE) [C05X1001]; Australian Institute of Nuclear Science and Engineering (AINSE) [10925]; University of Otago; Antarctic Science Bursary grant; AINSE grant [09015]; New Zealand Ministry of Business, Innovation &amp; Employment (MBIE) [C05X1001] Funding Source: New Zealand Ministry of Business, Innovation &amp; Employment (MBIE)</t>
  </si>
  <si>
    <t>MBIE(New Zealand Ministry of Business, Innovation and Employment (MBIE)); Victoria Doctoral Scholarship; New Zealand Antarctic Research Institute grant; Antarctica New Zealand - New Zealand Government (MBIE)(New Zealand Ministry of Business, Innovation and Employment (MBIE)); Australian Institute of Nuclear Science and Engineering (AINSE); University of Otago; Antarctic Science Bursary grant; AINSE grant; New Zealand Ministry of Business, Innovation &amp; Employment (MBIE)(New Zealand Ministry of Business, Innovation and Employment (MBIE))</t>
  </si>
  <si>
    <t>This work was supported by the MBIE Past Antarctic Climate and Future Implications program (Impact Statement 1 'Response of the Antarctic Ice Sheet to transient climate change', A.N.M., G.S.W. and N.R.G.). Additionally, R.S.J. was supported by a Victoria Doctoral Scholarship and New Zealand Antarctic Research Institute grant. We acknowledge field support from Antarctica New Zealand, which was funded by the New Zealand Government (MBIE) contract C05X1001 to G.S.W. J.T.H.A. was supported by an Australian Institute of Nuclear Science and Engineering (AINSE) Postgraduate award (10925) and a University of Otago departmental award. Sample preparation and measurements were made possible by Antarctic Science Bursary and AINSE (09015) grants. We thank B. Dagg and A. Cole for help in the field, and T. Naish, M. Bentley and three anonymous reviewers for constructive comments that improved this paper.</t>
  </si>
  <si>
    <t>DEC 5</t>
  </si>
  <si>
    <t>10.1016/j.epsl.2017.09.014</t>
  </si>
  <si>
    <t>FO5GJ</t>
  </si>
  <si>
    <t>WOS:000416881200008</t>
  </si>
  <si>
    <t>Bevan, SL; Luckman, A; Hubbard, B; Kulessa, B; Ashmore, D; Munneke, PK; O'Leary, M; Booth, A; Sevestre, H; McGrath, D</t>
  </si>
  <si>
    <t>Bevan, Suzanne L.; Luckman, Adrian; Hubbard, Bryn; Kulessa, Bernd; Ashmore, David; Munneke, Peter Kuipers; O'Leary, Martin; Booth, Adam; Sevestre, Heidi; McGrath, Daniel</t>
  </si>
  <si>
    <t>Centuries of intense surface melt on Larsen C Ice Shelf</t>
  </si>
  <si>
    <t>ANTARCTIC PENINSULA; MASS-BALANCE; MELTWATER STORAGE; CLIMATE-CHANGE; ANNULAR MODE; SEA-LEVEL; BREAK-UP; STABILITY; FIRN; COLLAPSE</t>
  </si>
  <si>
    <t>Following a southward progression of ice-shelf disintegration along the Antarctic Peninsula (AP), Larsen C Ice Shelf (LCIS) has become the focus of ongoing investigation regarding its future stability. The ice shelf experiences surface melt and commonly features surface meltwater ponds. Here, we use a flow-line model and a firn density model (FDM) to date and interpret observations of melt-affected ice layers found within five 90m boreholes distributed across the ice shelf. We find that units of ice within the boreholes, which have densities exceeding those expected under normal dry compaction metamorphism, correspond to two climatic warm periods within the last 300 years on the Antarctic Peninsula. The more recent warm period, from the 1960s onwards, has generated distinct sections of dense ice measured in two boreholes in Cabinet Inlet, which is close to the Antarctic Peninsula mountains -a region affected by fohn winds. Previous work has classified these layers as re-frozen pond ice, requiring large quantities of mobile liquid water to form. Our flow-line model shows that, whilst preconditioning of the snow began in the late 1960s, it was probably not until the early 1990s that the modern period of ponding began. The earlier warm period occurred during the 18th century and resulted in two additional sections of anomalously dense ice deep within the boreholes. The first, at 61m in one of our Cabinet Inlet boreholes, consists of ice characteristic of refrozen ponds and must have formed in an area currently featuring ponding. The second, at 69m in a mid-shelf borehole, formed at the same time on the edge of the pond area. Further south, the boreholes sample ice that is of an equivalent age but which does not exhibit the same degree of melt influence. This west-east and north-south gradient in the past melt distribution resembles current spatial patterns of surface melt intensity.</t>
  </si>
  <si>
    <t>[Bevan, Suzanne L.; Luckman, Adrian; Kulessa, Bernd; O'Leary, Martin] Swansea Univ, Coll Sci, Geog Dept, Singleton Pk, Swansea SA2 8PP, W Glam, Wales; [Hubbard, Bryn] Aberystwyth Univ, Dept Geog &amp; Earth Sci, Ctr Glaciol, Aberystwyth SY23 3DB, Dyfed, Wales; [Ashmore, David] Univ Liverpool, Sch Environm Sci, Roxby Bldg, Liverpool L69 7ZT, Merseyside, England; [Munneke, Peter Kuipers] Univ Utrecht, Inst Marine &amp; Atmospher Res, Utrecht IMAU, POB 80000, NL-3508 TA Utrecht, Netherlands; [Booth, Adam] Univ Leeds, Sch Earth &amp; Environm, Leeds LS2 9JT, W Yorkshire, England; [Sevestre, Heidi] Univ St Andrews, Sch Geog &amp; Geosci, Coll Gate, St Andrews KY16 9AJ, Fife, Scotland; [McGrath, Daniel] Colorado State Univ, Dept Geosci, Ft Collins, CO 80523 USA</t>
  </si>
  <si>
    <t>Swansea University; Aberystwyth University; University of Liverpool; Utrecht University; University of Leeds; University of St Andrews; Colorado State University</t>
  </si>
  <si>
    <t>Bevan, SL (corresponding author), Swansea Univ, Coll Sci, Geog Dept, Singleton Pk, Swansea SA2 8PP, W Glam, Wales.</t>
  </si>
  <si>
    <t>s.l.bevan@swansea.ac.uk</t>
  </si>
  <si>
    <t>Luckman, Adrian/GVS-1716-2022</t>
  </si>
  <si>
    <t>MCGRATH, DANIEL/0000-0002-9462-6842; Booth, Adam/0000-0002-8166-9608; Hubbard, Bryn/0000-0002-3565-3875; Luckman, Adrian/0000-0002-9618-5905; Ashmore, David/0000-0003-4829-7854; Kulessa, Bernd/0000-0002-4830-4949; Bevan, Suzanne/0000-0003-2649-2982</t>
  </si>
  <si>
    <t>Natural Environment Research Council (NERC) [NE/L006707/1, NE/L005409/1]; Higher Education Funding Council for Wales (HEFCW); Aberystwyth University; NERC [NE/L006707/1, NE/L005409/1] Funding Source: UKRI; Natural Environment Research Council [NE/L005409/1, NE/L006707/1] Funding Source: researchfish</t>
  </si>
  <si>
    <t>Natural Environment Research Council (NERC)(UK Research &amp; Innovation (UKRI)Natural Environment Research Council (NERC)); Higher Education Funding Council for Wales (HEFCW)(UK Research &amp; Innovation (UKRI)Higher Education Funding Council for England (HEFCE)); Aberystwyth University; NERC(UK Research &amp; Innovation (UKRI)Natural Environment Research Council (NERC)); Natural Environment Research Council(UK Research &amp; Innovation (UKRI)Natural Environment Research Council (NERC))</t>
  </si>
  <si>
    <t>The research was funded by the Natural Environment Research Council (NERC) grants NE/L006707/1 and NE/L005409/1. Navigation in the field was performed via a Leica VIVA GS10 GNSS loaned from the NERC Geophysical Equipment Facility (loan number 1028). Bryn Hubbard acknowledges Capital Equipment Grant support from the Higher Education Funding Council for Wales (HEFCW) and Aberystwyth University. The British Antarctic Survey provided logistical support in the field, and we thank our field assistants Ashley Fusiarski, Nick Gillett, Alan Davies, and Bradley Morrell. Any use of trade, firm, or product names is for descriptive purposes only and does not imply endorsement by the US Government.</t>
  </si>
  <si>
    <t>10.5194/tc-11-2743-2017</t>
  </si>
  <si>
    <t>FO7OS</t>
  </si>
  <si>
    <t>WOS:000417066300001</t>
  </si>
  <si>
    <t>Gossart, A; Souverijns, N; Gorodetskaya, IV; Lhermitte, S; Lenaerts, JTM; Schween, JH; Mangold, A; Laffineur, Q; van Lipzig, NPM</t>
  </si>
  <si>
    <t>Gossart, Alexandra; Souverijns, Niels; Gorodetskaya, Irina V.; Lhermitte, Stef; Lenaerts, Jan T. M.; Schween, Jan H.; Mangold, Alexander; Laffineur, Quentin; van Lipzig, Nicole P. M.</t>
  </si>
  <si>
    <t>Blowing snow detection from ground-based ceilometers: application to East Antarctica</t>
  </si>
  <si>
    <t>SURFACE MASS-BALANCE; THRESHOLD WIND-SPEEDS; MIXING-LAYER HEIGHT; DRONNING MAUD LAND; ADELIE LAND; SNOWDRIFT SUBLIMATION; DRIFTING SNOW; LIDAR; TRANSPORT; AEROSOL</t>
  </si>
  <si>
    <t>Blowing snow impacts Antarctic ice sheet surface mass balance by snow redistribution and sublimation. However, numerical models poorly represent blowing snow processes, while direct observations are limited in space and time. Satellite retrieval of blowing snow is hindered by clouds and only the strongest events are considered. Here, we develop a blowing snow detection (BSD) algorithm for ground-based remote-sensing ceilometers in polar regions and apply it to ceilometers at Neumayer III and Princess Elisabeth (PE) stations, East Antarctica. The algorithm is able to detect (heavy) blowing snow layers reaching 30m height. Results show that 78% of the detected events are in agreement with visual observations at Neumayer III station. The BSD algorithm detects heavy blowing snow 36% of the time at Neumayer (2011-2015) and 13% at PE station (20102016). Blowing snow occurrence peaks during the austral winter and shows around 5% interannual variability. The BSD algorithm is capable of detecting blowing snow both lifted from the ground and occurring during precipitation, which is an added value since results indicate that 92% of the blowing snow is during synoptic events, often combined with precipitation. Analysis of atmospheric meteorological variables shows that blowing snow occurrence strongly depends on fresh snow availability in addition to wind speed. This finding challenges the commonly used parametrizations, where the threshold for snow particles to be lifted is a function of wind speed only. Blowing snow occurs predominantly during storms and overcast conditions, shortly after precipitation events, and can reach up to 1300ma:g:l: in the case of heavy mixed events (precipitation and blowing snow together). These results suggest that synoptic conditions play an important role in generating blowing snow events and that fresh snow availability should be considered in determining the blowing snow onset.</t>
  </si>
  <si>
    <t>[Gossart, Alexandra; Souverijns, Niels; Gorodetskaya, Irina V.; Lhermitte, Stef; Lenaerts, Jan T. M.; van Lipzig, Nicole P. M.] Katholieke Univ Leuven, Dept Earth &amp; Environm Sci, Leuven, Belgium; [Gorodetskaya, Irina V.] Univ Aveiro, Dept Phys, Ctr Environm &amp; Marine Sci, Aveiro, Portugal; [Lhermitte, Stef] Delft Univ Technol, Dept Geosci &amp; Remote Sensing, Delft, Netherlands; [Lenaerts, Jan T. M.] Univ Utrecht, Inst Marine &amp; Atmospher Res Utrecht, Utrecht, Netherlands; [Lenaerts, Jan T. M.] Univ Colorado, Dept Atmospher &amp; Ocean Sci, Boulder, CO 80309 USA; [Schween, Jan H.] Univ Cologne, Inst Geophys &amp; Meteorol, Cologne, Germany; [Mangold, Alexander; Laffineur, Quentin] Royal Meteorol Inst Belgium, Brussels, Belgium</t>
  </si>
  <si>
    <t>KU Leuven; Universidade de Aveiro; Delft University of Technology; Utrecht University; University of Colorado System; University of Colorado Boulder; University of Cologne; Royal Meteorological Institute of Belgium</t>
  </si>
  <si>
    <t>Gossart, A (corresponding author), Katholieke Univ Leuven, Dept Earth &amp; Environm Sci, Leuven, Belgium.</t>
  </si>
  <si>
    <t>alexandra.gossart@kuleuven.be</t>
  </si>
  <si>
    <t>Souverijns, Niels/AAB-2142-2019; Gossart, Alexandra/AAK-8903-2020; Laffineur, Quentin/I-6345-2012; Lhermitte, Stef (Stefaan)/A-3385-2013; Lenaerts, Jan/D-9423-2012; van Lipzig, Nicole/ABF-2964-2021; Gorodetskaya, Irina/K-1987-2015</t>
  </si>
  <si>
    <t>Souverijns, Niels/0000-0003-4695-9754; Gossart, Alexandra/0000-0002-1927-2685; Lhermitte, Stef (Stefaan)/0000-0002-1622-0177; Lenaerts, Jan/0000-0003-4309-4011; van Lipzig, Nicole/0000-0003-2899-4046; Laffineur, Quentin/0000-0002-7310-4666; Gorodetskaya, Irina/0000-0002-2294-7823; Schween, Jan Herbert/0000-0001-6686-1207</t>
  </si>
  <si>
    <t>Research Foundation Flanders (FWO) [BR/143/A2/AEROCLOUD]; Belgian Federal Science Policy (BELSPO) [BR/143/A2/AEROCLOUD]</t>
  </si>
  <si>
    <t>Research Foundation Flanders (FWO)(FWO); Belgian Federal Science Policy (BELSPO)(Belgian Federal Science Policy Office)</t>
  </si>
  <si>
    <t>We are grateful to the Research Foundation Flanders (FWO) and the Belgian Federal Science Policy (BELSPO) for the financial support of the AEROCLOUD project (BR/143/A2/AEROCLOUD). We thank the logistic team and the Royal Meteorological Institute for executing the yearly maintenance of our instruments at the Princess Elisabeth station. We further thank Wim Boot, Carleen Reijmer and Michiel van den Broeke (Institute for Marine and Atmospheric Research Utrecht) for the development of the automatic weather station, technical support and raw data processing. We warmly thank World Radiation Monitoring Center for providing the Baseline Surface Network Radiation dataset at Neumayer station and Gert Konig-Langlo for the CL-51 ceilometer data and information about the visual observations. We further thank the Norwegian Polar Institute for the use of the free Quantarctica package, as well as Bindschadler et al. (2011) and Bamber et al. (2009) for the datasets.</t>
  </si>
  <si>
    <t>10.5194/tc-11-2755-2017</t>
  </si>
  <si>
    <t>gold, Green Submitted, Green Published, Green Accepted</t>
  </si>
  <si>
    <t>WOS:000417066300002</t>
  </si>
  <si>
    <t>Nash, SMB; Wild, SJ; Hawker, DW; Cropp, RA; Hung, H; Wania, F; Xiao, H; Bohlin-Nizzetto, P; Bignert, A; Broomhall, S</t>
  </si>
  <si>
    <t>Nash, Susan M. Bengtson; Wild, Sean J.; Hawker, Darryl W.; Cropp, Roger A.; Hung, Hayley; Wania, Frank; Xiao, Hang; Bohlin-Nizzetto, Pernilla; Bignert, Anders; Broomhall, Sara</t>
  </si>
  <si>
    <t>Persistent Organic Pollutants in the East Antarctic Atmosphere: Inter-Annual Observations from 2010 to 2015 Using High-Flow-Through Passive Sampling</t>
  </si>
  <si>
    <t>ENVIRONMENTAL SCIENCE &amp; TECHNOLOGY</t>
  </si>
  <si>
    <t>LONG-RANGE TRANSPORT; HEMISPHERE HUMPBACK WHALES; ORGANOCHLORINE PESTICIDES; SOUTHERN-OCEAN; POLYCHLORINATED-BIPHENYLS; GLOBAL FRACTIONATION; FLAME RETARDANTS; ATLANTIC-OCEAN; CHEMICAL FATE; AIR</t>
  </si>
  <si>
    <t>In the first multiyear sampling effort for POPs in the eastern Antarctic atmosphere, 32 PCBs and 38 organochlorine pesticides were targeted in air collected with a high-flow-through passive sampler. Agricultural chemicals were found to dominate atmospheric profiles, in particular HCB and endosulfan-I, with average concentrations of 12 600 and 550 fg/m(3), respectively. HCB showed higher concentrations in the austral summer, indicative of local, temperature-dependent volatilisation, while endosulfan-I appeared to show fresh, late-austral-summer input followed by temporally decreasing levels throughout the year. The current-use herbicide, trifluralin, and the legacy pesticides mirex and toxaphene, were detected in Antarctic air for the first time. Trifluralin was observed at low but increasing levels over the five-year period. Its detection in the Antarctic atmosphere provides evidence of its persistence and long-range environmental transport capability. While a time frame of five years exceeds the duration of most Antarctic air monitoring efforts, it is projected that continuous monitoring at the decadal scale is required to detect an annual 10% change in atmospheric concentrations of key analytes. This finding emphasizes the importance of continuous, long-term monitoring efforts in polar regions, that serve a special role as sentinel environments of hemispheric chemical usage trends.</t>
  </si>
  <si>
    <t>[Nash, Susan M. Bengtson; Wild, Sean J.] Griffith Univ, Environm Futures Res Inst, 170 Kessels Rd, Nathan, Qld 4111, Australia; [Hawker, Darryl W.; Cropp, Roger A.] Griffith Univ, Sch Environm, 170 Kessels Rd, Nathan, Qld 4111, Australia; [Hung, Hayley] Environm &amp; Climate Change Canada, Air Qual Proc Res Sect, Toronto, ON M3H 5T4, Canada; [Wania, Frank] Univ Toronto, Dept Phys &amp; Environm Sci, Scarborough, ON M1C 1A4, Canada; [Xiao, Hang] Chinese Acad Sci, Inst Urban Environm, Ctr Excellence Reg Atmospher Environm, Xiamen 361021, Peoples R China; [Bohlin-Nizzetto, Pernilla] NILU Norwegian Inst Air Res, N-2027 Kjeller, Norway; [Bignert, Anders] Swedish Museum Nat Hist, S-11418 Stockholm, Sweden; [Broomhall, Sara] Australian Dept Environm &amp; Energy, Chem Management, Canberra, ACT 2600, Australia</t>
  </si>
  <si>
    <t>Griffith University; Griffith University; Environment &amp; Climate Change Canada; University of Toronto; University Toronto Scarborough; Chinese Academy of Sciences; Institute of Urban Environment, CAS; NILU; Swedish Museum of Natural History</t>
  </si>
  <si>
    <t>Nash, SMB (corresponding author), Griffith Univ, Environm Futures Res Inst, 170 Kessels Rd, Nathan, Qld 4111, Australia.</t>
  </si>
  <si>
    <t>s.bengtsonnash@griffith.edu.au</t>
  </si>
  <si>
    <t>Bohlin-Nizzetto, Pernilla/C-3345-2019; Bengtson Nash, Susan/GMX-4611-2022; Cropp, Roger/C-1019-2008; Wania, Frank/JAX-3216-2023; Wania, Frank/J-2532-2012; Xiao, Hang/A-5150-2009; Xiao, Hang/L-7596-2019; Bengtson Nash, Susan/I-3942-2015; Hung, Hayley/AAS-2215-2021</t>
  </si>
  <si>
    <t>Bengtson Nash, Susan/0000-0001-5928-0850; Wania, Frank/0000-0003-3836-0901; Wania, Frank/0000-0003-3836-0901; Xiao, Hang/0000-0002-9240-156X; Xiao, Hang/0000-0002-9240-156X; Bengtson Nash, Susan/0000-0001-5928-0850; Hung, Hayley/0000-0003-0719-8948; Bohlin-Nizzetto, Pernilla/0000-0003-2835-8509</t>
  </si>
  <si>
    <t>Australian Federal Government Department of the Environment; Australian Antarctic Division [3115, 5012]; Griffith University Australian Postgraduate Award</t>
  </si>
  <si>
    <t>Australian Federal Government Department of the Environment; Australian Antarctic Division; Griffith University Australian Postgraduate Award</t>
  </si>
  <si>
    <t>This work was funded by the Australian Federal Government Department of the Environment and logistical support provided by the Australian Antarctic Division under Australian Antarctic Science grant 3115 and Non-Science grant 5012. We thank overwintering expeditioners at Casey Station, Antarctica, who were responsible for the changeover of air cartridges throughout the study, namely Kevin Harmey, Steve McDonald, Shane Kern and Doug McVeigh. Seanan Wild acknowledges receipt of a Griffith University Australian Postgraduate Award.</t>
  </si>
  <si>
    <t>0013-936X</t>
  </si>
  <si>
    <t>1520-5851</t>
  </si>
  <si>
    <t>ENVIRON SCI TECHNOL</t>
  </si>
  <si>
    <t>Environ. Sci. Technol.</t>
  </si>
  <si>
    <t>10.1021/acs.est.7b04224</t>
  </si>
  <si>
    <t>FP3WU</t>
  </si>
  <si>
    <t>WOS:000417549500045</t>
  </si>
  <si>
    <t>Graven, H; Allison, CE; Etheridge, DM; Hammer, S; Keeling, RF; Levin, I; Meijer, HAJ; Rubino, M; Tans, PP; Trudinger, CM; Vaughn, BH; White, JWC</t>
  </si>
  <si>
    <t>Graven, Heather; Allison, Colin E.; Etheridge, David M.; Hammer, Samuel; Keeling, Ralph F.; Levin, Ingeborg; Meijer, Harro A. J.; Rubino, Mauro; Tans, Pieter P.; Trudinger, Cathy M.; Vaughn, Bruce H.; White, James W. C.</t>
  </si>
  <si>
    <t>Compiled records of carbon isotopes in atmospheric CO2 for historical simulations in CMIP6</t>
  </si>
  <si>
    <t>GEOSCIENTIFIC MODEL DEVELOPMENT</t>
  </si>
  <si>
    <t>OCEAN MODEL; RADIOCARBON CONSTRAINTS; DIOXIDE EXCHANGE; GAS-EXCHANGE; C-14; (CO2)-C-14; CALIBRATION; DELTA-C-13; GRADIENT; INCREASE</t>
  </si>
  <si>
    <t>The isotopic composition of carbon (Delta C-14 and delta C-13) in atmospheric CO2 and in oceanic and terrestrial carbon reservoirs is influenced by anthropogenic emissions and by natural carbon exchanges, which can respond to and drive changes in climate. Simulations of C-14 and C-13 in the ocean and terrestrial components of Earth system models (ESMs) present opportunities for model evaluation and for investigation of carbon cycling, including anthropogenic CO2 emissions and uptake. The use of carbon isotopes in novel evaluation of the ESMs' component ocean and terrestrial biosphere models and in new analyses of historical changes may improve predictions of future changes in the carbon cycle and climate system. We compile existing data to produce records of Delta C-14 and delta C-13 in atmospheric CO2 for the historical period 1850-2015. The primary motivation for this compilation is to provide the atmospheric boundary condition for historical simulations in the Coupled Model Intercomparison Project 6 (CMIP6) for models simulating carbon isotopes in the ocean or terrestrial biosphere. The data may also be useful for other carbon cycle modelling activities.</t>
  </si>
  <si>
    <t>[Graven, Heather] Imperial Coll London, Dept Phys, London, England; [Allison, Colin E.; Etheridge, David M.; Trudinger, Cathy M.] CSIRO Climate Sci Ctr, Oceans &amp; Atmosphere, Aspendale, Vic, Australia; [Hammer, Samuel; Levin, Ingeborg] Heidelberg Univ, Inst Umweltphys, Heidelberg, Germany; [Keeling, Ralph F.] Univ Calif San Diego, Scripps Inst Oceanog, San Diego, CA 92103 USA; [Meijer, Harro A. J.] Univ Groningen, Ctr Isotope Res, Groningen, Netherlands; [Rubino, Mauro] Univ Campania Luigi Vanvitelli, Dipartimento Matemat &amp; Fis, Caserta, Italy; [Tans, Pieter P.] NOAA, Boulder, CO USA; [Vaughn, Bruce H.; White, James W. C.] Univ Colorado, Inst Arctic &amp; Alpine Res, Boulder, CO 80309 USA</t>
  </si>
  <si>
    <t>Imperial College London; Commonwealth Scientific &amp; Industrial Research Organisation (CSIRO); Ruprecht Karls University Heidelberg; University of California System; University of California San Diego; Scripps Institution of Oceanography; University of Groningen; Universita della Campania Vanvitelli; National Oceanic Atmospheric Admin (NOAA) - USA; University of Colorado System; University of Colorado Boulder</t>
  </si>
  <si>
    <t>Graven, H (corresponding author), Imperial Coll London, Dept Phys, London, England.</t>
  </si>
  <si>
    <t>h.graven@imperial.ac.uk</t>
  </si>
  <si>
    <t>Rubino, Mauro/Q-5578-2016; White, James W.C./A-7845-2009; Meijer, Harro A J/A-5787-2012; Tans, Pieter/AAG-8273-2019; Etheridge, David M/B-7334-2013; Vaughn, Bruce/AAO-8867-2020; Trudinger, Cathy/A-2532-2008</t>
  </si>
  <si>
    <t>Tans, Pieter/0000-0002-9883-0787; Trudinger, Cathy/0000-0002-4844-2153; Allison, Colin/0000-0002-7796-6917; Meijer, Harro A.J./0000-0001-8744-5632; Graven, Heather/0000-0003-3934-2502; Etheridge, David/0000-0001-7970-2002; Rubino, Mauro/0000-0002-8721-4508; VAUGHN, BRUCE/0000-0001-6503-957X</t>
  </si>
  <si>
    <t>CSIRO; US National Science Foundation; Department of Energy; NASA [1304270, DE-SC0012167, NNX17AE74G]; Eric and Wendy Schmidt Fund for Strategic Innovation; NOAA Climate Program Office; Heidelberg Academy of Sciences; Ministry of Education and Science, Baden-Wurttemberg, Germany; German Science Foundation; German Ministry of the Environment; German Ministry of Science and Technology; German Umweltbundesamt; European Commission, Brussels; national funding agency in Australia; national funding agency in Canada; national funding agency in Spain; European Commission through a Marie Curie Career Integration Grant; NASA [NNX17AE74G, 1002252] Funding Source: Federal RePORTER</t>
  </si>
  <si>
    <t>CSIRO(Commonwealth Scientific &amp; Industrial Research Organisation (CSIRO)); US National Science Foundation(National Science Foundation (NSF)); Department of Energy(United States Department of Energy (DOE)); NASA(National Aeronautics &amp; Space Administration (NASA)); Eric and Wendy Schmidt Fund for Strategic Innovation; NOAA Climate Program Office(National Oceanic Atmospheric Admin (NOAA) - USA); Heidelberg Academy of Sciences; Ministry of Education and Science, Baden-Wurttemberg, Germany; German Science Foundation(German Research Foundation (DFG)); German Ministry of the Environment; German Ministry of Science and Technology; German Umweltbundesamt; European Commission, Brussels(European Union (EU)European Commission Joint Research Centre); national funding agency in Australia; national funding agency in Canada; national funding agency in Spain; European Commission through a Marie Curie Career Integration Grant(European Union (EU)); NASA(National Aeronautics &amp; Space Administration (NASA))</t>
  </si>
  <si>
    <t>We thank the staff of the atmospheric monitoring stations for their long-term commitment to the flask sampling activities. The teams of the Law Dome and South Pole drilling expeditions provided the firn air and ice core samples. CSIRO GASLAB and ICELAB personnel supported the measurements of air from the CSIRO monitoring network and firn and ice core samples. Logistic support was provided by the Australian Antarctic Division (Macquarie Island, Law Dome) and the Bureau of Meteorology (Cape Grim, Macquarie Island). The Australian Climate Change Science Program contributed to funding of the CSIRO measurements. Measurements at SIO were supported by the US National Science Foundation, Department of Energy and NASA under grants 1304270, DE-SC0012167, and NNX17AE74G, by the Eric and Wendy Schmidt Fund for Strategic Innovation, and by NOAA for collection of air samples. Measurements at NOAA and INSTAAR were supported by the NOAA Climate Program Office. Measurements at Heidelberg University were partly funded by a number of agencies in Germany and Europe, namely the Heidelberg Academy of Sciences, the Ministry of Education and Science, Baden-Wurttemberg, Germany; the German Science Foundation, the German Ministry of the Environment; the German Ministry of Science and Technology; the German Umweltbundesamt; the European Commission, Brussels; and national funding agencies in Australia, Canada and Spain. Heather Graven received support from the European Commission through a Marie Curie Career Integration Grant.</t>
  </si>
  <si>
    <t>1991-959X</t>
  </si>
  <si>
    <t>1991-9603</t>
  </si>
  <si>
    <t>GEOSCI MODEL DEV</t>
  </si>
  <si>
    <t>Geosci. Model Dev.</t>
  </si>
  <si>
    <t>10.5194/gmd-10-4405-2017</t>
  </si>
  <si>
    <t>FO7OK</t>
  </si>
  <si>
    <t>WOS:000417065500001</t>
  </si>
  <si>
    <t>Lau, JC; Rowell, G; Voisin, F; Braiding, C; Burton, M; Fukui, Y; Pointon, S; Ashley, M; Jordan, C; Walsh, A</t>
  </si>
  <si>
    <t>Lau, J. C.; Rowell, G.; Voisin, F.; Braiding, C.; Burton, M.; Fukui, Y.; Pointon, S.; Ashley, M.; Jordan, C.; Walsh, A.</t>
  </si>
  <si>
    <t>A Study of the Interstellar Medium Towards the Unidentified Dark TeV γ-Ray Sources HESS J1614-518 and HESS J1616-508</t>
  </si>
  <si>
    <t>gamma-rays: ISM; ISM: clouds; ISM: cosmic rays; molecular data</t>
  </si>
  <si>
    <t>PULSAR WIND NEBULAE; SUPERNOVA-REMNANTS; MOLECULAR CLOUDS; EMISSION; GAS; DISCOVERY; CATALOG; REGIONS; GALAXY; POPULATION</t>
  </si>
  <si>
    <t>HESS J1614-518 and HESS J1616-508 are two tera-electron volt gamma-ray sources that are not firmly associated with any known counterparts at other wavelengths. We investigate the distribution of interstellar medium towards the tera-electron volt gamma-ray sources using results from a 7-mm-wavelength Mopra study, the Mopra Southern Galactic Plane CO Survey, the Millimetre Astronomer's Legacy Team-45 GHz survey and [C i] data from the HEAT telescope. Data in the CO(1-0) transition lines reveal diffuse gas overlapping the two tera-electron volt sources at several velocities along the line of sight, while observations in the CS(1-0) transition line reveal several interesting dense gas features. To account for the diffuse atomic gas, archival H i data was taken from the Southern Galactic Plane Survey. The observations reveal gas components with masses similar to 10(3) to 10(5) M-circle dot and with densities similar to 10(2) to 10(3) cm(-3) overlapping the two tera-electron volt sources. Several origin scenarios potentially associated with the tera-electron volt gamma-ray sources are discussed in light of the distribution of the local interstellar medium. We find no strong convincing evidence linking any counterpart with HESS J1614-518 or HESS J1616-508.</t>
  </si>
  <si>
    <t>[Lau, J. C.; Rowell, G.; Voisin, F.] Univ Adelaide, Sch Phys Sci, Adelaide, SA 5005, Australia; [Braiding, C.; Burton, M.] Univ New South Wales, Sch Phys, Sydney, NSW 2052, Australia; [Burton, M.] Armagh Observ &amp; Planetarium, Coll Hill, Armagh BT61 9DG, North Ireland; [Fukui, Y.] Nagoya Univ, Dept Phys, Chikusa Ku, Furo Cho, Nagoya, Aichi 4648601, Japan; [Pointon, S.] Swinburne Univ Technol, Ctr Astrophys &amp; Supercomp, Hawthorn, Vic 3122, Australia; [Ashley, M.] Univ New South Wales, Sch Phys, Sydney, NSW 2052, Australia; [Jordan, C.; Walsh, A.] Curtin Univ, Int Ctr Radio Astron Res, Bentley, WA 6845, Australia</t>
  </si>
  <si>
    <t>University of Adelaide; University of New South Wales Sydney; Nagoya University; Swinburne University of Technology; University of New South Wales Sydney; Curtin University; University of Western Australia</t>
  </si>
  <si>
    <t>Lau, JC (corresponding author), Univ Adelaide, Sch Phys Sci, Adelaide, SA 5005, Australia.</t>
  </si>
  <si>
    <t>james.lau@adelaide.edu.au</t>
  </si>
  <si>
    <t>Ashley, Michael/0000-0003-1412-2028; Braiding, Catherine/0000-0002-6475-0797; Rowell, Gavin/0000-0002-9516-1581</t>
  </si>
  <si>
    <t>Australian Research Council (ARC); Monash university; ARC [DP120101585, LE160100094]; Australian Government Research Training Program Scholarships; National Science Foundation [ANT-0944335, AST-1410896]; Australian Governments Australian Antarctic Science Grant Program; NCRIS; UNSW; Sydney university; Australian Research Council [LE160100094] Funding Source: Australian Research Council; Grants-in-Aid for Scientific Research [15H05694] Funding Source: KAKEN</t>
  </si>
  <si>
    <t>Australian Research Council (ARC)(Australian Research Council); Monash university(Monash University); ARC(Australian Research Council); Australian Government Research Training Program Scholarships(Australian Government); National Science Foundation(National Science Foundation (NSF)); Australian Governments Australian Antarctic Science Grant Program(Australian Government); NCRIS(Australian GovernmentDepartment of Industry, Innovation and Science); UNSW; Sydney university(University of Sydney); Australian Research Council(Australian Research Council); Grants-in-Aid for Scientific Research(Ministry of Education, Culture, Sports, Science and Technology, Japan (MEXT)Japan Society for the Promotion of ScienceGrants-in-Aid for Scientific Research (KAKENHI))</t>
  </si>
  <si>
    <t>The Mopra radio telescope is part of the Australia Telescope National Facility. Operations support was provided by the University of New South Wales and the University of Adelaide. The UNSW Digital Filter Bank used for the observations with Mopra was provided with financial support from the Australian Research Council (ARC), UNSW, Sydney, and Monash universities. We also acknowledge ARC support through grants DP120101585 and LE160100094. J.C.L. and S.P. acknowledge support through the provision of Australian Government Research Training Program Scholarships. The HEAT telescope is financially supported by the National Science Foundation under award numbers ANT-0944335 and AST-1410896, with additional funding from the Australian Governments Australian Antarctic Science Grant Program and NCRIS, and with logistics through the United States Antarctic Program.</t>
  </si>
  <si>
    <t>DEC 4</t>
  </si>
  <si>
    <t>e064</t>
  </si>
  <si>
    <t>10.1017/pasa.2017.59</t>
  </si>
  <si>
    <t>FO5RS</t>
  </si>
  <si>
    <t>WOS:000416919000001</t>
  </si>
  <si>
    <t>Song, J; Mujahid, A; Lim, PT; Abu Samah, A; Quack, B; Pfeilsticker, K; Tang, SL; Ivanova, E; Müller, M</t>
  </si>
  <si>
    <t>Song, Jessica; Mujahid, Aazani; Lim, Po-Teen; Abu Samah, Azizan; Quack, Birgit; Pfeilsticker, Klaus; Tang, Sen-Lin; Ivanova, Elena; Mueller, Moritz</t>
  </si>
  <si>
    <t>Shotgun metagenomic analysis of microbial communities in the surface waters of the Eastern South China Sea</t>
  </si>
  <si>
    <t>MALAYSIAN JOURNAL OF MICROBIOLOGY</t>
  </si>
  <si>
    <t>Metagenomics; microbial communities; South China Sea</t>
  </si>
  <si>
    <t>BACTERIAL COMMUNITIES; DIVERSITY; DATABASE; ASSEMBLAGES; ADAPTATION; SEDIMENT; ARCHAEAL; ATLANTIC; GENES</t>
  </si>
  <si>
    <t>Aims: The South China Sea (SCS) harbours a rich biodiversity. However, few studies have been published on its diverse communities, particularly its microbial counterparts. As key players behind many of the vital processes carried out in the ocean, microbes are the focus of this study, placing particular emphasis on community composition, structure, and function. Methodology and results: By employing next generation shotgun sequencing technologies (Illumina HiSeq2000), we assessed the taxonomic structure and functional diversity of the prokaryotic communities in surface waters collected from 3 representative sites in the Eastern SCS: Sarawak (Kuching), Sabah (Kota Kinabalu), and Philippines (Manila). Comparisons were undertaken to similar studies from coastal and open ocean environments. All 3 locations were dominated by members of the Proteobacteria (Alpha-and Gamma-) and Cyanobacteria (Synechococcus sp. and Prochlorococcus sp.). The highest proportion of Gammaproteobacteria was found in Sarawak, representing an approximate 20% of total sequences. Archaeal assemblages were made up largely of Euryarchaeota and unclassified sequences, while Crenarchaeota and Thaumarchaeota were present in much smaller proportions, except in the Philippines where Thaumarchaeota made up almost 40% of the entire taxa. Conclusion, significance and impact of study: The majority of the microbial communities adhered to a core set of functional genes across the different locations. However, differences existed particularly in Sarawak waters which are hypothesized to be due to local environmental parameters such as riverine influence. The results obtained from this study provide the first comparison of prokaryotic communities in the surface waters of the eastern SCS and will serve as a good platform for prospective studies in the field of environmental science.</t>
  </si>
  <si>
    <t>[Song, Jessica; Mueller, Moritz] Swinburne Univ Technol, Fac Engn Comp &amp; Sci, Sarawak Campus, Kuching 93350, Sarawak, Malaysia; [Mujahid, Aazani] Univ Malaysia Sarawak, Fac Resource Sci &amp; Technol, Dept Aquat Sci, Kota Samarahan 93400, Sarawak, Malaysia; [Lim, Po-Teen] Univ Malaya, Inst Ocean &amp; Earth Sci, Bachok Marine Res Stn, Bachok 16310, Kelantan, Malaysia; [Abu Samah, Azizan] Univ Malaya, Inst Postgrad Studies Bldg, Natl Antarctic Res Ctr, Kuala Lumpur 50603, Malaysia; [Quack, Birgit] Helmholtz Ctr Ocean Res, GEOMAR, Marine Biogeochem, Kiel, Germany; [Pfeilsticker, Klaus] Heidelberg Univ, Inst Environm Phys, Heidelberg, Germany; [Tang, Sen-Lin] Acad Sinica, Biodivers Res Ctr, Taipei 115, Taiwan; [Ivanova, Elena] Swinburne Univ Technol, Fac Sci Engn &amp; Technol, Hawthorn, Vic, Australia</t>
  </si>
  <si>
    <t>Swinburne University of Technology Sarawak; Swinburne University of Technology; University of Malaysia Sarawak; Universiti Malaya; Universiti Malaya; Helmholtz Association; GEOMAR Helmholtz Center for Ocean Research Kiel; Ruprecht Karls University Heidelberg; Academia Sinica - Taiwan; Swinburne University of Technology</t>
  </si>
  <si>
    <t>Müller, M (corresponding author), Swinburne Univ Technol, Fac Engn Comp &amp; Sci, Sarawak Campus, Kuching 93350, Sarawak, Malaysia.</t>
  </si>
  <si>
    <t>mmueller@swinburne.edu.my</t>
  </si>
  <si>
    <t>Lim, Po Teen/C-9758-2013; Lim, Po Teen/K-7630-2019; Mujahid, Aazani/AAI-4421-2020; Müller, Moritz/D-1553-2013; ABU SAMAH, AZIZAN HJ/B-8295-2010</t>
  </si>
  <si>
    <t>Lim, Po Teen/0000-0003-2823-0564; Mujahid, Aazani/0000-0002-8672-8021; Müller, Moritz/0000-0001-8485-1598;</t>
  </si>
  <si>
    <t>European Union's Seventh Framework Programme FP7/2007-2013 [226224]</t>
  </si>
  <si>
    <t>European Union's Seventh Framework Programme FP7/2007-2013(European Union (EU))</t>
  </si>
  <si>
    <t>We thank graduate student, Ching-Hung Tseng, for his help with the bioinformatics analysis carried out in this study, and Samson Lee, Juliana Ho, and Nastassia Denis for their assistance in the lab work conducted, as well as to those involved on field for the collection of samples. We are also grateful to the Sarawak Biodiversity Centre (SBCRA-0091-MM) for their kind permission to conduct research on the collected water samples. The research leading to these results has received funding from the European Union's Seventh Framework Programme FP7/2007-2013 under grant agreement no. 226224 - SHIVA.</t>
  </si>
  <si>
    <t>MALAYSIAN SOC MICROBIOLOGY</t>
  </si>
  <si>
    <t>PENANG</t>
  </si>
  <si>
    <t>UNIV SAINS MALAYSIA, SCHOOL BIOLOGICAL SCIENCES, PENANG, 11800, MALAYSIA</t>
  </si>
  <si>
    <t>1823-8262</t>
  </si>
  <si>
    <t>2231-7538</t>
  </si>
  <si>
    <t>MALAYS J MICROBIOL</t>
  </si>
  <si>
    <t>Malays. J. Microbiol.</t>
  </si>
  <si>
    <t>DEC</t>
  </si>
  <si>
    <t>GJ8YR</t>
  </si>
  <si>
    <t>WOS:000435678500010</t>
  </si>
  <si>
    <t>Stepanov, VV</t>
  </si>
  <si>
    <t>Stepanov, V. V.</t>
  </si>
  <si>
    <t>Prospects for the Development of a Hydrometeorological Service Using the Multipurpose Arktika Space System</t>
  </si>
  <si>
    <t>SOLAR SYSTEM RESEARCH</t>
  </si>
  <si>
    <t>hydrometeorological service; ice conditions; situational awareness; network-centricity; Arktika space system</t>
  </si>
  <si>
    <t>A possibility for using the promising multipurpose Arktika space system for the development and support of situational awareness of Arctic weather and ice conditions based on the network-centric principle is considered. This possibility became a reality when the analysis of synoptic conditions using remote sensing tools progressed from theoretical to practical use.</t>
  </si>
  <si>
    <t>[Stepanov, V. V.] Arctic &amp; Antarctic Res Inst, St Petersburg, Russia</t>
  </si>
  <si>
    <t>Stepanov, VV (corresponding author), Arctic &amp; Antarctic Res Inst, St Petersburg, Russia.</t>
  </si>
  <si>
    <t>vvs@aari.ru</t>
  </si>
  <si>
    <t>Stepanov, V.V./AAB-4684-2019</t>
  </si>
  <si>
    <t>Stepanov, V.V./0000-0002-2295-8389</t>
  </si>
  <si>
    <t>0038-0946</t>
  </si>
  <si>
    <t>1608-3423</t>
  </si>
  <si>
    <t>SOLAR SYST RES+</t>
  </si>
  <si>
    <t>Solar Syst. Res.</t>
  </si>
  <si>
    <t>10.1134/S0038094617070188</t>
  </si>
  <si>
    <t>FX7DA</t>
  </si>
  <si>
    <t>WOS:000426246000012</t>
  </si>
  <si>
    <t>Skakun, AA; Volobuev, DM</t>
  </si>
  <si>
    <t>Skakun, A. A.; Volobuev, D. M.</t>
  </si>
  <si>
    <t>Contribution of the Solar Constant Variations to Calculations of Insolation for the Holocene Period</t>
  </si>
  <si>
    <t>GEOMAGNETISM AND AERONOMY</t>
  </si>
  <si>
    <t>CLIMATE RESPONSE; VARIABILITY; CYCLES</t>
  </si>
  <si>
    <t>Insolation is one of the most important factors that affect the changes in the global climate and weather. Therefore, its accurate calculation is a relevant question of modern climatology. In this study, we present the calculation of the annual insolation over the course of the Holocene, taking into account the variations of the solar constant estimated from the radiocarbon content in tree rings (Vieira et al., 2011). It has been found that the insolation changes in latitudinal belts form a trend determined by the Earth's spatial position; the latitudinal gradient of insolation increases from the poles to the equator with time. The variations in integral insolation over the sphere and integral insolations over the hemispheres have a minor trend caused by the orbital component, but they are mostly determined by the solar constant variations (its contribution to the insolation amplitude variations is ten times greater than the contribution of orbital parameters). These results can be used to interpret global climate changes.</t>
  </si>
  <si>
    <t>[Skakun, A. A.; Volobuev, D. M.] Russian Acad Sci, Cent Astron Observ Pulkovo, St Petersburg, Russia; [Skakun, A. A.] Arctic &amp; Antarctic Res Inst, St Petersburg, Russia</t>
  </si>
  <si>
    <t>Pulkovo Observatory; Russian Academy of Sciences; St. Petersburg Scientific Centre of the Russian Academy of Sciences; Arctic &amp; Antarctic Research Institute</t>
  </si>
  <si>
    <t>Skakun, AA (corresponding author), Russian Acad Sci, Cent Astron Observ Pulkovo, St Petersburg, Russia.;Skakun, AA (corresponding author), Arctic &amp; Antarctic Res Inst, St Petersburg, Russia.</t>
  </si>
  <si>
    <t>a_skakun@mail.ru</t>
  </si>
  <si>
    <t>Volobuev, Dmitry/C-2953-2014; Skakun, Aleksandra/AAS-7787-2020</t>
  </si>
  <si>
    <t>Volobuev, Dmitry/0000-0002-5407-3155;</t>
  </si>
  <si>
    <t>Russian Foundation for Basic Research [15-01-09156]; Russian Science Foundation [14-27-00030]; Russian Science Foundation [14-27-00030] Funding Source: Russian Science Foundation</t>
  </si>
  <si>
    <t>Russian Foundation for Basic Research(Russian Foundation for Basic Research (RFBR)Spanish Government); Russian Science Foundation(Russian Science Foundation (RSF)); Russian Science Foundation(Russian Science Foundation (RSF))</t>
  </si>
  <si>
    <t>The authors would like to thank Prof. Ian Eismann, University of California San Diego, for detailed commentary on aspects of the calculation of the daily insolation. The work of D.M. Volobuev is partially supported by the grant of the Russian Foundation for Basic Research, no. 15-01-09156. The work of A.A. Skakun is supported by the grant of the Russian Science Foundation, no. 14-27-00030.</t>
  </si>
  <si>
    <t>0016-7932</t>
  </si>
  <si>
    <t>1555-645X</t>
  </si>
  <si>
    <t>GEOMAGN AERONOMY+</t>
  </si>
  <si>
    <t>Geomagn. Aeron.</t>
  </si>
  <si>
    <t>10.1134/S0016793217070180</t>
  </si>
  <si>
    <t>FX4YC</t>
  </si>
  <si>
    <t>WOS:000426083700024</t>
  </si>
  <si>
    <t>Visheratin, KN</t>
  </si>
  <si>
    <t>Visheratin, K. N.</t>
  </si>
  <si>
    <t>Spatio-Temporal Variability of the Phase of Total Ozone Quasi-Decennial Oscillations</t>
  </si>
  <si>
    <t>total ozone content; quasi-decennial variations; cross-wavelet analysis; composite method; solar activity; satellite data</t>
  </si>
  <si>
    <t>11-YEAR SOLAR-CYCLE; COLUMN OZONE; DATA SETS; TRENDS; STRATOSPHERE; TEMPERATURE</t>
  </si>
  <si>
    <t>The SBUV/SBUV2 (65A degrees S-65A degrees N) and Bodeker Scientific (90A degrees S-90A degrees N) satellite databases have been used for composite and cross-wavelet analyses of the spatio-temporal variability of phase relations between a 11-year cycle of solar activity (SA) and quasi-decennial oscillations (QDOs) of total ozone content (TOC). For globally average TOC values, the QDO maxima coincide in phase with the solar-activity maxima, and amplitude variations of TOC correlate with those of the 11-year solar cycle. According to the analysis of amplitude and phase of QDOs for the zonal average TOC fields, a QDO amplitude is about 6-7 Dobson Units (DU) in the high northern and southern latitudes, and it does not exceed 2-3 DU in the tropic regions. The latitudinal TOC variations are distinguished by a delay of the quasi-decennial oscillation phase in the southern latitudes in comparison with the northern latitudes. The TOC maxima phase coincides with the SA maxima phase in the tropic regions; the TOC variations go ahead of the SA variations, on average, in moderate and high latitudes of the Northern Hemisphere; the TOC variations are behind the SA variations in the Southern Hemisphere. The phase delay between TOC QDO maxima in the northern and southern latitudes appears to increase in the course of time, and the TOC quasi-decennial variations in the Arctic and Antarctic subpolar regions occur approximately in an antiphase over the last two decades.</t>
  </si>
  <si>
    <t>[Visheratin, K. N.] Res &amp; Prod Assoc Typhoon, Obninsk 249038, Russia</t>
  </si>
  <si>
    <t>Visheratin, KN (corresponding author), Res &amp; Prod Assoc Typhoon, Obninsk 249038, Russia.</t>
  </si>
  <si>
    <t>kvisher@rpatyphoon.ru</t>
  </si>
  <si>
    <t>Konstantin, Visheratin/0000-0001-7233-9335</t>
  </si>
  <si>
    <t>Russian Foundation for Basic Research [14-05-00127]</t>
  </si>
  <si>
    <t>We thank NASA, WOUDC, and WDC-SILSO scientists and G. Bodeker (Bodeker Scientific) for providing access to their databases. This work was supported by the Russian Foundation for Basic Research (project no. 14-05-00127).</t>
  </si>
  <si>
    <t>10.1134/S0001433817090341</t>
  </si>
  <si>
    <t>FW4UK</t>
  </si>
  <si>
    <t>WOS:000425310200005</t>
  </si>
  <si>
    <t>Kondrik, D; Pozdnyakov, D; Pettersson, L</t>
  </si>
  <si>
    <t>Kondrik, D.; Pozdnyakov, D.; Pettersson, L.</t>
  </si>
  <si>
    <t>Tendencies in Coccolithophorid Blooms in Some Marine Environments of the Northern Hemisphere according to the Data of Satellite Observations in 1998-2013</t>
  </si>
  <si>
    <t>marine environments in the Northern Hemisphere; OC CCI data; blooms of Emiliania huxleyi; bloom area dynamics; multiyear series; patterns</t>
  </si>
  <si>
    <t>EASTERN BERING-SEA; CALCIUM-CARBONATE; EMILIANIA-HUXLEYI; OCEAN; PHYTOPLANKTON; MULTIYEAR; IMAGERY; TREND; GULF; CO2</t>
  </si>
  <si>
    <t>Based on the method developed for the delineation of E. huxleyi blooms, a new technique is achieved for (1) the automated detection of E. huxleyi blooms among coexisting massive blooms of microalgae species of other phytoplankton groups and (2) quantifying the boom surface of this type of coccolithophores. As a result, according to the data of the Climate Change Initiative Ocean Colour (OC CCI) for 1998-2013, we have obtained multiyear time series of variability in both the incidence of E. huxleyi bloom and its area in the North, Norwegian, Greenland, Barents, and Bering seas. It is found that E. huxleyi blooms propagate within the intra-annual cycle from the studied middle-latitude marine areas towards the northern areas of the Northern Atlantic Ocean (NAO) and the Arctic Ocean (AO) following the pathways of the main Gulfstream and its branches. It is also found that E. huxleyi blooms are formed annually, initially in the vicinity of the British Islands; then they successively emerge in the northward direction following the western coast of the Great Britain, turn over its northern extremity to reach, firstly, the North Sea (in May), the Norwegian Sea, and finally the Greenland Sea (in June). Then they burst out in the Barents Sea, where the typical period of blooming lasts until late August and, in some years, even to mid-September. We determine the patterns of maximal rates and duration of blooms for each of the seas studied in the Atlantic and Arctic Oceans. As for the Bering Sea, the temporal and spatial variability in the growth of E. huxleyi has an irregular pattern: after a period of remarkably high expression of this phenomenon in 1998-2001, there was an abrupt decrease in both the number and, especially, extent of bloom areas.</t>
  </si>
  <si>
    <t>[Kondrik, D.] Arctic &amp; Antarctic Res Inst, St Petersburg 199397, Russia; [Kondrik, D.; Pozdnyakov, D.] Nansen Int Environm &amp; Remote Sensing Ctr, Sci Fdn, St Petersburg 199034, Russia; [Pozdnyakov, D.; Pettersson, L.] Nansen Environm &amp; Remote Sensing Ctr, N-5006 Bergen, Norway</t>
  </si>
  <si>
    <t>Arctic &amp; Antarctic Research Institute; Nansen Environmental &amp; Remote Sensing Center (NERSC); Nansen Environmental &amp; Remote Sensing Center (NERSC)</t>
  </si>
  <si>
    <t>Kondrik, D (corresponding author), Arctic &amp; Antarctic Res Inst, St Petersburg 199397, Russia.;Kondrik, D (corresponding author), Nansen Int Environm &amp; Remote Sensing Ctr, Sci Fdn, St Petersburg 199034, Russia.</t>
  </si>
  <si>
    <t>dmitry.kondrik@niersc.spb.ru</t>
  </si>
  <si>
    <t>Pettersson, Lasse Herbert/AAM-9908-2020; Kondrik, Dmitry/W-2455-2019</t>
  </si>
  <si>
    <t>Kondrik, Dmitry/0000-0002-4032-4662; Pettersson, Lasse/0000-0002-6005-7514</t>
  </si>
  <si>
    <t>Russian Science Foundation (RSF) [17-17-01117]; Nansen Scientific Society under the Nansen Fellowship Programme; Russian Science Foundation [17-17-01117] Funding Source: Russian Science Foundation</t>
  </si>
  <si>
    <t>Russian Science Foundation (RSF)(Russian Science Foundation (RSF)); Nansen Scientific Society under the Nansen Fellowship Programme; Russian Science Foundation(Russian Science Foundation (RSF))</t>
  </si>
  <si>
    <t>We express our gratitude for the primary financial support of this study provided by the Russian Science Foundation (RSF) under the project no. 17-17-01117.; The first author acknowledges the Nansen Scientific Society for funding his research under the Nansen Fellowship Programme.</t>
  </si>
  <si>
    <t>10.1134/S000143381709016X</t>
  </si>
  <si>
    <t>WOS:000425310200011</t>
  </si>
  <si>
    <t>Nelson, DA; Cottle, JM</t>
  </si>
  <si>
    <t>Nelson, D. A.; Cottle, J. M.</t>
  </si>
  <si>
    <t>Long-Term Geochemical and Geodynamic Segmentation of the Paleo-Pacific Margin of Gondwana: Insight From the Antarctic and Adjacent Sectors</t>
  </si>
  <si>
    <t>TECTONICS</t>
  </si>
  <si>
    <t>U-PB AGES; CENTRAL TRANSANTARCTIC MOUNTAINS; CONTINENTAL GROWTH-PROCESSES; QUANTUM TECTONICS INSIGHTS; EASTERN AUSTRALIA EVIDENCE; PLASMA-MASS SPECTROMETRY; LARGE IGNEOUS PROVINCE; NEW-ENGLAND BATHOLITH; HF ISOTOPE EVIDENCE; NEW-ZEALAND</t>
  </si>
  <si>
    <t>Combined zircon geochemistry and geochronology of Mesozoic volcaniclastic sediments of the central Transantarctic Mountains, Antarctica, yield a comprehensive record of both the timing and geochemical evolution of the magmatic arc along the Antarctic sector of the paleo-Pacific margin of Gondwana. Zircon age populations at 266-183Ma, 367-328Ma, and 550-490Ma correspond to episodic arc activity from the Ediacaran to the Jurassic. Zircon trace element geochemistry indicates a temporal shift from granitoid-dominated source(s) during Ediacaran to Early Ordovician times to mafic sources in the Devonian through Early Jurassic. Zircon initial epsilon(Hf) shifts to more radiogenic Hf isotope compositions following the Ross Orogeny and is inferred to reflect juvenile crustal growth within an extensional arc system during progressive slab rollback. These new ages and Hf isotopic record are similar to those from the Australian sector, indicating that these regions constituted an -3,000km laterally continuous extensional arc from at least the Carboniferous to the Permian. Conversely, the South American sector records enriched zircon Hf isotopic compositions and compressional/advancing arc tectonics during the same time period. Our new data constrain the location of this profound along-arc geochemical and geodynamic switch to the vicinity of the Thurston Island block of West Antarctica.</t>
  </si>
  <si>
    <t>[Nelson, D. A.; Cottle, J. M.] Univ Calif Santa Barbara, Dept Earth Sci, Santa Barbara, CA 93106 USA</t>
  </si>
  <si>
    <t>University of California System; University of California Santa Barbara</t>
  </si>
  <si>
    <t>Nelson, DA (corresponding author), Univ Calif Santa Barbara, Dept Earth Sci, Santa Barbara, CA 93106 USA.</t>
  </si>
  <si>
    <t>demian@umail.ucsb.edu</t>
  </si>
  <si>
    <t>Cottle, John M/F-2799-2011</t>
  </si>
  <si>
    <t>National Science Foundation Graduate Research Fellowship [1650114]; [NSF-ANT-1443296]; [NSF-ANT-1043152]</t>
  </si>
  <si>
    <t>National Science Foundation Graduate Research Fellowship(National Science Foundation (NSF)); ;</t>
  </si>
  <si>
    <t>This material is based upon work supported by the National Science Foundation Graduate Research Fellowship under grant 1650114 and support from NSF-ANT-1443296 and NSF-ANT-1043152. We are grateful to Anne Grunow and the Polar Rock Repository for providing samples and assisting with sample selection. We also acknowledge the original sample collectors: P. J. Barrett and D. H. Elliot. Special thanks go to S. Briggs and R. Holder for fruitful discussions and constructive criticism during preparation of this manuscript. Constructive reviews by P. Cawood, G. Gibson, and the Associate Editor, J. Aitcheson, significantly improved this manuscript. Additional analytical details and data tables can be obtained in the supporting information and data sets.</t>
  </si>
  <si>
    <t>0278-7407</t>
  </si>
  <si>
    <t>1944-9194</t>
  </si>
  <si>
    <t>Tectonics</t>
  </si>
  <si>
    <t>10.1002/2017TC004611</t>
  </si>
  <si>
    <t>FT8QG</t>
  </si>
  <si>
    <t>WOS:000423417300024</t>
  </si>
  <si>
    <t>Goto, KT; Nozaki, T; Toyofuku, T; Augustin, AH; Shimoda, G; Chang, Q; Kimura, JI; Kameo, K; Kitazato, H; Suzuki, K</t>
  </si>
  <si>
    <t>Goto, Kosuke T.; Nozaki, Tatsuo; Toyofuku, Takashi; Augustin, Adolpho H.; Shimoda, Gen; Chang, Qing; Kimura, Jun-Ichi; Kameo, Koji; Kitazato, Hiroshi; Suzuki, Katsuhiko</t>
  </si>
  <si>
    <t>Paleoceanographic conditions on the Sao Paulo Ridge, SW Atlantic Ocean, for the past 30 million years inferred from Os and Pb isotopes of a hydrogenous ferromanganese crust</t>
  </si>
  <si>
    <t>DEEP-SEA RESEARCH PART II-TOPICAL STUDIES IN OCEANOGRAPHY</t>
  </si>
  <si>
    <t>Ferromanganese crust; Osmium isotope stratigraphy; Lead isotope; southwestern Atlantic Ocean; Paleoceanography</t>
  </si>
  <si>
    <t>EOCENE-OLIGOCENE TRANSITION; CO-RICH CRUST; OSMIUM ISOTOPE; DEEP-WATER; OS-187/OS-186 RATIO; BRAZILIAN MARGIN; CENTRAL PACIFIC; SOUTH-ATLANTIC; BOTTOM WATER; SEAWATER</t>
  </si>
  <si>
    <t>Hydrogenous ferromanganese (Fe-Mn) crusts can provide records of long-term environmental changes during the Cenozoic. To understand the paleoceanographic conditions in the southwestern Atlantic Ocean, we investigated depth profiles of major- and trace-element concentrations as well as Os and Pb isotopic compositions in a Fe-Mn crust collected from the southern flank of the Sao Paulo Ridge in the southwestern Atlantic. Major and trace element data plotted on ternary Mn-Fe-10x(Ni+Co+Cu) and rare-earth element plus yttrium (REY) discrimination diagrams indicate that the analyzed sample is a typical hydrogenous Fe-Mn crust. The obtained Os-187/Os-188 data were matched to the Cenozoic seawater Os isotope evolution curve reconstructed from pelagic sediments. The result suggests that the Fe-Mn crust has accreted over similar to 30 Myr with growth rates of 0.5-3 mm/Myr, although the sample likely grew in two directions during the early stage of its growth. We found no evidence of growth hiatus in the sample, which may contrast with the growth histories of many Pacific Fe-Mn crusts. Hence, the conditions favorable for the accretion of hydrogenous Fe-Mn crusts were likely to have developed on the Sao Paulo Ridge over the past similar to 30 Myr. The Pb isotopic compositions show very limited ranges (e.g.,Pb-206/Pb-204=18.80-18.85), and are similar to those of pre-anthropogenic seawater in the Southern Ocean. As the Sao Paulo Ridge is located near the Vema Channel, which is presently a major path of Antarctic Bottom Water, we suggest that a strong northward bottom current has continuously swept detrital and biogenic sediments from the ridge, and played a vital role in the Fe-Mn crust formation since similar to 30 Ma.</t>
  </si>
  <si>
    <t>[Goto, Kosuke T.; Shimoda, Gen] AIST, Geol Survey Japan, Cent 7,1-1-1 Higashi, Tsukuba, Ibaraki 3058567, Japan; [Nozaki, Tatsuo; Suzuki, Katsuhiko] JAMSTEC, Res &amp; Dev Ctr Submarine Resources, Yokosuka, Kanagawa 2370061, Japan; [Toyofuku, Takashi; Kitazato, Hiroshi] JAMSTEC, Dept Marine Biodivers Res, Yokosuka, Kanagawa 2370061, Japan; [Augustin, Adolpho H.] Pontificia Univ Catolica Rio Grande do Sul, Inst Petr &amp; Nat Resources, BR-90619900 Porto Alegre, Partenon, Brazil; [Chang, Qing; Kimura, Jun-Ichi] JAMSTEC, Dept Solid Earth Geochem, Yokosuka, Kanagawa 2370061, Japan; [Kameo, Koji] Chiba Univ, Dept Earth Sci, Chiba, Chiba 2638522, Japan</t>
  </si>
  <si>
    <t>National Institute of Advanced Industrial Science &amp; Technology (AIST); Japan Agency for Marine-Earth Science &amp; Technology (JAMSTEC); Japan Agency for Marine-Earth Science &amp; Technology (JAMSTEC); Pontificia Universidade Catolica Do Rio Grande Do Sul; Japan Agency for Marine-Earth Science &amp; Technology (JAMSTEC); Chiba University</t>
  </si>
  <si>
    <t>Goto, KT (corresponding author), AIST, Geol Survey Japan, Cent 7,1-1-1 Higashi, Tsukuba, Ibaraki 3058567, Japan.</t>
  </si>
  <si>
    <t>k.goto@aist.go.jp</t>
  </si>
  <si>
    <t>Suzuki, Katsuhiko/B-1143-2018; Takashi, Toyofuku/E-4441-2011; Shimoda, Gen/M-8151-2018</t>
  </si>
  <si>
    <t>Suzuki, Katsuhiko/0000-0003-4266-5046; Takashi, Toyofuku/0000-0001-8095-6077; Shimoda, Gen/0000-0002-0838-2512; Nozaki, Tatsuo/0000-0001-6523-6231; Kimura, Jun-Ichi/0000-0002-2677-515X</t>
  </si>
  <si>
    <t>Japan Society for the Promotion of Science [2034015, 15H02142]; Grants-in-Aid for Scientific Research [16K13895, 15H02142, 15H05830, 15H05826, 15K21712] Funding Source: KAKEN</t>
  </si>
  <si>
    <t>The authors thank members of the YK13-04 Leg 1 cruise for helping to collect rock samples; H. Yamamoto and Y. Otsuki for assistance with Re-Os isotope analysis; B. Peucker-Ehrenbrink, one anonymous reviewer, and K. Fujikura (Guest Editor) for their constructive comments. This study was partly supported by a grant in aid from the Japan Society for the Promotion of Science (Nos. 2034015 and 15H02142 to KS).</t>
  </si>
  <si>
    <t>0967-0645</t>
  </si>
  <si>
    <t>1879-0100</t>
  </si>
  <si>
    <t>DEEP-SEA RES PT II</t>
  </si>
  <si>
    <t>Deep-Sea Res. Part II-Top. Stud. Oceanogr.</t>
  </si>
  <si>
    <t>10.1016/j.dsr2.2016.10.010</t>
  </si>
  <si>
    <t>FT6DV</t>
  </si>
  <si>
    <t>WOS:000423245400011</t>
  </si>
  <si>
    <t>Singh, HKA; Bitz, CM; Donohoe, A; Rasch, PJ</t>
  </si>
  <si>
    <t>Singh, Hansi K. A.; Bitz, Cecilia M.; Donohoe, Aaron; Rasch, Philip J.</t>
  </si>
  <si>
    <t>A Source-Receptor Perspective on the Polar Hydrologic Cycle: Sources, Seasonality, and Arctic-Antarctic Parity in the Hydrologic Cycle Response to CO2 Doubling</t>
  </si>
  <si>
    <t>ATMOSPHERIC MOISTURE TRANSPORT; OCEAN SALINITIES; SEA-ICE; PRECIPITATION; ORIGIN; MODEL; AMPLIFICATION; DIAGNOSTICS; FRAMEWORK; TRENDS</t>
  </si>
  <si>
    <t>Numerical water tracers implemented in a global climate model are used to study how polar hydroclimate responds to CO2-induced warming from a source-receptor perspective. Although remote moisture sources contribute substantially more to polar precipitation year-round in the mean state, an increase in locally sourced moisture is crucial to the winter season polar precipitation response to greenhouse gas forcing. In general, the polar hydroclimate response to CO2-induced warming is strongly seasonal: over both the Arctic and Antarctic, locally sourced moisture constitutes a larger fraction of the precipitation in winter, while remote sources become even more dominant in summer. Increased local evaporation in fall and winter is coincident with sea ice retreat, which greatly augments local moisture sources in these seasons. In summer, however, larger contributions from more remote moisture source regions are consistent with an increase in moisture residence times and a longer moisture transport length scale, which produces a robust hydrologic cycle response to CO2-induced warming globally. The critical role of locally sourced moisture in the hydrologic cycle response of both the Arctic and Antarctic is distinct from controlling factors elsewhere on the globe; for this reason, great care should be taken in interpreting polar isotopic proxy records from climate states unlike the present.</t>
  </si>
  <si>
    <t>[Singh, Hansi K. A.; Rasch, Philip J.] Pacific Northwest Natl Lab, Atmospher Sci &amp; Global Change Div, Richland, WA 99354 USA; [Bitz, Cecilia M.] Univ Washington, Dept Atmospher Sci, Seattle, WA 98195 USA; [Donohoe, Aaron] Univ Washington, Appl Phys Lab, Seattle, WA 98105 USA</t>
  </si>
  <si>
    <t>United States Department of Energy (DOE); Pacific Northwest National Laboratory; University of Washington; University of Washington Seattle; University of Washington; University of Washington Seattle</t>
  </si>
  <si>
    <t>Singh, HKA (corresponding author), Pacific Northwest Natl Lab, Atmospher Sci &amp; Global Change Div, Richland, WA 99354 USA.</t>
  </si>
  <si>
    <t>hansi.singh@pnnl.gov</t>
  </si>
  <si>
    <t>Singh, Hansi/P-9354-2019; Rasch, Philip J/F-7978-2018; Bitz, Cecilia M/S-8423-2016</t>
  </si>
  <si>
    <t>Singh, Hansi/0000-0002-8651-9094</t>
  </si>
  <si>
    <t>NSF; DOE Office of Science through the Pacific Northwest National Laboratory's Linus Pauling Distinguished Postdoctoral Fellowship; Applied Physics Laboratory at the University of Washington; Regional and Global Climate Modeling Program of the Office of Biological and Environmental Research in the U.S. Department of Energy's Office of Science; U.S. Department of Energy [DE-AC05-76RL01830]; Directorate For Geosciences; Office of Polar Programs (OPP) [1341497] Funding Source: National Science Foundation</t>
  </si>
  <si>
    <t>NSF(National Science Foundation (NSF)); DOE Office of Science through the Pacific Northwest National Laboratory's Linus Pauling Distinguished Postdoctoral Fellowship(United States Department of Energy (DOE)); Applied Physics Laboratory at the University of Washington; Regional and Global Climate Modeling Program of the Office of Biological and Environmental Research in the U.S. Department of Energy's Office of Science; U.S. Department of Energy(United States Department of Energy (DOE)); Directorate For Geosciences; Office of Polar Programs (OPP)(National Science Foundation (NSF)NSF - Directorate for Geosciences (GEO))</t>
  </si>
  <si>
    <t>The authors are indebted to Jesse Nusbaumer and David Noone for their development of the tagged version of CAM5.0, and to NCAR's Computational and Information Systems Laboratory for use of Yellowstone supercomputing facilities (http://n2t.net/ark:/85065/d7wd3xhc), sponsored by the NSF. HKAS is grateful for use of facilities and funding from the DOE Office of Science through the Pacific Northwest National Laboratory's Linus Pauling Distinguished Postdoctoral Fellowship. AD was funded by a SEED grant from the Applied Physics Laboratory at the University of Washington. This work was also supported in part by the Regional and Global Climate Modeling Program of the Office of Biological and Environmental Research in the U.S. Department of Energy's Office of Science as a contribution to the HiLAT project. The Pacific Northwest National Laboratory is operated for the U.S. Department of Energy by Battelle Memorial Institute under Contract DE-AC05-76RL01830. The authors also wish to thank Harald Sodemann and two anonymous reviewers for helpful manuscript critiques.</t>
  </si>
  <si>
    <t>45 BEACON ST, BOSTON, MA 02108-3693, UNITED STATES</t>
  </si>
  <si>
    <t>10.1175/JCLI-D-16-0917.1</t>
  </si>
  <si>
    <t>FT9ST</t>
  </si>
  <si>
    <t>WOS:000423492500012</t>
  </si>
  <si>
    <t>Han, XN; Liu, DC</t>
  </si>
  <si>
    <t>Han, Xiangning; Liu, Daicheng</t>
  </si>
  <si>
    <t>Detection of the toxic substance dibutyl phthalate in Antarctic krill</t>
  </si>
  <si>
    <t>ANTARCTIC SCIENCE</t>
  </si>
  <si>
    <t>DBP; HPTLC; toxicity</t>
  </si>
  <si>
    <t>BIODEGRADATION; DEGRADATION; ENVIRONMENT; PENGUINS; ESTERS; ALGAE; DBP</t>
  </si>
  <si>
    <t>High-performance thin layer chromatography was performed to investigate the potential presence of four phthalic acid esters, dimethyl phthalate (DMP), diethyl phthalate (DEP), dibutyl phthalate (DBP) and dioctyl phthalate (DEHP), in Antarctic krill. The results revealed that in freeze-dried Antarctic krill levels of DBP (0.1043 +/- 0.0005 mg g(-1) (104.3 +/- 0.05 mg kg(-1))) were high. The structure of DBP in Antarctic krill was determined by gas chromatography-mass spectrometry. Its existence is of concern based on demonstrated harmful effects to animals and plants as Antarctic krill is a key part of the food chain in Antarctic coastal marine ecosystems. The adverse effects of DBP on Antarctic krill and the source of DBP should be explored in further research.</t>
  </si>
  <si>
    <t>[Han, Xiangning; Liu, Daicheng] Shandong Normal Univ, Coll Life Sci, Key Lab Anim Resistance, 88 East Wenhua Rd, Jinan 250014, Shandong, Peoples R China</t>
  </si>
  <si>
    <t>Shandong Normal University</t>
  </si>
  <si>
    <t>Liu, DC (corresponding author), Shandong Normal Univ, Coll Life Sci, Key Lab Anim Resistance, 88 East Wenhua Rd, Jinan 250014, Shandong, Peoples R China.</t>
  </si>
  <si>
    <t>liudch@sdnu.edu.cn</t>
  </si>
  <si>
    <t>Liaoyu Fishery Group; scientific &amp; technological project of Shandong Province [gg10002088]</t>
  </si>
  <si>
    <t>Liaoyu Fishery Group; scientific &amp; technological project of Shandong Province</t>
  </si>
  <si>
    <t>The experimental raw materials used in this study were supported by the Liaoyu Fishery Group. This study was funded by the scientific &amp; technological project of Shandong Province (grant number: gg10002088). The authors declare that they have no conflicts of interest.</t>
  </si>
  <si>
    <t>0954-1020</t>
  </si>
  <si>
    <t>1365-2079</t>
  </si>
  <si>
    <t>ANTARCT SCI</t>
  </si>
  <si>
    <t>Antarct. Sci.</t>
  </si>
  <si>
    <t>10.1017/S0954102017000281</t>
  </si>
  <si>
    <t>Environmental Sciences; Geography, Physical; Geosciences, Multidisciplinary</t>
  </si>
  <si>
    <t>Environmental Sciences &amp; Ecology; Physical Geography; Geology</t>
  </si>
  <si>
    <t>FT5CY</t>
  </si>
  <si>
    <t>WOS:000423172800005</t>
  </si>
  <si>
    <t>Schroeter, B; Green, TGA; Pintado, A; Türk, R; Sancho, LG</t>
  </si>
  <si>
    <t>Schroeter, Burkhard; Allan Green, T. G.; Pintado, Ana; Tuerk, Roman; Sancho, Leopoldo G.</t>
  </si>
  <si>
    <t>Summer activity patterns for mosses and lichens in Maritime Antarctica</t>
  </si>
  <si>
    <t>chlorophyll fluorescence; climate change; microclimate; photosynthesis; poikilohydric; PSII activity; water regime</t>
  </si>
  <si>
    <t>SOUTHERN VICTORIA LAND; CONTINENTAL ANTARCTICA; TERRESTRIAL VEGETATION; WATER RELATIONS; CHLOROPHYLL-A; DRY VALLEYS; LIGHT; BRYOPHYTES; EXCHANGE; PLANTS</t>
  </si>
  <si>
    <t>Within Antarctica there are large gradients both in climate and in vegetation which offer opportunities to investigate links between the two. The activity (% total time active) of lichens and bryophytes in hydric and xeric environments was monitored at Livingston Island (62 degrees 39'S). This adds a northern site with a maritime, cloudy climate to previous studies in the southern Antarctic Peninsula and the Dry Valleys (78 degrees S). Annual activity increases northwards from less than 1% to nearly 100%. There is a major and consistent difference between hydric sites which, with snow melt, can be 100% active in summer months even in the Dry Valleys, and xeric sites which, depending on precipitation, rarely exceed 80% activity even at Livingston Island. Mosses dominate hydric sites and lichens the xeric sites all along the gradient. Mean temperatures when active are 2-4 degrees C at all sites, as liquid water is required. Light is a potential major stress reaching 880 mu mol m(-2) s(-1) when active in continental sites. The lack of extremes in temperatures and light combined with high activity levels means that summer at Livingston Island is one of the better sites for lichen and bryophyte growth in the world.</t>
  </si>
  <si>
    <t>[Schroeter, Burkhard] Leibniz Inst Sci &amp; Math Educ IPN, D-24098 Kiel, Germany; [Allan Green, T. G.] Univ Waikato, Biol Sci, Private Bag 3105, Hamilton, New Zealand; [Allan Green, T. G.; Pintado, Ana; Sancho, Leopoldo G.] Univ Complutense, Fac Farm, Dept Biol Vegetal 2, E-28040 Madrid, Spain; [Tuerk, Roman] Univ Salzburg, Dept Organism Biol, Salzburg, Austria</t>
  </si>
  <si>
    <t>Leibniz Institut fur die Padagogik der Naturwissenschaften und Mathematik an der Universitat Kiel (IPN); University of Waikato; Complutense University of Madrid; Salzburg University</t>
  </si>
  <si>
    <t>Schroeter, B (corresponding author), Leibniz Inst Sci &amp; Math Educ IPN, D-24098 Kiel, Germany.</t>
  </si>
  <si>
    <t>schroeter@ipn.uni-kiel.de</t>
  </si>
  <si>
    <t>Pintado, Ana/G-9881-2015; SANCHO, LEOPOLDO/G-9120-2015</t>
  </si>
  <si>
    <t>SANCHO, LEOPOLDO/0000-0002-4751-7475; PINTADO, ANA/0000-0003-3007-1486</t>
  </si>
  <si>
    <t>Deutsche Forschungs-Gemeinschaft (DFG) [SCHR 473/4-7]; Spanish MCI [CTM2009-12838-C01, CTM2015-64728-C2-1-R]; Ramon y Cajal Fellowship at Biologia Vegetal II, Farmacia, Universidad Complutense, Madrid, Spain; FRST grant</t>
  </si>
  <si>
    <t>Deutsche Forschungs-Gemeinschaft (DFG)(German Research Foundation (DFG)); Spanish MCI(Spanish Government); Ramon y Cajal Fellowship at Biologia Vegetal II, Farmacia, Universidad Complutense, Madrid, Spain; FRST grant</t>
  </si>
  <si>
    <t>BS gratefully acknowledges financial support by Deutsche Forschungs-Gemeinschaft (DFG SCHR 473/4-7) and by Spanish MCI (CTM2009-12838-C01). LGS and AP were supported by Spanish MCI (CTM2015-64728-C2-1-R), we also thank the staff of the Spanish Antarctic Station, Juan Carlos I, for their support. TGAG was supported by Ramon y Cajal Fellowship at Biologia Vegetal II, Farmacia, Universidad Complutense, Madrid, Spain, and by a FRST grant (Understanding, valuing and protecting Antarctica's unique terrestrial ecosystems: predicting biocomplexity in Dry Valley ecosystems) during the writing of this paper. The authors would like to thank two anonymous reviewers for their contribution in particular in focussing the manuscript. Permits: all required permits for fieldwork and plant experimentation were obtained from the appropriate Antarctic authorities.</t>
  </si>
  <si>
    <t>10.1017/S095410201700027X</t>
  </si>
  <si>
    <t>WOS:000423172800006</t>
  </si>
  <si>
    <t>Chu, ZD; Sun, LG; Wang, YH; Huang, T; Zhou, X</t>
  </si>
  <si>
    <t>Chu, Zhuding; Sun, Liguang; Wang, Yuhong; Huang, Tao; Zhou, Xin</t>
  </si>
  <si>
    <t>Depositional environment and climate changes during the Holocene in Grande Valley, Fildes Peninsula, King George Island, Antarctica</t>
  </si>
  <si>
    <t>climate history; fjord sediment; grain size; marine environment</t>
  </si>
  <si>
    <t>SOUTH-SHETLAND-ISLANDS; JAMES-ROSS-ISLAND; PALEOENVIRONMENTAL CHANGE; CLASTIC SEDIMENTS; MARINE DEPOSITS; PALMER DEEP; SEA; SCALE; RECORD; STRATIGRAPHY</t>
  </si>
  <si>
    <t>A 9.24m sediment core, GA-2, was collected on the coastal platform of Grande Valley, a relatively narrow and shallow fjord in Fildes Peninsula, King George Island, Antarctica. The sediment was formed between 6600 and 2000 cal. yr BP according to accelerator mass spectrometry (AMS) C-14 dating of five bulk sediment samples. The comprehensive proxy indicators (grain size, loss on ignition at 550 degrees C, magnetic susceptibility, elements) were analysed, and three separate depositional environments and an alternating climate change pattern were identified. Grande Valley experienced a warm marine environment between 6600 and 5800 cal. yr BP, a minor cooling between 5800 and 4800 cal. yr BP, the transition from cool to warm during 4800-4400 cal. yr BP, a mid-Holocene climatic optimum between 4400 and 2700 cal. yr BP, and the onset of the Neoglacial at 2700 cal. yr BP. This study reconstructed the environmental history of Grande Valley during the mid-late Holocene, provides the missing marine record of historical climate for the western coast of Fildes Peninsula and lays the foundation for further study of the climate and environment changes therein. Our finding that the sea level was c. 12ma.m.s.l.at 2000 cal. yr BP allows for detailed reconstruction of Holocene sea level variations.</t>
  </si>
  <si>
    <t>[Chu, Zhuding; Sun, Liguang; Huang, Tao; Zhou, Xin] Univ Sci &amp; Technol China, Sch Earth &amp; Space Sci, Hefei 230026, Anhui, Peoples R China; [Chu, Zhuding; Sun, Liguang; Huang, Tao; Zhou, Xin] Univ Sci &amp; Technol China, Anhui Prov Key Lab Polar Environm &amp; Global Change, Hefei 230026, Anhui, Peoples R China; [Wang, Yuhong] NIH, Bldg 10, Bethesda, MD 20892 USA</t>
  </si>
  <si>
    <t>Chinese Academy of Sciences; University of Science &amp; Technology of China, CAS; Chinese Academy of Sciences; University of Science &amp; Technology of China, CAS; National Institutes of Health (NIH) - USA</t>
  </si>
  <si>
    <t>Sun, LG (corresponding author), Univ Sci &amp; Technol China, Sch Earth &amp; Space Sci, Hefei 230026, Anhui, Peoples R China.;Sun, LG (corresponding author), Univ Sci &amp; Technol China, Anhui Prov Key Lab Polar Environm &amp; Global Change, Hefei 230026, Anhui, Peoples R China.</t>
  </si>
  <si>
    <t>slg@ustc.edu.cn</t>
  </si>
  <si>
    <t>Zhou, Xin/AIE-7442-2022; Huang, Tao/AAD-8866-2022</t>
  </si>
  <si>
    <t>Zhou, Xin/0000-0003-2640-6431; Huang, Tao/0000-0001-5035-1632</t>
  </si>
  <si>
    <t>Chinese Polar Environment Comprehensive Investigation &amp; Assessment Programmes [CHINARE2016-02-01-03, CHINARE2016-04-04-09, CHINARE2016-04-01-07]; Chinese Polar Scientific Strategic Research Programme [20120101]</t>
  </si>
  <si>
    <t>Chinese Polar Environment Comprehensive Investigation &amp; Assessment Programmes; Chinese Polar Scientific Strategic Research Programme</t>
  </si>
  <si>
    <t>This study was funded by the Chinese Polar Environment Comprehensive Investigation &amp; Assessment Programmes (CHINARE2016-02-01-03, CHINARE2016-04-04-09 and CHINARE2016-04-01-07), Chinese Polar Scientific Strategic Research Programme (20120101). Samples in this study were provided by the BIRDS-Sediment system. We thank the Chinese Arctic and Antarctic Administration and Polar Research Institute of China for logistical support in the field. Dr Baoyin Yuan provided help in the field for sample collection. We thank the editors and reviewers for their helpful comments.</t>
  </si>
  <si>
    <t>10.1017/S095410201700030X</t>
  </si>
  <si>
    <t>WOS:000423172800008</t>
  </si>
  <si>
    <t>Rocha-Campos, AC; Kuchenbecker, M; Duleba, W; Dos Santos, PR; Canile, FM</t>
  </si>
  <si>
    <t>Rocha-Campos, Antonio C.; Kuchenbecker, Matheus; Duleba, Wania; Dos Santos, Paulo Roberto; Canile, Fernanda M.</t>
  </si>
  <si>
    <t>A (tidal- marine) boulder pavement in the late Cenozoic of Seymour Island, West Antarctica: contribution to the palaeogeographical and palaeoclimatic evolution of West Antarctica</t>
  </si>
  <si>
    <t>Hobbs Glacier Formation; Miocene</t>
  </si>
  <si>
    <t>JAMES-ROSS-BASIN; ICE-SHEET; PENINSULA; STRATIGRAPHY; DEPOSITS; ALASKA; RECORD</t>
  </si>
  <si>
    <t>We report here the discovery of a boulder pavement cropping out at the base of the Hobbs Glacier Formation (Miocene), on the northern sector of Seymour Island (Isla Marambio), West Antarctica, along the contact with the underlying LaMeseta Formation (Eocene). The feature described has many points in common with boulder pavements developed in tidal-marine environments. The clasts of the pavement are mostly boulders and bear up to three sets of glacial striae on their bevelled truncated surfaces, but are not elongate parallel to them or bullet shaped. No diamictite body was identified associated with the boulder pavement. These features differ from those of boulder pavements described from terrestrially glaciated Cenozoic deposits and may indicate a shallow glaciomarine environment for the late Cenozoic of Seymour Island.</t>
  </si>
  <si>
    <t>[Rocha-Campos, Antonio C.; Dos Santos, Paulo Roberto] Univ Sao Paulo, Inst Geociencias, Sao Paulo, Brazil; [Kuchenbecker, Matheus] Univ Fed Vales Jequitinhonha &amp; Mucuri, Inst Ciencia &amp; Tecnol, Ctr Geociencias, Lab Estudos Tecton, Teofilo Otoni, Brazil; [Kuchenbecker, Matheus] Univ Fed Minas Gerais, Inst Geociencias, Ctr Pesquisa Prof Manoel Teixeira Costa, Belo Horizonte, MG, Brazil; [Duleba, Wania] Univ Sao Paulo, Escola Artes Ciencias &amp; Humanidades, Sao Paulo, Brazil; [Canile, Fernanda M.] Univ Fed Goias, Fac Ciencias &amp; Tecnol, Goiania, Go, Brazil</t>
  </si>
  <si>
    <t>Universidade de Sao Paulo; Universidade Federal dos Vales do Jequitinhonha e Mucuri (UFVJM); Universidade Federal de Minas Gerais; Universidade de Sao Paulo; Universidade Federal de Goias</t>
  </si>
  <si>
    <t>Kuchenbecker, M (corresponding author), Univ Fed Vales Jequitinhonha &amp; Mucuri, Inst Ciencia &amp; Tecnol, Ctr Geociencias, Lab Estudos Tecton, Teofilo Otoni, Brazil.;Kuchenbecker, M (corresponding author), Univ Fed Minas Gerais, Inst Geociencias, Ctr Pesquisa Prof Manoel Teixeira Costa, Belo Horizonte, MG, Brazil.</t>
  </si>
  <si>
    <t>mk.geologia@gmail.com</t>
  </si>
  <si>
    <t>Duleba, Wania/M-2130-2017; Kuchenbecker, Matheus/P-9876-2016</t>
  </si>
  <si>
    <t>Kuchenbecker, Matheus/0000-0003-2974-839X; Duleba, Wania/0000-0002-6590-2801; , Paulo Roberto dos Santos/0000-0002-8979-3451; Canile, Fernanda/0000-0002-5314-8370</t>
  </si>
  <si>
    <t>Conselho Nacional de Desenvolvimento Cientifico e Tecnologico (CNPq PROANTAR) [5570362009-7]</t>
  </si>
  <si>
    <t>Conselho Nacional de Desenvolvimento Cientifico e Tecnologico (CNPq PROANTAR)</t>
  </si>
  <si>
    <t>We thank the chiefs and personnel of the Marambio Station, Fuerza Aerea Argentina (Dotaciones 2011-12) for their wonderful hospitality and cooperation during fieldwork on Seymour Island. We also thank Dr Sergio Marenssi, Dr Rodolfo Del Valle, Dr Jorge Santillana and Mr Jorge Luski from the Instituto Antartico Argentino for their kind support, and two anonymous reviewers and Dr Cliff Atkins (editor of Antarctic Science) whose suggestions contributed to improve this manuscript. This research was financed by the Conselho Nacional de Desenvolvimento Cientifico e Tecnologico (CNPq PROANTAR, Proc. No. 5570362009-7).</t>
  </si>
  <si>
    <t>10.1017/S0954102017000335</t>
  </si>
  <si>
    <t>WOS:000423172800009</t>
  </si>
  <si>
    <t>Kurczynski, Z; Rózycki, S; Bylina, P</t>
  </si>
  <si>
    <t>Kurczynski, Zdzislaw; Rozycki, Sebastian; Bylina, Pawel</t>
  </si>
  <si>
    <t>MAPPING OF POLAR AREAS BASED ON HIGH-RESOLUTION SATELLITE IMAGES: THE EXAMPLE OF THE HENRYK ARCTOWSKI POLISH ANTARCTIC STATION</t>
  </si>
  <si>
    <t>REPORTS ON GEODESY AND GEOINFORMATICS</t>
  </si>
  <si>
    <t>polar regions; satellite images; VHRS; orthophoto; georeferencing; geolocation</t>
  </si>
  <si>
    <t>To produce orthophotomaps or digital elevation models, the most commonly used method is photogrammetric measurement. However, the use of aerial images is not easy in polar regions for logistical reasons. In these areas, remote sensing data acquired from satellite systems is much more useful. This paper presents the basic technical requirements of different products which can be obtain (in particular orthoimages and digital elevation model (DEM)) using Very-High-Resolution Satellite (VHRS) images. The study area was situated in the vicinity of the Henryk Arctowski Polish Antarctic Station on the Western Shore of Admiralty Bay, King George Island, Western Antarctic. Image processing was applied on two triplets of images acquired by the Pleiades 1A and 1B in March 2013. The results of the generation of orthoimages from the Pleiades systems without control points showed that the proposed method can achieve Root Mean Squared Error (RMSE) of 3-9 m. The presented Pleiades images are useful for thematic remote sensing analysis and processing of measurements. Using satellite images to produce remote sensing products for polar regions is highly beneficial and reliable and compares well with more expensive airborne photographs or field surveys.</t>
  </si>
  <si>
    <t>[Kurczynski, Zdzislaw; Rozycki, Sebastian] Warsaw Univ Technol, Fac Geodesy &amp; Cartog, Dept Photogrammetry Remote Sensing &amp; Spatial Info, Warsaw, Poland; [Bylina, Pawel] Warsaw Univ Technol, Fac Geodesy &amp; Cartog, Dept Spatial Management &amp; Environm Sci, Warsaw, Poland</t>
  </si>
  <si>
    <t>Warsaw University of Technology; Warsaw University of Technology</t>
  </si>
  <si>
    <t>Kurczynski, Z (corresponding author), Warsaw Univ Technol, Fac Geodesy &amp; Cartog, Dept Photogrammetry Remote Sensing &amp; Spatial Info, Warsaw, Poland.</t>
  </si>
  <si>
    <t>z.kurczynski@gik.pw.edu.pl; s.rozycki@gik.pw.edu.pl; p.bylina@gik.pw.edu.pl</t>
  </si>
  <si>
    <t>Różycki, Sebastian/AAA-1332-2021</t>
  </si>
  <si>
    <t>Różycki, Sebastian/0000-0002-6316-8084; Bylina, Pawel/0000-0003-1311-7905</t>
  </si>
  <si>
    <t>DE GRUYTER OPEN LTD</t>
  </si>
  <si>
    <t>BOGUMILA ZUGA 32A ST, 01-811 WARSAW, POLAND</t>
  </si>
  <si>
    <t>2391-8365</t>
  </si>
  <si>
    <t>2391-8152</t>
  </si>
  <si>
    <t>REP GEOD GEOINFORMAT</t>
  </si>
  <si>
    <t>Rep. Geod. Geoinformatics</t>
  </si>
  <si>
    <t>10.1515/rgg-2017-0016</t>
  </si>
  <si>
    <t>Remote Sensing</t>
  </si>
  <si>
    <t>FT4XT</t>
  </si>
  <si>
    <t>WOS:000423159200006</t>
  </si>
  <si>
    <t>Morris, EM; Mulvaney, R; Arthern, RJ; Davies, D; Gurney, RJ; Lambert, P; De Rydt, J; Smith, AM; Tuckwell, RJ; Winstrup, M</t>
  </si>
  <si>
    <t>Morris, E. M.; Mulvaney, R.; Arthern, R. J.; Davies, D.; Gurney, R. J.; Lambert, P.; De Rydt, J.; Smith, A. M.; Tuckwell, R. J.; Winstrup, M.</t>
  </si>
  <si>
    <t>Snow Densification and Recent Accumulation Along the iSTAR Traverse, Pine Island Glacier, Antarctica</t>
  </si>
  <si>
    <t>JOURNAL OF GEOPHYSICAL RESEARCH-EARTH SURFACE</t>
  </si>
  <si>
    <t>densification; accumulation; Antarctica</t>
  </si>
  <si>
    <t>CENTRAL GREENLAND; WEST ANTARCTICA; MASS-BALANCE; EGIG LINE; ICE; ALTIMETRY; DENSITY; RADAR; MODEL</t>
  </si>
  <si>
    <t>Neutron probe measurements of snow density from 22 sites in the Pine Island Glacier basin have been used to determine mean annual accumulation using an automatic annual layer identification routine. A mean density profile which can be used to convert radar two-way travel times to depth has been derived, and the effect of annual fluctuations in density on estimates of the depth of radar reflectors is shown to be insignificant, except very near the surface. Vertical densification rates have been derived from the neutron probe density profiles and from deeper firn core density profiles available at 9 of the sites. These rates are consistent with the rates predicted by the Herron and Langway model for stage 1 densification (by grain-boundary sliding, grain growth and intracrystalline deformation) and stage 2 densification (predominantly by sintering), except in a transition zone extending from approximate to 8 to approximate to 13 m from the surface in which 10-14% of the compaction occurs. Profiles of volumetric strain rate at each site show that in this transition zone the rates are consistent with the Arthern densification model. Comparison of the vertical densification rates and volumetric strain rates indicates that the expected relation to mean annual accumulation breaks down at high accumulation rates even when corrections are made for horizontal ice velocity divergence.</t>
  </si>
  <si>
    <t>[Morris, E. M.; Gurney, R. J.; Lambert, P.] Univ Reading, Dept Meteorol, Reading, Berks, England; [Mulvaney, R.; Arthern, R. J.; De Rydt, J.; Smith, A. M.; Tuckwell, R. J.] British Antarctic Survey, Cambridge, England; [Davies, D.] Univ Edinburgh, Sch Geosci, Edinburgh, Midlothian, Scotland; [Winstrup, M.] Univ Copenhagen, Niels Bohr Inst, Ctr Ice &amp; Climate, Copenhagen, Denmark</t>
  </si>
  <si>
    <t>University of Reading; UK Research &amp; Innovation (UKRI); Natural Environment Research Council (NERC); NERC British Antarctic Survey; University of Edinburgh; University of Copenhagen; Niels Bohr Institute</t>
  </si>
  <si>
    <t>Morris, EM (corresponding author), Univ Reading, Dept Meteorol, Reading, Berks, England.</t>
  </si>
  <si>
    <t>emm36@cam.ac.uk</t>
  </si>
  <si>
    <t>Morris, Elizabeth M/A-6081-2012; Facility, NERC Geophysical Equipment/G-5260-2010; De Rydt, Jan/H-5692-2018; Mulvaney, Robert/K-3929-2012; Winstrup, Mai/M-5844-2014</t>
  </si>
  <si>
    <t>Gurney, Robert/0000-0002-1585-6560; De Rydt, Jan/0000-0002-2978-8706; Mulvaney, Robert/0000-0002-5372-8148; Tuckwell, Rebecca/0000-0002-6389-3091; Winstrup, Mai/0000-0002-4794-4004; SMITH, ANDREW/0000-0001-8577-482X; Lambert, Peter/0000-0001-9525-0667</t>
  </si>
  <si>
    <t>UK Natural Environment Research Council's iSTAR program [10.13039/501100000270, NE/J005797/1]; UK Natural Environment Research Council's NERC grant [10.13039/501100000270, NE/J005797/1]; NERC Geophysical Equipment Facility [998]; NERC [NE/J00569X/1, bas0100034, NE/J00572X/1] Funding Source: UKRI; Natural Environment Research Council [1365732, NE/J00572X/1, bas0100034, NE/J00569X/1] Funding Source: researchfish</t>
  </si>
  <si>
    <t>UK Natural Environment Research Council's iSTAR program; UK Natural Environment Research Council's NERC grant(UK Research &amp; Innovation (UKRI)Natural Environment Research Council (NERC)); NERC Geophysical Equipment Facility(UK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</si>
  <si>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funding from the UK Natural Environment Research Council's iSTAR program and NERC grant [10.13039/501100000270] (NE/J005797/1). We thank the BAS logistics team and iSTAR colleagues for support in the field, B. Medley for accumulation data, and R. Jones for RACMO output at the iSTAR sites. RACMO data were provided by the Institute for Marine and Atmospheric Research, University of Utrecht. The NERC Geophysical Equipment Facility provided GPS receivers (Loan 998). Data are archived at the NERC Polar Data Centre and are available from the first author, pending open access via the iSTAR Geographical Information System (http://gis.istar.ac.uk).</t>
  </si>
  <si>
    <t>2169-9003</t>
  </si>
  <si>
    <t>2169-9011</t>
  </si>
  <si>
    <t>J GEOPHYS RES-EARTH</t>
  </si>
  <si>
    <t>J. Geophys. Res.-Earth Surf.</t>
  </si>
  <si>
    <t>10.1002/2017JF004357</t>
  </si>
  <si>
    <t>FS7RE</t>
  </si>
  <si>
    <t>WOS:000419994700001</t>
  </si>
  <si>
    <t>Tison, JL; Schwegmann, S; Dieckmann, G; Rintala, JM; Meyer, H; Moreau, S; Vancoppenolle, M; Nomura, D; Engberg, S; Blomster, LJ; Hendrickx, S; Uhlig, C; Luhtanen, AM; de Jong, J; Janssens, J; Carnat, G; Zhou, J; Delille, B</t>
  </si>
  <si>
    <t>Tison, J. -L.; Schwegmann, S.; Dieckmann, G.; Rintala, J. -M.; Meyer, H.; Moreau, S.; Vancoppenolle, M.; Nomura, D.; Engberg, S.; Blomster, L. J.; Hendrickx, S.; Uhlig, C.; Luhtanen, A. -M.; de Jong, J.; Janssens, J.; Carnat, G.; Zhou, J.; Delille, B.</t>
  </si>
  <si>
    <t>Biogeochemical Impact of Snow Cover and Cyclonic Intrusions on the Winter Weddell Sea Ice Pack</t>
  </si>
  <si>
    <t>sea ice; Weddell Sea; Antarctica; biogeochemistry; winter</t>
  </si>
  <si>
    <t>ISOTOPIC COMPOSITION; PHYSICAL-PROPERTIES; MCMURDO SOUND; CO2 EXCHANGE; MASS-BALANCE; CARBON; GROWTH; MODEL; GAS; BELLINGSHAUSEN</t>
  </si>
  <si>
    <t>Sea ice is a dynamic biogeochemical reactor and a double interface actively interacting with both the atmosphere and the ocean. However, proper understanding of its annual impact on exchanges, and therefore potentially on the climate, notably suffer from the paucity of autumnal and winter data sets. Here we present the results of physical and biogeochemical investigations on winter Antarctic pack ice in the Weddell Sea (R. V. Polarstern AWECS cruise, June-August 2013) which are compared with those from two similar studies conducted in the area in 1986 and 1992. The winter 2013 was characterized by a warm sea ice cover due to the combined effects of deep snow and frequent warm cyclones events penetrating southward from the open Southern Ocean. These conditions were favorable to high ice permeability and cyclic events of brine movements within the sea ice cover (brine tubes), favoring relatively high chlorophyll-a (Chl-a) concentrations. We discuss the timing of this algal activity showing that arguments can be presented in favor of continued activity during the winter due to the specific physical conditions. Large-scale sea ice model simulations also suggest a context of increasingly deep snow, warm ice, and large brine fractions across the three observational years, despite the fact that the model is forced with a snowfall climatology. This lends support to the claim that more severe Antarctic sea ice conditions, characterized by a longer ice season, thicker, and more concentrated ice are sufficient to increase the snow depth and, somehow counterintuitively, to warm the ice.</t>
  </si>
  <si>
    <t>[Tison, J. -L.; Carnat, G.; Zhou, J.] Univ Libre Bruxelles, DGES, Lab Glaciol, CP 160-03, Brussels, Belgium; [Schwegmann, S.; Dieckmann, G.; Meyer, H.; Hendrickx, S.; Uhlig, C.] Helmholz Zentrum Polar &amp; Meeresforsch, Alfred Wegener Inst, Bremerhaven, Germany; [Rintala, J. -M.; Engberg, S.; Blomster, L. J.] Univ Helsinki, Dept Environm Sci, Helsinki, Finland; [Moreau, S.; Janssens, J.] Univ Tasmania, Inst Marine &amp; Antarctic Studies, Hobart, Tas, Australia; [Vancoppenolle, M.] UPMC Paris 6, Sorbonne Univ, LOCEAN IPSL CNRS IRD MNHN, Paris, France; [Nomura, D.] Hokkaido Univ, Fac Fisheries Sci, Sapporo, Hokkaido, Japan; [Nomura, D.] Hokkaido Univ, Arctic Res Ctr, Sapporo, Hokkaido, Japan; [Luhtanen, A. -M.] Finnish Environm Inst, Marine Res Ctr, Helsinki, Finland; [Luhtanen, A. -M.] Univ Helsinki, Dept Biosci, Helsinki, Finland; [Luhtanen, A. -M.] Univ Helsinki, Tvarminne Zool Stn, Hango, Finland; [de Jong, J.] Univ Libre Bruxelles, DGES, G Time Lab Geochem Tracing Isotopes Minerals &amp; El, CP 160-02, Brussels, Belgium; [Janssens, J.] Univ Tasmania, Antarctic Climate &amp; Ecosyst Cooperat Res Ctr, Hobart, Tas, Australia; [Janssens, J.] Australian Antarctic Div, Dept Environm &amp; Energy, Kingston, Tas, Australia; [Zhou, J.; Delille, B.] Univ Liege, COU, Liege, Belgium</t>
  </si>
  <si>
    <t>Universite Libre de Bruxelles; Helmholtz Association; Alfred Wegener Institute, Helmholtz Centre for Polar &amp; Marine Research; University of Helsinki; University of Tasmania; Sorbonne Universite; Museum National d'Histoire Naturelle (MNHN); Hokkaido University; Hokkaido University; Finnish Environment Institute; University of Helsinki; University of Helsinki; Universite Libre de Bruxelles; University of Tasmania; Antarctic Climate &amp; Ecosystems Cooperative Research Centre (ACE CRC); Australian Antarctic Division; University of Liege</t>
  </si>
  <si>
    <t>Tison, JL (corresponding author), Univ Libre Bruxelles, DGES, Lab Glaciol, CP 160-03, Brussels, Belgium.</t>
  </si>
  <si>
    <t>jtison@ulb.ac.be</t>
  </si>
  <si>
    <t>de Jong, Jeroen/F-3190-2011; Vancoppenolle, Martin/AAA-7711-2022; Vancoppenolle, Martin/B-3750-2011; Hendricks, Stefan/D-5168-2011; Uhlig, Christiane/Q-4019-2017; Delille, Bruno/C-3486-2008</t>
  </si>
  <si>
    <t>Vancoppenolle, Martin/0000-0002-7573-8582; Vancoppenolle, Martin/0000-0002-7573-8582; Hendricks, Stefan/0000-0002-1412-3146; Luhtanen, Anne-Mari/0000-0002-9160-7478; Blomster, Jaanika/0000-0003-1347-7919; Uhlig, Christiane/0000-0001-7278-6522; Delille, Bruno/0000-0003-0502-8101; Moreau, Sebastien/0000-0001-9446-812X; Janssens, Julie/0000-0003-1789-9940; Schwegmann, Sandra/0000-0002-3102-7279; de Jong, Jeroen/0000-0002-3034-5929</t>
  </si>
  <si>
    <t>Belgian Science Policy Office project BIGSOUTH [SD/CA/05A]; EU 7th Framework project SIDARUS [262922]; Australian Research Council's Special Research Initiative [SR140300001]; FRS-FNRS; JSPS KAKENHI [12J04175, 17H04715]; Universite Libre de Bruxelles; Alfred-WegenerInstitute; Walter and Andree de Nottbeck Foundation; Onni Talas Foundation; Finnish Antarctic Research Program FINNARP; Quantitative Antarctic Science Program; Australian Antarctic Division; Belgian Fonds National de la Recherche Scientifique (FRS-FNRS) [A 4/5 - MCF/DM - 2657]; Grants-in-Aid for Scientific Research [17H04715] Funding Source: KAKEN</t>
  </si>
  <si>
    <t>Belgian Science Policy Office project BIGSOUTH; EU 7th Framework project SIDARUS(European Union (EU)Marie Curie Actions); Australian Research Council's Special Research Initiative(Australian Research Council); FRS-FNRS(Fonds de la Recherche Scientifique - FNRS); JSPS KAKENHI(Ministry of Education, Culture, Sports, Science and Technology, Japan (MEXT)Japan Society for the Promotion of ScienceGrants-in-Aid for Scientific Research (KAKENHI)); Universite Libre de Bruxelles; Alfred-WegenerInstitute; Walter and Andree de Nottbeck Foundation; Onni Talas Foundation; Finnish Antarctic Research Program FINNARP; Quantitative Antarctic Science Program; Australian Antarctic Division; Belgian Fonds National de la Recherche Scientifique (FRS-FNRS)(Fonds de la Recherche Scientifique - FNRS); Grants-in-Aid for Scientific Research(Ministry of Education, Culture, Sports, Science and Technology, Japan (MEXT)Japan Society for the Promotion of ScienceGrants-in-Aid for Scientific Research (KAKENHI))</t>
  </si>
  <si>
    <t>The authors wish to warmly thank the Captain and crew of the RV Polarstern and the Chief Scientist Peter Lemke for their unconditional logistic and scientific support during the AWECS cruise. This work is a contribution to the Belgian Science Policy Office project BIGSOUTH (contract SD/CA/05A). The work of SS was funded by the EU 7th Framework project SIDARUS (FP7-SPACE-2010-1, grant agreement 262922). S.M. is supported by the Australian Research Council's Special Research Initiative for Antarctic Gateway Partnership (Project ID SR140300001) and postdoctoral researcher with the FRS-FNRS. D.N. was supported by JSPS KAKENHI grant 12J04175 and 17H04715. The work of C.U. was funded by a Postdoctoral Fellowship of the Universite Libre de Bruxelles and the Alfred-WegenerInstitute. The work of A.M.L. was supported by Walter and Andree de Nottbeck Foundation, Onni Talas Foundation, and Finnish Antarctic Research Program FINNARP. J.J. was supported by the Quantitative Antarctic Science Program jointly led by the University of Tasmania and the Australian Antarctic Division. G.C. benefited from a Belgian Fonds National de la Recherche Scientifique (FRS-FNRS) research grant (contract A 4/5 - MCF/DM - 2657). B.D. is a research associate with the F.R.S-FNRS. Data Base: PANGEA under doi.pangaea.de/10.1594/PANGAEA.834492</t>
  </si>
  <si>
    <t>10.1002/2017JC013288</t>
  </si>
  <si>
    <t>FS9IS</t>
  </si>
  <si>
    <t>WOS:000422732100014</t>
  </si>
  <si>
    <t>Nardelli, BB; Guinehut, S; Verbrugge, N; Cotroneo, Y; Zambianchi, E; Iudicone, D</t>
  </si>
  <si>
    <t>Nardelli, B. Buongiorno; Guinehut, S.; Verbrugge, N.; Cotroneo, Y.; Zambianchi, E.; Iudicone, D.</t>
  </si>
  <si>
    <t>Southern Ocean Mixed-Layer Seasonal and Interannual Variations From Combined Satellite and In Situ Data</t>
  </si>
  <si>
    <t>ANTARCTIC CIRCUMPOLAR CURRENT; ANNULAR MODE; CMIP5 MODELS; NEW-ZEALAND; VARIABILITY; DEPTH; SURFACE; FRONTS; TEMPERATURE; PHENOLOGY</t>
  </si>
  <si>
    <t>The depth of the upper ocean mixed layer provides fundamental information on the amount of seawater that directly interacts with the atmosphere. Its space-time variability modulates water mass formation and carbon sequestration processes related to both the physical and biological pumps. These processes are particularly relevant in the Southern Ocean, where surface mixed-layer depth estimates are generally obtained either as climatological fields derived from in situ observations or through numerical simulations. Here we demonstrate that weekly observation-based reconstructions can be used to describe the variations of the mixed-layer depth in the upper ocean over a range of space and time scales. We compare and validate four different products obtained by combining satellite measurements of the sea surface temperature, salinity, and dynamic topography and in situ Argo profiles. We also compute an ensemble mean and use the corresponding spread to estimate mixed-layer depth uncertainties and to identify the more reliable products. The analysis points out the advantage of synergistic approaches that include in input the sea surface salinity observations obtained through a multivariate optimal interpolation. Corresponding data allow to assess mixed-layer depth seasonal and interannual variability. Specifically, the maximum correlations between mixed-layer anomalies and the Southern Annular Mode are found at different time lags, related to distinct summer/winter responses in the Antarctic Intermediate Water and Sub-Antarctic Mode Waters main formation areas.</t>
  </si>
  <si>
    <t>[Nardelli, B. Buongiorno; Zambianchi, E.] CNR, Ist Sci Atmosfera &amp; Clima, Naples, Italy; [Nardelli, B. Buongiorno; Iudicone, D.] CNR, Ist Ambiente Marino Costiero, Naples, Italy; [Guinehut, S.; Verbrugge, N.] Collecte Localisat Satellites, Toulouse, France; [Cotroneo, Y.; Zambianchi, E.] Univ Naples Federico II, Dipartimento Sci &amp; Tecnol, Naples, Italy; [Cotroneo, Y.; Zambianchi, E.] COnsorzio Nazl Interuniv Sci Mare, CoNISMa, Rome, Italy; [Iudicone, D.] Stn Zool Anton Dohrn, Naples, Italy</t>
  </si>
  <si>
    <t>Consiglio Nazionale delle Ricerche (CNR); Istituto di Scienze dell'Atmosfera e del Clima (ISAC-CNR); Consiglio Nazionale delle Ricerche (CNR); L'Istituto per l'Ambiente Marino Costiero (IAMC-CNR); Universite de Toulouse; Universite Toulouse III - Paul Sabatier; Centre National de la Recherche Scientifique (CNRS); Institut de Recherche pour le Developpement (IRD); Laboratoire d'Etudes en Geophysique et oceanographie spatiales; University of Naples Federico II; CoNISMa; Stazione Zoologica Anton Dohrn di Napoli</t>
  </si>
  <si>
    <t>Nardelli, BB (corresponding author), CNR, Ist Sci Atmosfera &amp; Clima, Naples, Italy.;Nardelli, BB (corresponding author), CNR, Ist Ambiente Marino Costiero, Naples, Italy.</t>
  </si>
  <si>
    <t>bruno.buongiornonardelli@cnr.it</t>
  </si>
  <si>
    <t>Cotroneo, Yuri/M-4010-2019; Buongiorno Nardelli, Bruno/I-4810-2012; zambianchi, enrico/KGK-8209-2024; Iudicone, Daniele/B-9008-2008; Nardelli, Bruno Buongiorno/AAY-4289-2020</t>
  </si>
  <si>
    <t>Cotroneo, Yuri/0000-0002-0099-0142; Buongiorno Nardelli, Bruno/0000-0002-3416-7189; zambianchi, enrico/0000-0001-5474-7466;</t>
  </si>
  <si>
    <t>European Copernicus Marine Environment Monitoring Service''; European Space Agency OSMOSIS'' project; Italian National Program for Antarctic Research Antarctic CircUmpolar Current dynamics Analysis (ACCUA)'' project</t>
  </si>
  <si>
    <t>This work has been partly funded by the European Copernicus Marine Environment Monitoring Service,'' the European Space Agency OSMOSIS'' project, and by the Italian National Program for Antarctic Research Antarctic CircUmpolar Current dynamics Analysis (ACCUA)'' project. All data used as input or for the validation can be accessed through the links provided in section 2. CMEMS ARMOR3D products can be downloaded from http://marine.copernicus.eu/services-portfolio/access-to-products/. OSMOSIS ARMOR3D can be downloaded from http://osmosis.artov.isac.cnr.it/products/OUTPUT/ARMOR3D/, and ACCUA mEOF-r product can be downloaded from http://gosopendata.artov.isac.cnr.it/ACCUA/.</t>
  </si>
  <si>
    <t>10.1002/2017JC013314</t>
  </si>
  <si>
    <t>WOS:000422732100042</t>
  </si>
  <si>
    <t>Kimura, S; Jenkins, A; Regan, H; Holland, PR; Assmann, KM; Whitt, DB; Van Wessem, M; van de Berg, WJ; Reijmer, CH; Dutrieux, P</t>
  </si>
  <si>
    <t>Kimura, Satoshi; Jenkins, Adrian; Regan, Heather; Holland, Paul R.; Assmann, Karen M.; Whitt, Daniel B.; Van Wessem, Melchoir; van de Berg, Willem Jan; Reijmer, Carleen H.; Dutrieux, Pierre</t>
  </si>
  <si>
    <t>Oceanographic Controls on the Variability of Ice-Shelf Basal Melting and Circulation of Glacial Meltwater in the Amundsen Sea Embayment, Antarctica</t>
  </si>
  <si>
    <t>PINE ISLAND GLACIER; DEEP-WATER INFLOW; OCEAN CIRCULATION; SOUTHERN-OCEAN; SENSITIVITY; CHANNELS; RETREAT; SYSTEM; VOLUME; MODEL</t>
  </si>
  <si>
    <t>Ice shelves in the Amundsen Sea Embayment have thinned, accelerating the seaward flow of ice sheets upstream over recent decades. This imbalance is caused by an increase in the ocean-driven melting of the ice shelves. Observations and models show that the ocean heat content reaching the ice shelves is sensitive to the depth of thermocline, which separates the cool, fresh surface waters from warm, salty waters. Yet the processes controlling the variability of thermocline depth remain poorly constrained. Here we quantify the oceanic conditions and ocean-driven melting of Cosgrove, Pine Island Glacier (PIG), Thwaites, Crosson, and Dotson ice shelves in the Amundsen Sea Embayment from 1991 to 2014 using a general circulation model. Ice-shelf melting is coupled to variability in the wind field and the sea-ice motions over the continental shelf break and associated onshore advection of warm waters in deep troughs. The layer of warm, salty waters at the calving front of PIG and Thwaites is thicker in austral spring (June-October) than in austral summer (December-March), whereas the seasonal cycle at the calving front of Dotson is reversed. Furthermore, the ocean-driven melting in PIG is enhanced by an asymmetric response to changes in ocean heat transport anomalies at the continental shelf break: melting responds more rapidly to increases in ocean heat transport than to decreases. This asymmetry is caused by the inland deepening of bathymetry and the glacial meltwater circulation around the ice shelf.</t>
  </si>
  <si>
    <t>[Kimura, Satoshi; Jenkins, Adrian; Regan, Heather; Holland, Paul R.] British Antarctic Survey, Nat Environm Res Council, Cambridge, England; [Kimura, Satoshi] Nansen Environm &amp; Remote Sensing Ctr, Bergen, Norway; [Kimura, Satoshi] Bjerknes Ctr Climate Res, Bergen, Norway; [Kimura, Satoshi] Japan Agcy Marine Earth Sci &amp; Technol, Natsushima Cho, Yokosuka, Kanagawa, Japan; [Regan, Heather] Cardiff Univ, Sch Earth &amp; Ocean Sci, Cardiff, S Glam, Wales; [Assmann, Karen M.] Univ Gothenburg, Dept Marine Sci, Gothenburg, Sweden; [Whitt, Daniel B.] Natl Ctr Atmospher Res, Boulder, CO USA; [Van Wessem, Melchoir; van de Berg, Willem Jan; Reijmer, Carleen H.] Univ Utrecht, Inst Marine &amp; Atmospher Res, Dept Phys &amp; Astron, Fac Sci, Utrecht, Netherlands; [Dutrieux, Pierre] Columbia Univ, Lamont Doherty Earth Observ, Palisades, NY USA</t>
  </si>
  <si>
    <t>UK Research &amp; Innovation (UKRI); Natural Environment Research Council (NERC); NERC British Antarctic Survey; Nansen Environmental &amp; Remote Sensing Center (NERSC); Bjerknes Centre for Climate Research; Japan Agency for Marine-Earth Science &amp; Technology (JAMSTEC); Cardiff University; University of Gothenburg; National Center Atmospheric Research (NCAR) - USA; Utrecht University; Columbia University</t>
  </si>
  <si>
    <t>Kimura, S (corresponding author), British Antarctic Survey, Nat Environm Res Council, Cambridge, England.;Kimura, S (corresponding author), Nansen Environm &amp; Remote Sensing Ctr, Bergen, Norway.;Kimura, S (corresponding author), Bjerknes Ctr Climate Res, Bergen, Norway.;Kimura, S (corresponding author), Japan Agcy Marine Earth Sci &amp; Technol, Natsushima Cho, Yokosuka, Kanagawa, Japan.</t>
  </si>
  <si>
    <t>skimura04@gmail.com</t>
  </si>
  <si>
    <t>Reijmer, Carleen H/G-8736-2011; Dutrieux, Pierre/GVS-2890-2022; Jenkins, Adrian/IUN-2406-2023; Kimura, Satoshi/AAT-3036-2021; Whitt, Daniel/JHT-2301-2023; van de Berg, Willem Jan/H-4385-2011; Holland, Paul R/G-2796-2012</t>
  </si>
  <si>
    <t>Reijmer, Carleen H/0000-0001-8299-3883; Dutrieux, Pierre/0000-0002-8066-934X; Kimura, Satoshi/0000-0003-1689-1605; Whitt, Daniel/0000-0002-3209-5572; van de Berg, Willem Jan/0000-0002-8232-2040; Jenkins, Adrian/0000-0002-9117-0616; van Wessem, Melchior/0000-0003-3221-791X; Regan, Heather/0000-0002-2823-2175; Assmann, Karen/0000-0002-2884-0365</t>
  </si>
  <si>
    <t>UK Natural Environment Research Council's iSTAR Programme (NERC grant) [NE/J005770/1]; Nansen Environmental and Remote Sensing Center (RCN grant) [218857/F40]; NERC [bas0100033, NE/J005770/1, NE/J005746/1] Funding Source: UKRI; Natural Environment Research Council [NE/J005770/1, bas0100033, NE/J005746/1] Funding Source: researchfish</t>
  </si>
  <si>
    <t>UK Natural Environment Research Council's iSTAR Programme (NERC grant)(UK Research &amp; Innovation (UKRI)Natural Environment Research Council (NERC)); Nansen Environmental and Remote Sensing Center (RCN grant); NERC(UK Research &amp; Innovation (UKRI)Natural Environment Research Council (NERC)); Natural Environment Research Council(UK Research &amp; Innovation (UKRI)Natural Environment Research Council (NERC))</t>
  </si>
  <si>
    <t>This work was supported by funding from the UK Natural Environment Research Council's iSTAR Programme (NERC grant NE/J005770/1) and a recruitment grant from the Basic funding at the Nansen Environmental and Remote Sensing Center (RCN grant 218857/F40). The authors thank Daniel Goldberg and one anonymous reviewer for their careful reading of our manuscript and their constructive comments and suggestions. The model outputs for this study is shared in https://fbox.jamstec.go.jp/public/wjckAAxMZMsASgcB 5aNfTCt7LadZ2P1V8Sv4NDsfGNEf, and any questions on the model outputs should be addressed to the corresponding author (Satoshi Kimura, skimura04@gmail.com).</t>
  </si>
  <si>
    <t>10.1002/2017JC012926</t>
  </si>
  <si>
    <t>Green Accepted, Bronze, Green Published</t>
  </si>
  <si>
    <t>WOS:000422732100048</t>
  </si>
  <si>
    <t>Donat-Magnin, M; Jourdain, NC; Spence, P; Le Sommer, J; Gallée, H; Durand, G</t>
  </si>
  <si>
    <t>Donat-Magnin, Marion; Jourdain, Nicolas C.; Spence, Paul; Le Sommer, Julien; Gallee, Hubert; Durand, Gael</t>
  </si>
  <si>
    <t>Ice-Shelf Melt Response to Changing Winds and Glacier Dynamics in the Amundsen Sea Sector, Antarctica</t>
  </si>
  <si>
    <t>CIRCUMPOLAR DEEP-WATER; PINE ISLAND GLACIER; MODELS HISTORICAL BIAS; WEST ANTARCTICA; SOUTHERN-HEMISPHERE; CONTINENTAL-SHELF; THWAITES GLACIER; CMIP5 MODELS; ANNULAR MODE; OCEAN CIRCULATION</t>
  </si>
  <si>
    <t>It has been suggested that the coastal Southern Ocean subsurface may warm over the 21st century in response to strengthening and poleward shifting winds, with potential adverse effects on West Antarctic glaciers. However, using a 1/12 degrees ocean regional model that includes ice-shelf cavities, we find a more complex response to changing winds in the Amundsen Sea. Simulated offshore subsurface waters get colder under strengthened and poleward shifted winds representative of the SAM projected trend. The buoyancy-driven circulation induced by ice-shelf melt transports this cold offshore anomaly onto the continental shelf, leading to cooling and decreased melt below 450 m. In the vicinity of ice-shelf fronts, Ekman pumping contributes to raise the isotherms in response to changing winds. This effect overwhelms the horizontal transport of colder offshore waters at intermediate depths (between 200 and 450 m), and therefore increases melt rates in the upper part of the ice-shelf cavities, which reinforces the buoyancy-driven circulation and further contributes to raise the isotherms. Then, prescribing an extreme grounding line retreat projected for 2100, the total melt rates simulated underneath Thwaites and Pine Island are multiplied by 2.5. Such increase is explained by a larger ocean/ice interface exposed to CDW, which is then amplified by a stronger melt-induced circulation along the ice draft. Our main conclusions are that (1) outputs from ocean models that do not represent ice shelf cavities (e.g., CMIP5 models) should not be directly used to predict the thermal forcing of future ice shelf cavities; (2) coupled ocean/ice sheet models with a velocity-dependent melt formulation are needed for future projections of glaciers experiencing a significant grounding line retreat.</t>
  </si>
  <si>
    <t>[Donat-Magnin, Marion; Jourdain, Nicolas C.; Le Sommer, Julien; Gallee, Hubert; Durand, Gael] Univ Grenoble Alpes, CNRS, IRD, G INP,IGE, Grenoble, France; [Spence, Paul] Univ New South Wales, ARC Ctr Excellence Climate Syst Sci, Sydney, NSW, Australia</t>
  </si>
  <si>
    <t>Communaute Universite Grenoble Alpes; Universite Grenoble Alpes (UGA); Institut de Recherche pour le Developpement (IRD); Centre National de la Recherche Scientifique (CNRS); ARC Centre of Excellence for Climate System Science; University of New South Wales Sydney</t>
  </si>
  <si>
    <t>Donat-Magnin, M (corresponding author), Univ Grenoble Alpes, CNRS, IRD, G INP,IGE, Grenoble, France.</t>
  </si>
  <si>
    <t>marion.donatmagnin@gmail.com</t>
  </si>
  <si>
    <t>Spence, Paul/IZE-7366-2023; Le Sommer, Julien/ABG-8801-2021; Jourdain, Nicolas/B-6899-2015</t>
  </si>
  <si>
    <t>Spence, Paul/0000-0001-5156-2204; Le Sommer, Julien/0000-0002-6882-2938; Jourdain, Nicolas/0000-0002-1372-2235; Durand, Gael/0000-0001-8979-2355; Donat-Magnin, Marion/0000-0002-8153-1000</t>
  </si>
  <si>
    <t>French National Research Agency (ANR) through the TROIS-AS project [ANR-15-CE01-0005-01]; Australian Research Council (ARC) DECRA Fellowship [DE150100223]; CINES [egi6035, gge6066]</t>
  </si>
  <si>
    <t>French National Research Agency (ANR) through the TROIS-AS project(Agence Nationale de la Recherche (ANR)); Australian Research Council (ARC) DECRA Fellowship(Australian Research Council); CINES</t>
  </si>
  <si>
    <t>This work was funded by the French National Research Agency (ANR) through the TROIS-AS (ANR-15-CE01-0005-01) project. M.D., N.J., G.D., and J.L. are part of Labex OSUG2020 (ANR10 LABX56). N.J. is an Associate Investigator of the ARC Centre of Excellence for Climate System Science. P.S. was supported by an Australian Research Council (ARC) DECRA Fellowship (DE150100223). The computational resources were provided by CINES through the egi6035 and gge6066 projects. We thank P. Mathiot and G. Madec for the development of the ice-shelf module which is central in this work, and S. Cornford for making his data available. The model code for NEMO-3.6 is available from the NEMO website (www.nemo-ocean.eu). The branch used in this study is the development branch named dev_r5151_UKMO_ISF at revision 5932.</t>
  </si>
  <si>
    <t>10.1002/2017JC013059</t>
  </si>
  <si>
    <t>WOS:000422732100052</t>
  </si>
  <si>
    <t>Borovsky, JE; Horne, RB; Meredith, NP</t>
  </si>
  <si>
    <t>Borovsky, Joseph E.; Horne, Richard B.; Meredith, Nigel P.</t>
  </si>
  <si>
    <t>The Contribution of Compressional Magnetic Pumping to the Energization of the Earth's Outer Electron Radiation Belt During High-Speed Stream-Driven Storms</t>
  </si>
  <si>
    <t>PITCH-ANGLE SCATTERING; WHISTLER-MODE CHORUS; WIND DYNAMIC PRESSURE; SOLAR-WIND; RELATIVISTIC ELECTRONS; CHARGED-PARTICLES; GEOSYNCHRONOUS ORBIT; ENERGETIC ELECTRONS; DIFFUSION-COEFFICIENTS; INNER MAGNETOSPHERE</t>
  </si>
  <si>
    <t>Compressional magnetic pumping is an interaction between cyclic magnetic compressions and pitch angle scattering with the scattering acting as a catalyst to allow the cyclic compressions to energize particles. Compressional magnetic pumping of the outer electron radiation belt at geosynchronous orbit in the dayside magnetosphere is analyzed by means of computer simulations, wherein solar wind compressions of the dayside magnetosphere energize electrons with electron pitch angle scattering by chorus waves and by electromagnetic ion cyclotron (EMIC) waves. The magnetic pumping is found to produce a weak bulk heating of the electron radiation belt, and it also produces an energetic tail on the electron energy distribution. The amount of energization depends on the robustness of the solar wind compressions and on the amplitude of the chorus and/or EMIC waves. Chorus-catalyzed pumping is better at energizing medium-energy (50-200 keV) electrons than it is at energizing higher-energy electrons; at high energies (500 keV-2 MeV) EMIC-catalyzed pumping is a stronger energizer. The magnetic pumping simulation results are compared with energy diffusion calculations for chorus waves in the dayside magnetosphere; in general, compressional magnetic pumping is found to be weaker at accelerating electrons than is chorus-driven energy diffusion. In circumstances when solar wind compressions are robust and when EMIC waves are present in the dayside magnetosphere without the presence of chorus, EMIC-catalyzed magnetic pumping could be the dominant energization mechanism in the dayside magnetosphere, but at such times loss cone losses will be strong.</t>
  </si>
  <si>
    <t>[Borovsky, Joseph E.] Univ Michigan, CLASP, Ann Arbor, MI 48109 USA; [Borovsky, Joseph E.] Space Sci Inst, Boulder, CO 80301 USA; [Horne, Richard B.; Meredith, Nigel P.] British Antarctic Survey, Cambridge, England</t>
  </si>
  <si>
    <t>University of Michigan System; University of Michigan; UK Research &amp; Innovation (UKRI); Natural Environment Research Council (NERC); NERC British Antarctic Survey</t>
  </si>
  <si>
    <t>Borovsky, JE (corresponding author), Univ Michigan, CLASP, Ann Arbor, MI 48109 USA.;Borovsky, JE (corresponding author), Space Sci Inst, Boulder, CO 80301 USA.</t>
  </si>
  <si>
    <t>jborovsky@spacescience.org</t>
  </si>
  <si>
    <t>Horne, Richard B/U-3764-2019; Meredith, Nigel P/C-5806-2018</t>
  </si>
  <si>
    <t>Horne, Richard B/0000-0002-0412-6407; Borovsky, Joseph E./0000-0002-2325-3348; Meredith, Nigel/0000-0001-5032-3463</t>
  </si>
  <si>
    <t>University of Michigan by the NASA Geospace SRT program [NNX12AD29G]; Space Science Institute by the NASA Heliophysics LWS TRT program [NNX14AN90G, NNX16AB75G]; NSF GEM program [AGS-1502947]; NSF Solar-Terrestrial program [AGS-1261659]; NASA Heliophysics Guest Investigator program [NNX14AC15G]; British Antarctic Survey by UK Natural Environment Research Council National Capability funding; Natural Environment Research Council [bas0100031, NE/P01738X/1] Funding Source: researchfish; Div Atmospheric &amp; Geospace Sciences; Directorate For Geosciences [1502947] Funding Source: National Science Foundation; NASA [NNX12AD29G, 52892] Funding Source: Federal RePORTER; NERC [NE/P01738X/1, bas0100031] Funding Source: UKRI</t>
  </si>
  <si>
    <t>University of Michigan by the NASA Geospace SRT program; Space Science Institute by the NASA Heliophysics LWS TRT program; NSF GEM program(National Science Foundation (NSF)NSF - Directorate for Engineering (ENG)); NSF Solar-Terrestrial program; NASA Heliophysics Guest Investigator program(National Aeronautics &amp; Space Administration (NASA)); British Antarctic Survey by UK Natural Environment Research Council National Capability funding; Natural Environment Research Council(UK Research &amp; Innovation (UKRI)Natural Environment Research Council (NERC)); Div Atmospheric &amp; Geospace Sciences; Directorate For Geosciences(National Science Foundation (NSF)NSF - Directorate for Geosciences (GEO)); NASA(National Aeronautics &amp; Space Administration (NASA)); NERC(UK Research &amp; Innovation (UKRI)Natural Environment Research Council (NERC))</t>
  </si>
  <si>
    <t>The authors thank Mick Denton, Sarah A. Glauert, Mike Hartinger, Mike Henderson, Tobias Kersten, and Geoff Reeves for help and for helpful conversations. This work was supported at the University of Michigan by the NASA Geospace SR&amp;T program via grant NNX12AD29G; supported at the Space Science Institute by the NASA Heliophysics LWS TRT program via grants NNX14AN90G and NNX16AB75G, by the NSF GEM program via award AGS-1502947, by the NSF Solar-Terrestrial program via grant AGS-1261659, and by the NASA Heliophysics Guest Investigator program via grant NNX14AC15G; and supported at the British Antarctic Survey by UK Natural Environment Research Council National Capability funding. Simulation outputs are available upon request from the first author. J. E. B. dedicates this paper to Glenn Joyce and Chris Goertz.</t>
  </si>
  <si>
    <t>10.1002/2017JA024607</t>
  </si>
  <si>
    <t>FS9JY</t>
  </si>
  <si>
    <t>Bronze, Green Accepted, Green Published</t>
  </si>
  <si>
    <t>WOS:000422735500024</t>
  </si>
  <si>
    <t>Fear, RC; Trenchi, L; Coxon, JC; Milan, SE</t>
  </si>
  <si>
    <t>Fear, R. C.; Trenchi, L.; Coxon, J. C.; Milan, S. E.</t>
  </si>
  <si>
    <t>How Much Flux Does a Flux Transfer Event Transfer?</t>
  </si>
  <si>
    <t>INTERPLANETARY MAGNETIC-FIELD; HIGH-LATITUDE MAGNETOPAUSE; PULSED IONOSPHERIC FLOWS; DUSKWARD ORIENTED IMF; CUTLASS FINLAND RADAR; EARTHS MAGNETOPAUSE; HF RADAR; DAYSIDE MAGNETOPAUSE; ENHANCED CONVECTION; CLUSTER SPACECRAFT</t>
  </si>
  <si>
    <t>Flux transfer events are bursts of reconnection at the dayside magnetopause, which give rise to characteristic signatures observed by a range of magnetospheric/ ionospheric instrumentation. One outstanding problem is that there is a fundamental mismatch between space-based and ionospheric estimates of the flux that is opened by each flux transfer event-in other words, their overall significance in the Dungey cycle. Spacecraft-based estimates of the flux content of individual flux transfer events (FTEs) correspond to each event transferring flux equivalent to approximately 1% of the open flux in the magnetosphere, whereas studies based on global-scale radar and auroral observations suggest this figure could be of the order of 10%. In the former case, flux transfer events would be a minor detail in the Dungey cycle, but in the latter they could be its main driver. We present observations of two conjunctions between flux transfer events observed by the Cluster spacecraft and pulsed ionospheric flows observed by the Super Dual Auroral Radar Network (SuperDARN) network. In both cases, a similar number of FTE signatures were observed by Cluster and one of the SuperDARN radars, but the conjunctions differ in the azimuthal separation of the spacecraft and ionospheric observations (i.e., the distance of the spacecraft from the cusp throat). We argue that the reason for the existing mismatch in flux estimates is due to implicit assumptions made about FTE structure, which tacitly ignore the majority of flux opened in mechanisms based on longer reconnection lines. If the effects of such mechanisms are considered, a much better match is found. Plain Language Summary The Earth's magnetosphere is the highly dynamic region of space occupied by the Earth's magnetic field. Its dynamics are driven by its interaction with the solar wind, through a process called magnetic reconnection, in which magnetic fields from the Sun and the Earth interconnect. Reconnection occurs in bursts called flux transfer events that cause signatures that can be seen by both spacecraft and ionospheric radars. Either type of measurement can be used to work out the amount of magnetic reconnection occurring in each burst, but the two methods produce very different results. In this paper we show that a consistent answer can be obtained from both methods, but a new approach must be taken with the spacecraft observations. Our results suggest that flux transfer events could be the main driver of the magnetosphere's dynamics.</t>
  </si>
  <si>
    <t>[Fear, R. C.; Trenchi, L.; Coxon, J. C.] Univ Southampton, Dept Phys &amp; Astron, Southampton, Hants, England; [Trenchi, L.] European Space Agcy, ESRIN, Frascati, Italy; [Milan, S. E.] Univ Leicester, Dept Phys &amp; Astron, Leicester, Leics, England</t>
  </si>
  <si>
    <t>University of Southampton; European Space Agency; University of Leicester</t>
  </si>
  <si>
    <t>Fear, RC (corresponding author), Univ Southampton, Dept Phys &amp; Astron, Southampton, Hants, England.</t>
  </si>
  <si>
    <t>R.C.Fear@soton.ac.uk</t>
  </si>
  <si>
    <t>Coxon, John/AAN-9355-2021</t>
  </si>
  <si>
    <t>Coxon, John/0000-0002-0166-6854; Milan, Steve/0000-0001-5050-9604; Trenchi, Lorenzo/0000-0002-1726-6038; Fear, Robert/0000-0003-0589-7147</t>
  </si>
  <si>
    <t>UK's Science and Technology Facilities Council (STFC) Ernest Rutherford Fellowship [ST/K004298/2]; STFC Ernest Rutherford grant [ST/L002809/1]; STFC consolidated grant [ST/N000749/1]; national scientific funding agency of Australia; national scientific funding agency of Canada; national scientific funding agency of China; national scientific funding agency of France; national scientific funding agency of South Africa; national scientific funding agency of United Kingdom; national scientific funding agency of United States of America; national scientific funding agency of Japan; STFC [ST/L002809/1, ST/N000749/1, ST/K004298/2] Funding Source: UKRI; Science and Technology Facilities Council [ST/L002809/1, ST/N000749/1, ST/K004298/2] Funding Source: researchfish</t>
  </si>
  <si>
    <t>UK's Science and Technology Facilities Council (STFC) Ernest Rutherford Fellowship; STFC Ernest Rutherford grant(UK Research &amp; Innovation (UKRI)Science &amp; Technology Facilities Council (STFC)); STFC consolidated grant(UK Research &amp; Innovation (UKRI)Science &amp; Technology Facilities Council (STFC)); national scientific funding agency of Australia; national scientific funding agency of Canada; national scientific funding agency of China; national scientific funding agency of France; national scientific funding agency of South Africa; national scientific funding agency of United Kingdom; national scientific funding agency of United States of America; national scientific funding agency of Japan; STFC(UK Research &amp; Innovation (UKRI)Science &amp; Technology Facilities Council (STFC)); Science and Technology Facilities Council(UK Research &amp; Innovation (UKRI)Science &amp; Technology Facilities Council (STFC))</t>
  </si>
  <si>
    <t>R.C.F. was supported by the UK's Science and Technology Facilities Council (STFC) Ernest Rutherford Fellowship ST/K004298/2; L.T. and J.C.C. were supported by STFC Ernest Rutherford grant ST/L002809/1, and S.E.M. was supported by STFC consolidated grant ST/N000749/1. SuperDARN is a collection of radars funded by national scientific funding agencies of Australia, Canada, China, France, Japan, South Africa, United Kingdom, and the United States of America. Data were obtained from the British Antarctic Survey SuperDARN data hub and processed with RST v4.0 and FITACF v3.0. Cluster data were obtained from the Cluster Science Archive (https://www.cosmos.esa.int/web/csa). We are grateful to Paul Breen, Pasha Ponomarenko, Kevin Sterne, and Keith Kotyk for their assistance with the SuperDARN data hub, RST, and FITACF.</t>
  </si>
  <si>
    <t>10.1002/2017JA024730</t>
  </si>
  <si>
    <t>WOS:000422735500031</t>
  </si>
  <si>
    <t>Quillfeldt, P; Engler, JO; Silk, JRD; Phillips, RA</t>
  </si>
  <si>
    <t>Quillfeldt, Petra; Engler, Jan O.; Silk, Janet R. D.; Phillips, Richard A.</t>
  </si>
  <si>
    <t>Influence of device accuracy and choice of algorithm for species distribution modelling of seabirds: a case study using black-browed albatrosses</t>
  </si>
  <si>
    <t>SAMPLE-SIZE; AREAS; PERFORMANCE; MIGRATION; PETRELS</t>
  </si>
  <si>
    <t>Species distribution models (SDM) based on tracking data from different devices are used increasingly to explain and predict seabird distributions. However, different tracking methods provide different data resolutions, ranging from &lt; 10 m to &gt; 100 km. To better understand the implications of this variation, we modeled the potential distribution of black-browed albatrosses Thalassarche melanophris from South Georgia that were simultaneously equipped with a platform terminal transmitter (PTT) (high resolution) and a global location sensor (GLS) logger (coarse resolution), and measured the overlap of the respective potential distribution for a total of nine different SDM algorithms. We found slightly better model fits for the PTT than for GLS data (AUC values 0.958 +/- 0.048 vs 0.95 +/- 0.05) across all algorithms. The overlaps of the predicted distributions were higher between device types for the same algorithm, than among algorithms for either device type. Uncertainty arising from coarse-resolution location data is therefore lower than that associated with the modeling technique. Consequently, the choice of an appropriate algorithm appears to be more important than device type when applying SDMs to seabird tracking data. Despite their low accuracy, GLS data appear to be effective for analyzing the habitat preferences and distribution patterns of pelagic species.</t>
  </si>
  <si>
    <t>[Quillfeldt, Petra] Justus Liebig Univ, Dept Anim Ecol &amp; Systemat, Giessen, Germany; [Engler, Jan O.] Univ Ghent, Dept Biol, Terr Ecol Unit, Ghent, Belgium; [Engler, Jan O.] Zool Res Museum Alexander Koenig, Bonn, Germany; [Engler, Jan O.] Univ Gottingen, Dept Wildlife Sci, Gottingen, Germany; [Silk, Janet R. D.; Phillips, Richard A.] British Antarctic Survey, Nat Environm Res Council, Cambridge, England</t>
  </si>
  <si>
    <t>Justus Liebig University Giessen; Ghent University; Zoologisches Forschungsmuseum Alexander Koenig (ZFMK); UK Research &amp; Innovation (UKRI); Natural Environment Research Council (NERC); NERC British Antarctic Survey</t>
  </si>
  <si>
    <t>Engler, JO (corresponding author), Univ Ghent, Dept Biol, Terr Ecol Unit, Ghent, Belgium.;Engler, JO (corresponding author), Zool Res Museum Alexander Koenig, Bonn, Germany.;Engler, JO (corresponding author), Univ Gottingen, Dept Wildlife Sci, Gottingen, Germany.</t>
  </si>
  <si>
    <t>JEngler@gmx.de</t>
  </si>
  <si>
    <t>Engler, Jan/HJH-5102-2023</t>
  </si>
  <si>
    <t>Natural Environment Research Council; FWO Flanders PostDoc fellowship programme [12G4317N]; NERC [bas0100035] Funding Source: UKRI; Natural Environment Research Council [bas0100035] Funding Source: researchfish</t>
  </si>
  <si>
    <t>Natural Environment Research Council(UK Research &amp; Innovation (UKRI)Natural Environment Research Council (NERC)); FWO Flanders PostDoc fellowship programme; NERC(UK Research &amp; Innovation (UKRI)Natural Environment Research Council (NERC)); Natural Environment Research Council(UK Research &amp; Innovation (UKRI)Natural Environment Research Council (NERC))</t>
  </si>
  <si>
    <t>This study represents a contribution to the Ecosystems component of the British Antarctic Survey Polar Science for Planet Earth Programme, funded by the Natural Environment Research Council. JOE was funded under the FWO Flanders PostDoc fellowship programme (grant number: 12G4317N).</t>
  </si>
  <si>
    <t>10.1111/jav.01238</t>
  </si>
  <si>
    <t>FQ3SG</t>
  </si>
  <si>
    <t>WOS:000418276300006</t>
  </si>
  <si>
    <t>Mäkynen, M; Karvonen, J</t>
  </si>
  <si>
    <t>Makynen, Marko; Karvonen, Juha</t>
  </si>
  <si>
    <t>MODIS Sea Ice Thickness and Open Water-Sea Ice Charts over the Barents and Kara Seas for Development and Validation of Sea Ice Products from Microwave Sensor Data</t>
  </si>
  <si>
    <t>sea ice; remote sensing; MODIS; synthetic aperture radar; microwave radiometer</t>
  </si>
  <si>
    <t>THERMAL-INFRARED IMAGERY; AMSR-E; BALTIC SEA; CLOUD DETECTION; RADIOMETER DATA; SATELLITE DATA; SAR DATA; ALGORITHM; POLYNYA; CLASSIFICATION</t>
  </si>
  <si>
    <t>We have developed algorithms and procedures for calculating daily sea ice thickness ( SIT) and open water- sea ice ( OWSI) charts, based on the Moderate Resolution Imaging Spectroradiometer ( MODIS), ice surface temperature ( IST) ( night- time only), and reflectance ( R) swath data, respectively. The resolution of the SIT chart is 1 km and that of the OWSI chart is 250 m. The charts are targeted to be used in development and validation of sea ice products from microwave sensor data. We improve the original MODIS cloud masks for the IST and R data, with a focus on identifying larger cloud- free areas in the data. The SIT estimation from the MODIS IST swath data follows previous studies. The daily SIT chart is composed from available swath charts by assigning daily median SIT to a pixel. The OWSI classification is simply conducted by a fixed threshold for the MODIS band 1 R. This was based on manually selected R data for various ice types in late winter, early melt, and advanced melt conditions. The composition procedures for the daily SIT and OWSI charts somewhat compensates for errors due to the undetected clouds. The SIT and OWSI charts were compared against manual ice charts by Arctic and Antarctic Research Institute in Russia and by Norwegian Meteorological Institute, respectively, and on average, a good relationship between the charts was found. Pixel- wise comparison of the SIT and OWSI charts showed very good agreement in open water vs. sea ice classification, which gives further confidence on the reliability of our algorithms. We also demonstrate usage of the MODIS OWSI and SIT charts for validation of sea ice concentration charts based on the SENTINEL- 1 SAR and AMSR2 radiometer data and two different algorithms.</t>
  </si>
  <si>
    <t>[Makynen, Marko; Karvonen, Juha] Finnish Meteorol Inst, PB 503, FI-00101 Helsinki, Finland</t>
  </si>
  <si>
    <t>Finnish Meteorological Institute</t>
  </si>
  <si>
    <t>Mäkynen, M (corresponding author), Finnish Meteorol Inst, PB 503, FI-00101 Helsinki, Finland.</t>
  </si>
  <si>
    <t>marko.makynen@fmi.fi; juha.karvonen@fmi.fi</t>
  </si>
  <si>
    <t>Karvonen, Juha/AAJ-3323-2020; Makynen, Marko/AAP-4772-2020</t>
  </si>
  <si>
    <t>Karvonen, Juha/0000-0002-8840-0636; Makynen, Marko/0000-0003-1250-6300</t>
  </si>
  <si>
    <t>project Space-borne observations for detecting and forecasting sea ice cover extremes (SPICES)</t>
  </si>
  <si>
    <t>This work was supported by the project Space-borne observations for detecting and forecasting sea ice cover extremes (SPICES) funded mainly the European Union's Horizon 2020 Programme.</t>
  </si>
  <si>
    <t>10.3390/rs9121324</t>
  </si>
  <si>
    <t>FR7GM</t>
  </si>
  <si>
    <t>WOS:000419235700119</t>
  </si>
  <si>
    <t>Choi, JY; Jang, JS; Son, DJ; Im, HS; Kim, JY; Park, JE; Choi, WR; Han, SB; Hong, JT</t>
  </si>
  <si>
    <t>Choi, Ji Yeon; Jang, Jun Sung; Son, Dong Ju; Im, Hyung-Sik; Kim, Ji Yeong; Park, Joung Eun; Choi, Won Rak; Han, Sang-Bae; Hong, Jin Tae</t>
  </si>
  <si>
    <t>Antarctic Krill Oil Diet Protects against Lipopolysaccharide-Induced Oxidative Stress, Neuroinflammation and Cognitive Impairment</t>
  </si>
  <si>
    <t>INTERNATIONAL JOURNAL OF MOLECULAR SCIENCES</t>
  </si>
  <si>
    <t>neuroinflammation; amyloidogenesis; oxidation; nuclear factor-kappa B; krill oil</t>
  </si>
  <si>
    <t>NF-KAPPA-B; ALZHEIMERS-DISEASE; INFLAMMATION; EXPRESSION; ASTAXANTHIN</t>
  </si>
  <si>
    <t>Oxidative stress and neuroinflammation are implicated in the development and pathogenesis of Alzheimer's disease (AD). Here, we investigated the anti-inflammatory and antioxidative effects of krill oil. Oil from Euphausia superba (Antarctic krill), an Antarctic marine species, is rich in eicosapentaenoic acid (EPA) and docosahexaenoic acid (DHA). We examined whether krill oil diet (80 mg/kg/day for one month) prevents amyloidogenesis and cognitive impairment induced by intraperitoneal lipopolysaccharide (LPS) (250 mu g/kg, seven times daily) injections in AD mice model and found that krill oil treatment inhibited the LPS-induced memory loss. We also found that krill oil treatment inhibited the LPS-induced expression of inducible nitric oxide synthase (iNOS) and cyclooxygenase-2 (COX-2) and decreased reactive oxygen species (ROS) and malondialdehyde levels. Krill oil also suppresses I kappa B degradation as well as p50 and p65 translocation into the nuclei of LPS-injected mice brain cells. In association with the inhibitory effect on neuroinflammation and oxidative stress, krill oil suppressed amyloid beta (1-42) peptide generation by the down-regulating APP and BACE1 expression in vivo. We found that eicosapentaenoic acid (EPA) and docosahexaenoic acid (DHA) (50 and 100 mu M) dose-dependently decreased LPS-induced nitric oxide and ROS generation, and COX-2 and iNOS expression as well as nuclear factor-kappa B activity in cultured microglial BV-2 cells. These results suggest that krill oil ameliorated impairment via anti-inflammatory, antioxidative, and anti-amyloidogenic mechanisms.</t>
  </si>
  <si>
    <t>[Hong, Jin Tae] Chungbuk Natl Univ, Coll Pharm, 194-31 Osongsaemgmyeong 1 Ro, Cheongju 28160, Chungbuk, South Korea; Chungbuk Natl Univ, Med Res Ctr, 194-31 Osongsaemgmyeong 1 Ro, Cheongju 28160, Chungbuk, South Korea</t>
  </si>
  <si>
    <t>Chungbuk National University; Chungbuk National University</t>
  </si>
  <si>
    <t>Hong, JT (corresponding author), Chungbuk Natl Univ, Coll Pharm, 194-31 Osongsaemgmyeong 1 Ro, Cheongju 28160, Chungbuk, South Korea.</t>
  </si>
  <si>
    <t>cjy8316@hanmail.net; chvictory07@hanmail.net; sondj1@hotmail.com; ihs311@naver.com; ronevans@naver.com; wlwl83@naver.com; cwonr@sk.com; shan@chungbuk.ac.kr; jinthong@chungbuk.ac.kr</t>
  </si>
  <si>
    <t>Hong, Jin Tae/0000-0002-6534-9575</t>
  </si>
  <si>
    <t>National Research Foundation of Korea [NRF] - Korea government (MSIP) [2017R1A5A2015541]; Functional Districts of the Science Belt support program, Ministry of Science, ICT and Future Planning</t>
  </si>
  <si>
    <t>National Research Foundation of Korea [NRF] - Korea government (MSIP)(National Research Foundation of KoreaMinistry of Science, ICT &amp; Future Planning, Republic of Korea); Functional Districts of the Science Belt support program, Ministry of Science, ICT and Future Planning(Ministry of Science, ICT &amp; Future Planning, Republic of Korea)</t>
  </si>
  <si>
    <t>This work is financially supported by the National Research Foundation of Korea [NRF] Grant funded by the Korea government (MSIP) (No. MRC, 2017R1A5A2015541), and by the Functional Districts of the Science Belt support program, Ministry of Science, ICT and Future Planning.</t>
  </si>
  <si>
    <t>1422-0067</t>
  </si>
  <si>
    <t>INT J MOL SCI</t>
  </si>
  <si>
    <t>Int. J. Mol. Sci.</t>
  </si>
  <si>
    <t>10.3390/ijms18122554</t>
  </si>
  <si>
    <t>FR2KU</t>
  </si>
  <si>
    <t>WOS:000418896700058</t>
  </si>
  <si>
    <t>Kim, HJ; Koo, BW; Kim, D; Seo, YS; Nam, YK</t>
  </si>
  <si>
    <t>Kim, Hak Jun; Koo, Bon-Won; Kim, Doa; Seo, Ye Seul; Nam, Yoon Kwon</t>
  </si>
  <si>
    <t>Effect of Marine-Derived Ice-Binding Proteins on the Cryopreservation of Marine Microalgae</t>
  </si>
  <si>
    <t>MARINE DRUGS</t>
  </si>
  <si>
    <t>ice-binding proteins; ice recrystallization inhibition; cryoprotectant; slow-freezing; Isochrysis galbana; Pavlova viridis; Chlamydomonas coccoides</t>
  </si>
  <si>
    <t>YEAST LEUCOSPORIDIUM SP; ANTIFREEZE PROTEINS; ISOCHRYSIS-GALBANA; CELL-SURVIVAL; RECRYSTALLIZATION; INHIBITION; DIETS; VITRIFICATION; OPTIMIZATION; TEMPERATURE</t>
  </si>
  <si>
    <t>Ice-binding protein (IBPs) protect cells from cryo-injury during cryopreservation by inhibiting ice recrystallization (IR), which is a main cause of cell death. In the present study, we employed two IBPs, one, designated LeIBP from Arctic yeast, and the other, designated FfIBP from Antarctic sea ice bacterium, in the cryopreservation of three economically valuable marine microalgae, Isochrysis galbana, Pavlova viridis, and Chlamydomonas coccoides. Both of the IBPs showed IR inhibition in f/2 medium containing 10% DMSO, indicating that they retain their function in freezing media. Microalgal cells were frozen in 10% DMSO with or without IBP. Post-thaw viability exhibited that the supplementation of IBPs increased the viability of all cryopreserved cells. LeIBP was effective in P. viridis and C. coccoides, while FfIBP was in I. galbana. The cryopreservative effect was more drastic with P. viridis when 0.05 mg/mL LeIBP was used. These results clearly demonstrate that IBPs could improve the viability of cryopreserved microalgal cells.</t>
  </si>
  <si>
    <t>[Kim, Hak Jun; Kim, Doa; Seo, Ye Seul] Pukyong Natl Univ, Dept Chem, Busan 48513, South Korea; [Koo, Bon-Won] Natl Fisheries Res &amp; Dev Inst, Southeast Sea Fisheries Res Inst, Namhae 52440, South Korea; [Nam, Yoon Kwon] Pukyong Natl Univ, Dept Marine Biomat &amp; Aquaculture, Busan 48513, South Korea</t>
  </si>
  <si>
    <t>Pukyong National University; Pukyong National University</t>
  </si>
  <si>
    <t>Kim, HJ (corresponding author), Pukyong Natl Univ, Dept Chem, Busan 48513, South Korea.;Nam, YK (corresponding author), Pukyong Natl Univ, Dept Marine Biomat &amp; Aquaculture, Busan 48513, South Korea.</t>
  </si>
  <si>
    <t>kimhj@pknu.ac.kr; 89guti14@gmail.com; doakim@pknu.ac.kr; sys4118@gmail.com; yoonknam@pknu.ac.kr</t>
  </si>
  <si>
    <t>Ministry of Oceans and Fisheries [1525006494]; Korea Institute of Marine Science &amp; Technology Promotion</t>
  </si>
  <si>
    <t>Ministry of Oceans and Fisheries; Korea Institute of Marine Science &amp; Technology Promotion</t>
  </si>
  <si>
    <t>This work is supported by research grants of Korea Institute of Marine Science &amp; Technology Promotion and Ministry of Oceans and Fisheries (grant no. 1525006494).</t>
  </si>
  <si>
    <t>1660-3397</t>
  </si>
  <si>
    <t>MAR DRUGS</t>
  </si>
  <si>
    <t>Mar. Drugs</t>
  </si>
  <si>
    <t>10.3390/md15120372</t>
  </si>
  <si>
    <t>Chemistry, Medicinal; Pharmacology &amp; Pharmacy</t>
  </si>
  <si>
    <t>Pharmacology &amp; Pharmacy</t>
  </si>
  <si>
    <t>FR6ZR</t>
  </si>
  <si>
    <t>WOS:000419216500009</t>
  </si>
  <si>
    <t>Sukigara, C; Mino, Y; Tripathy, SC; Ishizaka, J; Matsuno, T</t>
  </si>
  <si>
    <t>Sukigara, Chiho; Mino, Yoshihisa; Tripathy, Sarat Chandra; Ishizaka, Joji; Matsuno, Takeshi</t>
  </si>
  <si>
    <t>Impacts of the Changjiang diluted water on sinking processes of particulate organic matters in the East China Sea</t>
  </si>
  <si>
    <t>East China Sea; Changjiang diluted water; Particulate flux; Material transport; Carbon and nitrogen isotope ratio</t>
  </si>
  <si>
    <t>NITROGEN ISOTOPE BIOGEOCHEMISTRY; SEASONAL-VARIATION; CARBON; OCEAN; PHOSPHORUS; DELTA-C-13; PARTICLES; MECHANISM; PLANKTON; BUDGETS</t>
  </si>
  <si>
    <t>Intensive surveys with repeated CTD and microstructure turbulent observations, water and sediments sampling as well as onboard incubation and sediment trap experiments were conducted to reveal the nitrogen budget in the center of the East China Sea (ECS) during July 2010 and 2011. Low salinity water (Changjiang Diluted Water, CDW) covered the study area in 2010, but not in 2011. Higher chlorophyll a (chl. a) concentration, primary productivity, and downward particle flux in the upper layer were observed in 2010 than those in 2011. Existence of the CDW resulted in a steep pycnocline and an associated subsurface chl. a maximum (SCM) layer directly beneath the CDW. From chemical analyses of particulate carbon and nitrogen contents and isotope ratios, it became apparent that the particles sunk out the euphotic zone in 2010 was primarily originated in the CDW layer and secondly in the SCM layer. Whereas, in 2011, sinking particles were originated in the surface layer but a part of them were decomposed in the bottom of pycnocline. Our findings indicate that the CDW would supply particles into the deep layer and contribute to the downward transport of materials and the efficiency of biological pump in the ECS.</t>
  </si>
  <si>
    <t>[Sukigara, Chiho] Tokyo Univ Marine Sci &amp; Technol, Ctr Marine Res &amp; Operat, Tokyo, Japan; [Mino, Yoshihisa; Ishizaka, Joji] Nagoya Univ, Inst Space Earth Environm Res, Nagoya, Aichi, Japan; [Tripathy, Sarat Chandra] Minist Earth Sci, ESSO Natl Ctr Antarctic &amp; Ocean Res, Vasco Da Gama, Goa, India; [Matsuno, Takeshi] Kyushu Univ, Res Inst Appl Mech, Fukuoka, Japan</t>
  </si>
  <si>
    <t>Tokyo University of Marine Science &amp; Technology; Nagoya University; Ministry of Earth Sciences (MoES) - India; National Centre for Polar and Ocean Research (NCPOR); Kyushu University</t>
  </si>
  <si>
    <t>Sukigara, C (corresponding author), Tokyo Univ Marine Sci &amp; Technol, Ctr Marine Res &amp; Operat, Tokyo, Japan.</t>
  </si>
  <si>
    <t>csukig0@kaiyodai.ac.jp</t>
  </si>
  <si>
    <t>Ishizaka, Joji/B-3587-2009; Sukigara, Chiho/AGH-0186-2022</t>
  </si>
  <si>
    <t>Tripathy, Dr. Sarat Chandra/0000-0002-2437-8660; Matsuno, Takeshi/0000-0001-8526-909X</t>
  </si>
  <si>
    <t>JSPS KAKENHI [JP26241009]</t>
  </si>
  <si>
    <t>JSPS KAKENHI(Ministry of Education, Culture, Sports, Science and Technology, Japan (MEXT)Japan Society for the Promotion of ScienceGrants-in-Aid for Scientific Research (KAKENHI))</t>
  </si>
  <si>
    <t>We thank Captain, the officers, the crew members, and scientists of T/S Nagasaki-Mani, Nagasaki University for their dedication and cooperation. This work was supported by JSPS KAKENHI grant number JP26241009. Thanks are also given to member of the laboratory of Satellite Biological Oceanography at Nagoya University for their helpful discussion throughout this study.</t>
  </si>
  <si>
    <t>DEC 1</t>
  </si>
  <si>
    <t>10.1016/j.csr.2017.10.012</t>
  </si>
  <si>
    <t>FR3RP</t>
  </si>
  <si>
    <t>WOS:000418984400010</t>
  </si>
  <si>
    <t>Mori, M; Corney, SP; Melbourne-Thomas, J; Klocker, A; Sumner, M; Constable, A</t>
  </si>
  <si>
    <t>Mori, Mao; Corney, Stuart P.; Melbourne-Thomas, Jessica; Klocker, Andreas; Sumner, Michael; Constable, Andrew</t>
  </si>
  <si>
    <t>A biologically relevant method for considering patterns of oceanic retention in the Southern Ocean</t>
  </si>
  <si>
    <t>PROGRESS IN OCEANOGRAPHY</t>
  </si>
  <si>
    <t>Retention time; Southern Ocean; Particle advection; Ecosystem modelling; Plankton; Krill distribution</t>
  </si>
  <si>
    <t>KRILL EUPHAUSIA-SUPERBA; ANTARCTIC-CIRCUMPOLAR-CURRENT; EARLY-LIFE CONNECTIVITY; SEA-ICE; SATELLITE ALTIMETRY; TRANSPORT PATHWAYS; SCALE DISTRIBUTION; AUSTRAL SUMMER; CIRCULATION; VARIABILITY</t>
  </si>
  <si>
    <t>Many marine species have planktonic forms-either during a larval stage or throughout their lifecycle - that move passively or are strongly influenced by ocean currents. Understanding these patterns of movement is important for informing marine ecosystem management and for understanding ecological processes generally. Retention of biological particles in a particular area due to ocean currents has received less attention than transport pathways, particularly for the Southern Ocean. We present a method for modelling retention time, based on the half-life for particles in a particular region, that is relevant for biological processes. This method uses geostrophic velocities at the ocean surface, derived from 23 years of satellite altimetry data (1993-2016), to simulate the advection of passive particles during the Southern Hemisphere summer season (from December to March). We assess spatial patterns in the retention time of passive particles and evaluate the processes affecting these patterns for the Indian sector of the Southern Ocean. Our results indicate that the distribution of retention time is related to bathymetric features and the resulting ocean dynamics. Our analysis also reveals a moderate level of consistency between spatial patterns of retention time and observations of Antarctic krill (Euphausia superba) distribution.</t>
  </si>
  <si>
    <t>[Mori, Mao; Klocker, Andreas] Univ Tasmania, Inst Marine &amp; Antarctic Studies, Private Bag 129, Hobart, Tas 7001, Australia; [Mori, Mao; Corney, Stuart P.; Melbourne-Thomas, Jessica; Constable, Andrew] Antarctic Climate &amp; Ecosyst Cooperat Res Ctr, Private Bag 80, Hobart, Tas 7001, Australia; [Melbourne-Thomas, Jessica; Sumner, Michael; Constable, Andrew] Australian Antarctic Div, 203 Channel Highway, Kingston, Tas 7050, Australia</t>
  </si>
  <si>
    <t>University of Tasmania; Antarctic Climate &amp; Ecosystems Cooperative Research Centre (ACE CRC); Australian Antarctic Division</t>
  </si>
  <si>
    <t>Mori, M (corresponding author), Univ Tasmania, Inst Marine &amp; Antarctic Studies, Private Bag 129, Hobart, Tas 7001, Australia.</t>
  </si>
  <si>
    <t>Mao.Mori@utas.edu.au</t>
  </si>
  <si>
    <t>Melbourne-Thomas, Jess/N-2437-2019; Sumner, Michael D/J-3478-2013; Klocker, Andreas/E-4632-2011</t>
  </si>
  <si>
    <t>Melbourne-Thomas, Jess/0000-0001-6585-876X; Mori, Mao/0000-0001-6501-9261; Corney, Stuart/0000-0002-8293-0863; Klocker, Andreas/0000-0002-2038-7922; Sumner, Michael/0000-0002-2471-7511</t>
  </si>
  <si>
    <t>Australian Government's Cooperative Research Centres Programme through Antarctic Climate &amp; Ecosystems Cooperative Research Centre (ACE CRC); Australian Antarctic Science Program [4343, 4347]; Australian Research Council Discovery Early Career Researcher Award [DE140100076]; Australian Research Council [DE140100076] Funding Source: Australian Research Council</t>
  </si>
  <si>
    <t>Australian Government's Cooperative Research Centres Programme through Antarctic Climate &amp; Ecosystems Cooperative Research Centre (ACE CRC)(Australian GovernmentDepartment of Industry, Innovation and ScienceCooperative Research Centres (CRC) Programme); Australian Antarctic Science Program; Australian Research Council Discovery Early Career Researcher Award(Australian Research Council); Australian Research Council(Australian Research Council)</t>
  </si>
  <si>
    <t>This work was supported by the Australian Government's Cooperative Research Centres Programme through the Antarctic Climate &amp; Ecosystems Cooperative Research Centre (ACE CRC) and through the Australian Antarctic Science Program (Projects 4343 and 4347). We thank Ben Raymond and Dave Connell for supplying krill distribution data and So Kawaguchi for advice regarding krill biology. AK was supported by an Australian Research Council Discovery Early Career Researcher Award (DE140100076).</t>
  </si>
  <si>
    <t>0079-6611</t>
  </si>
  <si>
    <t>PROG OCEANOGR</t>
  </si>
  <si>
    <t>Prog. Oceanogr.</t>
  </si>
  <si>
    <t>10.1016/j.pocean.2017.09.008</t>
  </si>
  <si>
    <t>FR3QG</t>
  </si>
  <si>
    <t>WOS:000418980600001</t>
  </si>
  <si>
    <t>Gillespie, MK; Lawson, W; Rack, W; Anderson, B; Blankenship, DD; Young, DA; Holt, JW</t>
  </si>
  <si>
    <t>Gillespie, Mette K.; Lawson, Wendy; Rack, Wolfgang; Anderson, Brian; Blankenship, Donald D.; Young, Duncan A.; Holt, John W.</t>
  </si>
  <si>
    <t>Geometry and ice dynamics of the Darwin-Hatherton glacial system, Transantarctic Mountains</t>
  </si>
  <si>
    <t>JOURNAL OF GLACIOLOGY</t>
  </si>
  <si>
    <t>Antarctic glaciology; glacier flow; glacier mass balance; ice/ocean interactions; ice thickness measurements</t>
  </si>
  <si>
    <t>SURFACE MASS-BALANCE; DRONNING MAUD LAND; BASAL CONDITIONS; OUTLET GLACIERS; GROUNDING-ZONE; ANTARCTIC SNOW; POLAR ICE; SHELF; FLOW; SHEET</t>
  </si>
  <si>
    <t>The Darwin-Hatherton Glacial system (DHGS) connects the East Antarctic Ice Sheet (EAIS) with the Ross Ice Shelf and is a key area for understanding past variations in ice thickness of surrounding ice masses. Here we present the first detailed measurements of ice thickness and grounding zone characteristics of the DHGS as well as new measurements of ice velocity. The results illustrate the changes that occur in glacier geometry and ice flux as ice flows from the polar plateau and into the Ross Ice Shelf. The ice discharge and the mean basal ice shelf melt for the first 8.5 km downstream of the grounding line amount to 0.24 +/- 0.05 km(3) a(-1) and 0.3 +/- 0.1 m a(-1), respectively. As the ice begins to float, ice thickness decreases rapidly and basal terraces develop. Constructed maps of glacier geometry suggest that ice drainage from the EAIS into the Darwin Glacier occurs primarily through a deep subglacial canyon. By contrast, ice thins to &lt;200 m at the head of the much slower flowing Hatherton Glacier. The glacio-logical field study establishes an improved basis for the interpretation of glacial drift sheets at the link between the EAIS and the Ross Ice Sheet.</t>
  </si>
  <si>
    <t>[Gillespie, Mette K.] Western Norway Univ Appl Sci, Fac Engn &amp; Sci, POB 7030, Bergen, Norway; [Lawson, Wendy] Univ Canterbury, Dept Geog, Private Bag 4800, Christchurch, New Zealand; [Rack, Wolfgang] Univ Canterbury, Gateway Antarctica, Private Bag 4800, Christchurch, New Zealand; [Anderson, Brian] Victoria Univ, Antarctic Res Ctr, POB 600, Wellington, New Zealand; [Blankenship, Donald D.; Young, Duncan A.; Holt, John W.] Univ Texas Austin, Inst Geophys, Austin, TX 78758 USA</t>
  </si>
  <si>
    <t>Western Norway University of Applied Sciences; University of Canterbury; University of Canterbury; Victoria University Wellington; University of Texas System; University of Texas Austin</t>
  </si>
  <si>
    <t>Gillespie, MK (corresponding author), Western Norway Univ Appl Sci, Fac Engn &amp; Sci, POB 7030, Bergen, Norway.</t>
  </si>
  <si>
    <t>mette.kusk.gillespie@hvl.no</t>
  </si>
  <si>
    <t>Young, Duncan A./G-6256-2010; Rack, Wolfgang/U-8898-2017</t>
  </si>
  <si>
    <t>Rack, Wolfgang/0000-0003-2447-377X</t>
  </si>
  <si>
    <t>Antarctica New Zealand; Education New Zealand; Past Antarctic Climate and Future Implications program; National Science Foundation [PRL-0733025]; National Environmental Research Council grant [NE/D003733/1]</t>
  </si>
  <si>
    <t>Antarctica New Zealand; Education New Zealand; Past Antarctic Climate and Future Implications program; National Science Foundation(National Science Foundation (NSF)); National Environmental Research Council grant</t>
  </si>
  <si>
    <t>All data presented in this paper are available upon request to author Mette K. Gillespie (mette.kusk.gillespie@hvl.no). We would like to thank Antarctica New Zealand for providing financial and logistical support during the fieldwork and Education New Zealand who funded the PhD study of Mette K. Gillespie through their New Zealand International Doctoral Research Scholarship. W. Rack was partially supported by the Past Antarctic Climate and Future Implications program. IPY ICECAP data collection was funded by National Science Foundation grant PRL-0733025 and National Environmental Research Council grant NE/D003733/1 (PI: Martin Siegert). We also want to thank Martin Siegert who helped coordinate and plan the airborne radar survey (UTIG contribution number 3132). Thank you also to Dean Arthur and the staff at Scott Base for offering the support required to carry out the ground-based fieldwork. The SPIRIT DEM was made available through the IPY (International Polar Year) ASAID (Antarctic Surface Accumulation and Ice Discharge) project (PI: Robert Bindschadler), while Jan Lenaerts made his SMB models available for our calculations of catchmentwide SMB. Parts of this work rely on open access to data made public by authors via the Antarctic Digital Database, the National Snow and Ice Data Center and PANGEA: Data Publisher for Earth &amp; Environmental Science.</t>
  </si>
  <si>
    <t>0022-1430</t>
  </si>
  <si>
    <t>1727-5652</t>
  </si>
  <si>
    <t>J GLACIOL</t>
  </si>
  <si>
    <t>J. Glaciol.</t>
  </si>
  <si>
    <t>10.1017/jog.2017.60</t>
  </si>
  <si>
    <t>FR1UH</t>
  </si>
  <si>
    <t>WOS:000418852500003</t>
  </si>
  <si>
    <t>Damsgaard, A; Suckale, J; Piotrowski, JA; Houssais, M; Siegfried, MR; Fricker, HA</t>
  </si>
  <si>
    <t>Damsgaard, Anders; Suckale, Jenny; Piotrowski, Jan A.; Houssais, Morgane; Siegfried, Matthew R.; Fricker, Helen A.</t>
  </si>
  <si>
    <t>Sediment behavior controls equilibrium width of subglacial channels</t>
  </si>
  <si>
    <t>glacier hydrology; glacial tills; subglacial processes; subglacial sediments</t>
  </si>
  <si>
    <t>ANTARCTIC ICE STREAM; DISCRETE PARTICLE SIMULATION; NUMERICAL EXPERIMENTS; GRANULAR-MATERIALS; BENEATH GLACIERS; BASAL MECHANICS; BED DEFORMATION; WATER-PRESSURE; TUNNEL VALLEYS; FLOW</t>
  </si>
  <si>
    <t>Flow-frictional resistance at the base of glaciers and ice sheets is strongly linked to subglacial water pressure. Understanding the physical mechanisms that govern meltwater fluxes in subglacial channels is hence critical for constraining variations in ice flow. Previous mathematical descriptions of soft-bed subglacial channels assume a viscous till rheology, which is inconsistent with laboratory data and the majority of field studies. Here, we use a grain-scale numerical formulation coupled to pore-water dynamics to analyze the structural stability of channels carved into soft beds. Contrary to the soft-bed channel models assuming viscous till rheology, we show that the flanks of till channels can support substantial ice loads without creep closure of the channel, because the sediment has finite frictional strength. Increased normal stress on the channel flanks causes plastic failure of the sediment, and the channel rapidly shrinks to increase the ice-bed contact area. We derive a new parameterization for subglacial channelized flow on soft beds and show that channel dynamics are dominated by fluvial erosion and deposition processes with thresholds linked to the plastic rheology of subglacial tills. We infer that the described limits to channel size may cause subglacial drainage to arrange in networks of multiple closely spaced channels.</t>
  </si>
  <si>
    <t>[Damsgaard, Anders; Siegfried, Matthew R.; Fricker, Helen A.] Univ Calif San Diego, Scripps Inst Oceanog, Inst Geophys &amp; Planetary Phys, La Jolla, CA 92093 USA; [Suckale, Jenny; Siegfried, Matthew R.] Stanford Univ, Dept Geophys, Stanford, CA 94305 USA; [Suckale, Jenny] Stanford Univ, Inst Computat &amp; Math Engn, Stanford, CA 94305 USA; [Piotrowski, Jan A.] Aarhus Univ, Dept Geosci, Aarhus, Denmark; [Houssais, Morgane] CUNY City Coll, Levich Inst, 140th St &amp; Convent Ave, New York, NY 10031 USA</t>
  </si>
  <si>
    <t>University of California System; University of California San Diego; Scripps Institution of Oceanography; Stanford University; Stanford University; Aarhus University; City University of New York (CUNY) System; City College of New York (CUNY)</t>
  </si>
  <si>
    <t>Damsgaard, A (corresponding author), Princeton Univ, Geophys Fluid Dynam Lab, Princeton, NJ 08544 USA.</t>
  </si>
  <si>
    <t>andersd@princeton.edu</t>
  </si>
  <si>
    <t>Damsgaard, Anders/ABA-3996-2021</t>
  </si>
  <si>
    <t>Damsgaard, Anders/0000-0002-9284-1709; Fricker, Helen Amanda/0000-0002-0921-1432</t>
  </si>
  <si>
    <t>Cecil H. and Ida M. Green Foundation; NVIDIA Corporation; [NSF-PLR-1543396]</t>
  </si>
  <si>
    <t>Cecil H. and Ida M. Green Foundation; NVIDIA Corporation(Nvidia Corporation);</t>
  </si>
  <si>
    <t>A. Damsgaard was supported by a postdoctoral fellowship by the Cecil H. and Ida M. Green Foundation and NSF-PLR-1543396. A. Damsgaard acknowledges the NVIDIA Corporation for a hardware grant and the Extreme Science and Engineering Discovery Environment (XSEDE) for a high-performance computing startup allocation. In preparation for this paper, A. Damsgaard has benefited from discussions with C.W. Elsworth, L. Goren, I.J. Hewitt, S.P. Carter, A. Cabrales-Vargas, and V. Tsai. We thank Jonathan Kingslake and anonymous reviewer for constructive comments, which improved the manuscript and Neil Glasser for handling the editorial process.</t>
  </si>
  <si>
    <t>10.1017/jog.2017.71</t>
  </si>
  <si>
    <t>WOS:000418852500009</t>
  </si>
  <si>
    <t>Vargo, LJ; Anderson, BM; Horgan, HJ; Mackintosh, AN; Lorrey, AM; Thornton, M</t>
  </si>
  <si>
    <t>Vargo, Lauren J.; Anderson, Brian M.; Horgan, Huw J.; Mackintosh, Andrew N.; Lorrey, Andrew M.; Thornton, Merijn</t>
  </si>
  <si>
    <t>Using structure from motion photogrammetry to measure past glacier changes from historic aerial photographs</t>
  </si>
  <si>
    <t>glacier fluctuations; glaciological instruments and methods; mass-balance reconstruction; mountain glaciers; remote sensing</t>
  </si>
  <si>
    <t>NEW-ZEALAND; MASS-BALANCE; SENSITIVITY; FLUCTUATIONS; RECORDS</t>
  </si>
  <si>
    <t>Quantifying historic changes in glacier size and mass balance is important for understanding how the cryosphere responds to climate variability and change. Airborne photogrammetry enables glacier extent and equilibrium line altitudes (ELAs) to be monitored for more glaciers at lower cost than traditional mass-balance programs and other remote-sensing techniques. Since 1977, end-of-summer-snowlines, which are a proxy for annual ELAs, have been recorded for 50 glaciers in the Southern Alps of New Zealand using oblique aerial photographs. In this study, we use structure from motion photogrammetry to estimate the camera parameters, including position, for historic photographs, which we then use to measure glacier change. We apply this method to a small maritime New Zealand glacier (Brewster Glacier, 1670-2400 m a.s.l.) to derive annual ELA and length records between 1981 and 2017, and quantify the uncertainties associated with the method. Our length reconstruction shows largely continuous terminus retreat of 365 +/- 12 m for Brewster Glacier since 1981. The ELA record, which compares well with glaciological mass-balance data measured between 2005 and 2015, shows pronounced interannual variability. Mean ELAs range from 1707 +/- 6 to 2303 +/- 5 m a.s.l., with the highest ELAs occurring in the last decade.</t>
  </si>
  <si>
    <t>[Vargo, Lauren J.; Anderson, Brian M.; Horgan, Huw J.; Mackintosh, Andrew N.; Thornton, Merijn] Victoria Univ Wellington, Antarctic Res Ctr, Wellington, New Zealand; [Lorrey, Andrew M.] Natl Inst Water &amp; Atmospher Res, Auckland, New Zealand</t>
  </si>
  <si>
    <t>Victoria University Wellington; National Institute of Water &amp; Atmospheric Research (NIWA) - New Zealand</t>
  </si>
  <si>
    <t>Vargo, LJ (corresponding author), Victoria Univ Wellington, Antarctic Res Ctr, Wellington, New Zealand.</t>
  </si>
  <si>
    <t>lauren.vargo@vuw.ac.nz</t>
  </si>
  <si>
    <t>Vargo, Lauren J/D-8736-2015</t>
  </si>
  <si>
    <t>Vargo, Lauren J/0000-0001-7037-0451; Horgan, Huw/0000-0002-4836-0078; Mackintosh, Andrew/0000-0002-6430-4711</t>
  </si>
  <si>
    <t>NIWA Strategic Science Investment Fund project Climate Present and Past [CAOA1501, CAOA1601, CAOA1701, CAOA1801]; Victoria University of Wellington Doctoral Scholarship</t>
  </si>
  <si>
    <t>NIWA Strategic Science Investment Fund project Climate Present and Past; Victoria University of Wellington Doctoral Scholarship</t>
  </si>
  <si>
    <t>This work was supported by the NIWA Strategic Science Investment Fund project Climate Present and Past, contracts CAOA1501, CAOA1601, CAOA1701, and CAOA1801, and the Victoria University of Wellington Doctoral Scholarship. We thank Trevor Chinn for pioneering and continuing the EoSS survey. We also thank two anonymous reviewers and editor, Hester Jiskoot, for their detailed and constructive comments.</t>
  </si>
  <si>
    <t>10.1017/jog.2017.79</t>
  </si>
  <si>
    <t>WOS:000418852500014</t>
  </si>
  <si>
    <t>Kumar, R; Sharma, R; Singh, RP; Gupta, P; Oza, SR</t>
  </si>
  <si>
    <t>Kumar, Raj; Sharma, Rashmi; Singh, R. P.; Gupta, Praveen; Oza, Sandip R.</t>
  </si>
  <si>
    <t>SARAL/AltiKa Mission: Applications Using Ka-band Altimetry</t>
  </si>
  <si>
    <t>PROCEEDINGS OF THE NATIONAL ACADEMY OF SCIENCES INDIA SECTION A-PHYSICAL SCIENCES</t>
  </si>
  <si>
    <t>SARAL/AltiKa; 40-Hz data; Coastal geophysical parameters; Inland water level; Ice sheet surface elevation</t>
  </si>
  <si>
    <t>SEA-ICE THICKNESS; WEST ANTARCTICA; MASS-BALANCE; SURFACE; RIVER; DISCHARGE; GLACIER; OCEAN; SHEET</t>
  </si>
  <si>
    <t>Observations from AltiKa (nadir altimeter in Ka-band) on board the Satellite with ARGOS and AltiKa (SARAL) mission have been used for exploring new, unique and challenging areas. These application areas are coastal altimetry, inland hydrology and cryosphere (continental and sea ice). High rate (40-Hz) data from AltiKa has been exploited for retrieving very useful oceanic parameters (sea surface height anomaly, significant wave height and ocean surface wind) in the coastal waters (up to similar to 3 km off coast) of Indian landmass region. Validation carried out using buoys and tide gauge suggest exceedingly high correlation (similar to 0.7-0.9) in the region of 3-10 km from the coast for each of these parameters. AltiKa is able to provide reasonably good quality ocean parameters much nearer to the coast (up to 3-10 km) as compared to Jason-2 (up to 8-10 km). Under the land hydrology, some of the extreme events such as flood wave (Brahmaputra river) and hydrological drought (Ukai reservoir) over India have been captured extremely well by AltiKa data. Brahmaputra river flood plain experiences flood waves almost every year. Flood wave of Brahmaputra river was captured using the AltiKa data on 9th June 2015. Two important aspects of cryospheric applications of AltiKa data has revealed interesting findings. During 2013-2015, East Antarctica is gaining ice with maximum change of 0.6 m in many regions. While in the west near Thwaites glacier and Pine Island glacier, more than 2 m reduction in the elevation has been observed. Winter sea ice freeboard thickness values were found to be higher than those estimated during summer period in both Arctic and Antarctic regions.</t>
  </si>
  <si>
    <t>[Kumar, Raj; Sharma, Rashmi; Singh, R. P.; Gupta, Praveen; Oza, Sandip R.] Space Applicat Ctr, Earth Ocean Atmosphere Planetary Sci &amp; Applicat A, Ahmadabad, Gujarat, India</t>
  </si>
  <si>
    <t>Department of Space (DoS), Government of India; Indian Space Research Organisation (ISRO); Space Applications Centre (SAC)</t>
  </si>
  <si>
    <t>Kumar, R (corresponding author), Space Applicat Ctr, Earth Ocean Atmosphere Planetary Sci &amp; Applicat A, Ahmadabad, Gujarat, India.</t>
  </si>
  <si>
    <t>rksharma@sac.isro.gov.in</t>
  </si>
  <si>
    <t>kumar, Raj/JFS-5911-2023; Kumar, Rajendra/KCK-1621-2024</t>
  </si>
  <si>
    <t>NATL ACAD SCIENCES INDIA</t>
  </si>
  <si>
    <t>ALLAHABAD</t>
  </si>
  <si>
    <t>5 LAJPATRAI RD, ALLAHABAD 211002, INDIA</t>
  </si>
  <si>
    <t>0369-8203</t>
  </si>
  <si>
    <t>2250-1762</t>
  </si>
  <si>
    <t>P NATL A SCI INDIA A</t>
  </si>
  <si>
    <t>Proc. Nat. Acad. Sci. India A</t>
  </si>
  <si>
    <t>10.1007/s40010-017-0436-8</t>
  </si>
  <si>
    <t>FR1IH</t>
  </si>
  <si>
    <t>WOS:000418819200009</t>
  </si>
  <si>
    <t>Redeker, KR; Chong, JPJ; Aguion, A; Hodson, A; Pearce, DA</t>
  </si>
  <si>
    <t>Redeker, K. R.; Chong, J. P. J.; Aguion, A.; Hodson, A.; Pearce, D. A.</t>
  </si>
  <si>
    <t>Microbial metabolism directly affects trace gases in (sub) polar snowpacks</t>
  </si>
  <si>
    <t>JOURNAL OF THE ROYAL SOCIETY INTERFACE</t>
  </si>
  <si>
    <t>Antarctic; Arctic; firn; methyl bromide; methyl iodide</t>
  </si>
  <si>
    <t>CHLORIDE-UTILIZING BACTERIA; METHYL-CHLORIDE; ULTRAVIOLET-RADIATION; RICE PADDIES; ARCTIC SNOW; ICE CORE; ATMOSPHERE; EMISSIONS; RATES; DIVERSITY</t>
  </si>
  <si>
    <t>Concentrations of trace gases trapped in ice are considered to develop uniquely from direct snow/atmosphere interactions at the time of contact. This assumption relies upon limited or no biological, chemical or physical transformations occurring during transition from snow to firn to ice; a process that can take decades to complete. Here, we present the first evidence of environmental alteration due to in situ microbial metabolism of trace gases (methyl halides and dimethyl sulfide) in polar snow. We collected evidence for ongoing microbial metabolism from an Arctic and an Antarctic location during different years. Methyl iodide production in the snowpack decreased significantly after exposure to enhanced UV radiation. Our results also show large variations in the production and consumption of other methyl halides, including methyl bromide and methyl chloride, used in climate interpretations. These results suggest that this long-neglected microbial activity could constitute a potential source of error in climate history interpretations, by introducing a so far unappreciated source of bias in the quantification of atmospheric-derived trace gases trapped within the polar ice caps.</t>
  </si>
  <si>
    <t>[Redeker, K. R.; Chong, J. P. J.; Aguion, A.] Univ York, Dept Biol, York, N Yorkshire, England; [Hodson, A.] Univ Sheffield, Dept Geog, Sheffield, S Yorkshire, England; [Hodson, A.] Univ Ctr Svalbard, Dept Arctic Geol, Svalbard, Norway; [Pearce, D. A.] Northumbria Univ, Dept Appl Sci, Ellison Bldg, Newcastle Upon Tyne NE66 1UG, Tyne &amp; Wear, England</t>
  </si>
  <si>
    <t>University of York - UK; University of Sheffield; University Centre Svalbard (UNIS); Northumbria University</t>
  </si>
  <si>
    <t>Redeker, KR (corresponding author), Univ York, Dept Biol, York, N Yorkshire, England.</t>
  </si>
  <si>
    <t>kelly.redeker@york.ac.uk</t>
  </si>
  <si>
    <t>Chong, James/AAC-4957-2019; Redeker, Kelly/AAV-3821-2020</t>
  </si>
  <si>
    <t>Redeker, Kelly/0000-0002-1903-2286; Pearce, David/0000-0001-5292-4596; Aguion, Alba/0000-0002-5429-2227; Chong, James/0000-0001-9447-7421; Hodson, Andrew/0000-0002-1255-7987</t>
  </si>
  <si>
    <t>BAS Collaborative Gearing Scheme; NERC [NE/H014446/1, NE/H014802/2, NE/H014802/1] Funding Source: UKRI</t>
  </si>
  <si>
    <t>BAS Collaborative Gearing Scheme; NERC(UK Research &amp; Innovation (UKRI)Natural Environment Research Council (NERC))</t>
  </si>
  <si>
    <t>The work was supported through the BAS Collaborative Gearing Scheme and departmental resources from author institutions. J.P.J.C. is a Royal Society Industry Fellow.</t>
  </si>
  <si>
    <t>1742-5689</t>
  </si>
  <si>
    <t>1742-5662</t>
  </si>
  <si>
    <t>J R SOC INTERFACE</t>
  </si>
  <si>
    <t>J. R. Soc. Interface</t>
  </si>
  <si>
    <t>10.1098/rsif.2017.0729</t>
  </si>
  <si>
    <t>FQ9QH</t>
  </si>
  <si>
    <t>WOS:000418696300013</t>
  </si>
  <si>
    <t>Cuba-Díaz, M; Klagges, M; Fuentes-Lillo, E; Cordero, C; Acuña, D; Opazo, G; Troncoso-Castro, JM</t>
  </si>
  <si>
    <t>Cuba-Diaz, Marely; Klagges, Macarena; Fuentes-Lillo, Eduardo; Cordero, Cristian; Acuna, Daniela; Opazo, Genesis; Troncoso-Castro, Jose M.</t>
  </si>
  <si>
    <t>Phenotypic variability and genetic differentiation in continental and island populations of Colobanthus quitensis (Caryophyllaceae: Antarctic pearlwort)</t>
  </si>
  <si>
    <t>Antarctic; Ecotypes; Genetic structure; Genetic variability; Morphological diversity; Antarctic pearlwort</t>
  </si>
  <si>
    <t>ULTRAVIOLET-B RADIATION; 2 ECOTYPES; DIVERSITY; HISTORY; GROWTH; SIZE; SENSITIVITY; GERMINATION; DIVERGENCE; POACEAE</t>
  </si>
  <si>
    <t>Colobanthus quitensis (Antarctic pearlwort) is one of the only two native vascular plants to inhabit the extreme environmental conditions of Antarctica. Colobanthus quitensis has a wide geographic distribution, both in latitude and altitude, and always inhabits extreme environments. This makes it crucial for understanding environmental tolerance mechanisms, and a useful model for studies regarding genetic diversity and intraspecific morphology. Several morphological and molecular descriptors were applied to C. quitensis populations, constituting the first study of its kind in these species. We postulated that morphological variability is strongly linked to geographic distribution, and that this is manifested in external morphological characteristics and genetic structure. A large intra- and interpopulational morphological variability was verified. Both morphological variability and genetics made it possible to form two separate groups between continental and Antarctic island populations. The genetic diversity was high to moderate with the least amount of diversity towards the north. The genetic structure was high, and the gene flow between populations was low. The correlation between morphological, genetic, geographic and altitudinal distances permits the proposal of an isolation by distance model that can be used between populations with high Bio-geographical influence. Understanding what factors lead to local or colonization adaptation, and determining the morphological variations and genetic differentiation in populations of C. quitensis, is vital for the understanding of the evolutionary history that has contributed to the success of the establishment of this species in an environment as extreme as Antarctica. Additionally, this study demonstrates the usefulness of the combined use of morpho-physiological and molecular markers for variability and diversity studies.</t>
  </si>
  <si>
    <t>[Cuba-Diaz, Marely; Klagges, Macarena; Fuentes-Lillo, Eduardo; Cordero, Cristian; Acuna, Daniela; Opazo, Genesis] Univ Concepcion, Lab Biotecnol &amp; Estudios Ambiental, Escuela Ciencias &amp; Tecnol, Campus Los Angeles Casilla 341, Juan Antonio Coloma 0201, Los Angeles, Chile; [Fuentes-Lillo, Eduardo] Univ Concepcion, Lab Invas Biol, Fac Ciencias Forestales, Victoria 631, Concepcion, Chile; [Opazo, Genesis] Univ Chile, Lab Nanocelulosa &amp; Biomat, Beauchef 851,Piso 5, Santiago Ctr, Chile; [Troncoso-Castro, Jose M.] Univ Concepcion, Lab Palinol &amp; Ecol Vegetal, Escuela Ciencias &amp; Tecnol, Campus Los Angeles Casilla 341, Juan Antonio Coloma 0201, Los Angeles, Chile</t>
  </si>
  <si>
    <t>Universidad de Concepcion; Universidad de Concepcion; Universidad de Chile; Universidad de Concepcion</t>
  </si>
  <si>
    <t>Cuba-Díaz, M (corresponding author), Univ Concepcion, Lab Biotecnol &amp; Estudios Ambiental, Escuela Ciencias &amp; Tecnol, Campus Los Angeles Casilla 341, Juan Antonio Coloma 0201, Los Angeles, Chile.</t>
  </si>
  <si>
    <t>mcuba@udec.cl</t>
  </si>
  <si>
    <t>Cuba-Diaz, Marely/V-3109-2019</t>
  </si>
  <si>
    <t>Cordero, Cristian/0009-0001-0270-3434; Fuentes-Lillo, Eduardo/0000-0001-5657-954X</t>
  </si>
  <si>
    <t>Chilean Antarctic Institute [INACH RT_03-09, INACH RG_02-13]</t>
  </si>
  <si>
    <t>Chilean Antarctic Institute</t>
  </si>
  <si>
    <t>This research was undertaken with financing from the Chilean Antarctic Institute through the INACH RT_03-09 and INACH RG_02-13 projects. We wish to thank the Chilean Antarctic Institute, the Chilean Air Force, Chilean Navy and Henryk Arctowski Polish Antarctic Station for the logistical support during the on-site activities. The authors would like to thank Dieter Piepenburg, Peter Convey, and the other two reviewers, for their thorough analysis that has led to a significant improvement in this work. Finally, we wish to thank the editors at International Journal Revisions for their contributions and comprehensive English language revision.</t>
  </si>
  <si>
    <t>10.1007/s00300-017-2152-x</t>
  </si>
  <si>
    <t>FQ5GJ</t>
  </si>
  <si>
    <t>WOS:000418386500006</t>
  </si>
  <si>
    <t>Vargas, S; Dohrmann, M; Göcke, C; Janussen, D; Wörheide, G</t>
  </si>
  <si>
    <t>Vargas, Sergio; Dohrmann, Martin; Goecke, Christian; Janussen, Dorte; Woerheide, Gert</t>
  </si>
  <si>
    <t>Nuclear and mitochondrial phylogeny of Rossella (Hexactinellida: Lyssacinosida, Rossellidae): a species and a species flock in the Southern Ocean</t>
  </si>
  <si>
    <t>Antarctica; Glass sponges; Hexactinellida; Molecular phylogeny; Molecular systematics; Species flock; Porifera; Rossella; Rossellidae; Sponges</t>
  </si>
  <si>
    <t>GLASS SPONGES PORIFERA; WEDDELL SEA; DNA; COMMUNITIES; CONFIDENCE; DIVERSITY; EVOLUTION; SHELF; GENUS</t>
  </si>
  <si>
    <t>Hexactinellida (glass sponges) are abundant and important components of Antarctic benthic communities. However, the relationships and systematics within the common genus Rossella Carter, 1872 (Lyssacinosida: Rossellidae), are unclear and in need of revision. The species content of this genus has changed dramatically over the years depending on the criteria used by the taxonomic authority consulted. Rossella was formerly regarded as a putatively monophyletic group distributed in the Southern Ocean and the North Atlantic. However, molecular phylogenetic analyses have shown that Rossella is restricted to the Southern Ocean, where it shows a circum-Antarctic and subantarctic distribution. Herein, we provide a molecular phylogenetic analysis of the genus Rossella, based on mitochondrial (16S rDNA and COI) and nuclear (28S rDNA) markers. We corroborate the monophyly of Rossella and provide evidence supporting the existence of one species, namely Rossella antarctica Carter, 1872 and a species flock including specimens determined as Rossella racovitzae Topsent, 1901, Rossella nuda Topsent, 1901, Rossella fibulata Schulze and Kirkpatrick 1910, and Rossella levis (Kirkpatrick 1907).</t>
  </si>
  <si>
    <t>[Vargas, Sergio; Dohrmann, Martin; Woerheide, Gert] Ludwig Maximilians Univ Munchen, Dept Earth &amp; Environm Sci Palaeontol &amp; Geobiol, Richard Wagner Str 10, D-80333 Munich, Germany; [Goecke, Christian; Janussen, Dorte] Forschungsinst &amp; Nat Museum Senckenberg, Senckenberganlage 25, D-60325 Frankfurt, Germany; [Woerheide, Gert] Bavarian State Collect Palaeontol &amp; Geol, Richard Wagner Str 10, D-80333 Munich, Germany; [Woerheide, Gert] GeoBioctr LMU, Richard Wagner Str 10, D-80333 Munich, Germany; [Goecke, Christian] Museum Nat Kunde, Munsterstr 271, D-44145 Dortmund, Germany</t>
  </si>
  <si>
    <t>University of Munich; Senckenberg Gesellschaft fur Naturforschung (SGN); University of Munich; Leibniz Institut fur Evolutions und Biodiversitatsforschung</t>
  </si>
  <si>
    <t>Wörheide, G (corresponding author), Ludwig Maximilians Univ Munchen, Dept Earth &amp; Environm Sci Palaeontol &amp; Geobiol, Richard Wagner Str 10, D-80333 Munich, Germany.;Wörheide, G (corresponding author), Bavarian State Collect Palaeontol &amp; Geol, Richard Wagner Str 10, D-80333 Munich, Germany.;Wörheide, G (corresponding author), GeoBioctr LMU, Richard Wagner Str 10, D-80333 Munich, Germany.</t>
  </si>
  <si>
    <t>woerheide@lmu.de</t>
  </si>
  <si>
    <t>Wörheide, Gert/C-1080-2008; Dohrmann, Martin/H-6157-2019; Vargas, Sergio/A-5678-2011</t>
  </si>
  <si>
    <t>Wörheide, Gert/0000-0002-6380-7421; Vargas, Sergio/0000-0001-8704-1339</t>
  </si>
  <si>
    <t>German Science Foundation (DFG) [SPP 1158, Wo896/9-1,2, DJ1063/14-2,2, DJ1063/ 17-1]</t>
  </si>
  <si>
    <t>German Science Foundation (DFG)(German Research Foundation (DFG))</t>
  </si>
  <si>
    <t>We thank Annamarie Gabrenya and Astrid Schuster for assistance and support in the laboratory. Constructive comments of past and present members of the Molecular Geo- and Palaeobiology Lab, LMU Munchen, greatly improved the project. This study was possible thanks to funding of the German Science Foundation (DFG), through the SPP 1158 Antarktisforschung, grants Wo896/9-1,2 to G. Worheide, and DJ1063/14-2,2 and DJ1063/ 17-1 to D. Janussen, respectively. SV is indebted to N. Villalobos Trigueros, M. Vargas Villalobos, S. Vargas Villalobos, and S. Vargas Villalobos for their constant support during the course of the study.</t>
  </si>
  <si>
    <t>10.1007/s00300-017-2155-7</t>
  </si>
  <si>
    <t>WOS:000418386500009</t>
  </si>
  <si>
    <t>Laptikhovsky, V; Xavier, JC</t>
  </si>
  <si>
    <t>Laptikhovsky, V.; Xavier, J. C.</t>
  </si>
  <si>
    <t>Dwarf males of giant warty squid Kondakovia longimana and a description of their spermatophores</t>
  </si>
  <si>
    <t>Squid; Antarctic; Kondakovia; Spermatophore; Dimorphism</t>
  </si>
  <si>
    <t>SOUTH GEORGIA; GALITEUTHIS-GLACIALIS; INTERANNUAL VARIATION; REPRODUCTIVE-BIOLOGY; OCEANIC SQUIDS; INDIAN-OCEAN; CEPHALOPODS; ALBATROSSES; SEA; ONYCHOTEUTHIDAE</t>
  </si>
  <si>
    <t>Antarctic squids are widely known to play an important role in the diet of various Antarctic predators, although the biology of those squids and how that relates to their availability to their predators is poorly known. We assessed the reproductive system of the deep-sea giant warty Antarctic squid Kondakovia longimana under a predator-prey context. The spermatophores of male K. longimana are described, based on two specimens foraged by albatrosses at Bird Island, South Georgia (54A degrees S, 38A degrees W). Spermatophore length (SL) was 42-90 mm, head occupied mean = 1.8-2.4% SL, ejaculatory tube = 17-22% SL, cement body = 19-22% SL, seminal reservoir = 56-59% SL and rear empty part = 0.4-0.8% SL. All spermatophores of K. longimana in our study were normal and functional, and very dissimilar to those of other spent squid, in which the spermatophores have short, semi-transparent seminal reservoirs and a large empty rear part. Senescent male K. longimana could become available to predation by albatrosses (presumably being surfaced) with spermatophoric sacs (Needham's sacs) containing at least a hundred of normal spermatophores having no evidence of reproductive system degeneration. From known relation between beak and body size all known adult males in K. longimana were dwarfs in respect to females. Our data also show that they have extended spermatophore production as in other squids.</t>
  </si>
  <si>
    <t>[Laptikhovsky, V.] CEFAS, Pakefield Rd, Lowestoft NR33 0HT, Suffolk, England; [Xavier, J. C.] Univ Coimbra, Dept Life Sci, Marine &amp; Environm Sci Ctr MARE, P-3004517 Coimbra, Portugal; [Xavier, J. C.] British Antarctic Survey, Nat Environm Res Council, Cambridge CB3 0ET, England</t>
  </si>
  <si>
    <t>Centre for Environment Fisheries &amp; Aquaculture Science; Universidade de Coimbra; UK Research &amp; Innovation (UKRI); Natural Environment Research Council (NERC); NERC British Antarctic Survey</t>
  </si>
  <si>
    <t>Laptikhovsky, V (corresponding author), CEFAS, Pakefield Rd, Lowestoft NR33 0HT, Suffolk, England.</t>
  </si>
  <si>
    <t>vladimir.laptikhovsky@cefas.co.uk</t>
  </si>
  <si>
    <t>Xavier, José/KFB-6739-2024</t>
  </si>
  <si>
    <t>/0000-0002-9621-6660</t>
  </si>
  <si>
    <t>FCT [IF/ 00616/2013]; Fundacao para a Ciencia e Tecnologia [UID/MAR/04292/2013]; NERC [bas0100035] Funding Source: UKRI; Natural Environment Research Council [bas0100035] Funding Source: researchfish</t>
  </si>
  <si>
    <t>FCT(Fundacao para a Ciencia e a Tecnologia (FCT)); Fundacao para a Ciencia e Tecnologia(Fundacao para a Ciencia e a Tecnologia (FCT)); NERC(UK Research &amp; Innovation (UKRI)Natural Environment Research Council (NERC)); Natural Environment Research Council(UK Research &amp; Innovation (UKRI)Natural Environment Research Council (NERC))</t>
  </si>
  <si>
    <t>We thank Richard Phillips, Derren Fox and the team of research assistants at Bird Island, South Georgia of the British Antarctic Survey. We are very grateful to three anonymous reviewers, Dr. Jim Ellis (Cefas) and prof. Dieter Piepenburg (Polar Biology) for valuable comments, and Dr. Christopher Barrett for improving English language. JCX is supported by the Investigator FCT program (IF/ 00616/2013) and this work is a part of SCAR AnT-ERA, ICED, BASCEPH programs and had the support of Fundacao para a Ciencia e Tecnologia, through the strategic project UID/MAR/04292/2013 granted to MARE.</t>
  </si>
  <si>
    <t>10.1007/s00300-017-2158-4</t>
  </si>
  <si>
    <t>WOS:000418386500012</t>
  </si>
  <si>
    <t>Kuklinski, P; Balazy, P; Krzeminska, M; Bielecka, L</t>
  </si>
  <si>
    <t>Kuklinski, Piotr; Balazy, Piotr; Krzeminska, Malgorzata; Bielecka, Luiza</t>
  </si>
  <si>
    <t>Species pool structure explains patterns of Antarctic rock-encrusting organism recruitment</t>
  </si>
  <si>
    <t>Recruitment; Epifauna; Encrusting organisms; Assemblage isolation; Antarctic</t>
  </si>
  <si>
    <t>GENETIC-STRUCTURE; LARVAL DISPERSAL; PELAGIC LARVAE; MARINE; CONSEQUENCES; CONNECTIVITY; COLONIZATION; SETTLEMENT; ASSEMBLAGES; COMPETITION</t>
  </si>
  <si>
    <t>Understanding the population dynamics of benthic communities is impossible without understanding the processes related to their initial development, including recruitment. In polar areas, encrusting organisms, such as bryozoans, polychaetes, sponges and ascidians, are amongst some of the most species-rich and abundant groups of macrofaunal organisms, yet knowledge about their ecology is far from being complete. In this study, by investigating established encrusting assemblages and recruitment onto experimental substrate, we examine the level of similarity between adult populations and newly recruited assemblages in the polar realm. This study was conducted during the austral summer of 2010-2011 in Maritime Antarctica at King George Island (62A degrees S, 58A degrees W) at two locations contrasting in their biological and physical conditions. Despite the small distance (similar to 3 km) between the two study sites, the local species pools (species composition, numerical abundance) differed significantly and had a great influence on the observed recruitment pattern. The species composition of new recruits overlapped with that of nearby assemblages at all examined locations. The dominance structure was also identical, with bryozoans being the major component of these assemblages. The numbers of species and individuals in the newly recruited communities and local resident assemblages were also strongly correlated. The obtained results suggest that the recruitment of encrusting fauna in the Antarctic can be very localized and occurs in close vicinity to adult populations.</t>
  </si>
  <si>
    <t>[Kuklinski, Piotr; Balazy, Piotr; Krzeminska, Malgorzata] Polish Acad Sci, Inst Oceanol, Powstancow Warszawy 55, PL-81712 Sopot, Poland; [Kuklinski, Piotr] Nat Hist Museum, London SW7 5BD, England; [Bielecka, Luiza] Univ Gdansk, Inst Oceanog, Fac Oceanog &amp; Geog, Dept Marine Ecosyst Functioning, Al Marszalka J Pilsudskiego 46, PL-81378 Gdynia, Poland</t>
  </si>
  <si>
    <t>Polish Academy of Sciences; Institute of Oceanology of the Polish Academy of Sciences; Natural History Museum London; Fahrenheit Universities; University of Gdansk</t>
  </si>
  <si>
    <t>Kuklinski, P (corresponding author), Polish Acad Sci, Inst Oceanol, Powstancow Warszawy 55, PL-81712 Sopot, Poland.;Kuklinski, P (corresponding author), Nat Hist Museum, London SW7 5BD, England.</t>
  </si>
  <si>
    <t>kuki@iopan.gda.pl</t>
  </si>
  <si>
    <t>Balazy, Piotr/D-2949-2018</t>
  </si>
  <si>
    <t>Balazy, Piotr/0000-0002-1126-3151; Krzeminska, Malgorzata/0000-0001-7823-1253; Kuklinski, Piotr/0000-0002-1507-215X; Bielecka, Luiza/0000-0002-1162-9272</t>
  </si>
  <si>
    <t>Polish-Norwegian Research Programme [Pol-Nor/196260/81/2013]</t>
  </si>
  <si>
    <t>Polish-Norwegian Research Programme</t>
  </si>
  <si>
    <t>We would like to address special thanks to Tadeusz Stryjek for help during each step of the expedition. We would like also to thank Andrzej Tatur, Tomasz Janecki and Anna Kidawa for help in organizing the expedition. Jaroslaw Roszczyk, Mateusz Bagnicki, Lech Wisniewski and the rest of the Polish Antarctic Station Arctowski crew, including Kazimierz Polec, Tadeusz Markowicz, Wieslaw Sienkiewicz, Kazimierz Warowicki, Wlodzimierz Tkaczyk, Waldemar Kowalski, Michal Guzniczak and Piotr Horzela, are thanked for help with logistics and great company during field work. The authors would also like to thank Paul Renaud and an anonymous reviewer for valuable comments leading to an improved version of the manuscript. This study was conducted during the Polish-Norwegian Research Programme operated by the National Centre for Research and Development under the Norwegian Financial Mechanism 2009-2014 in the framework of Project Contract No. Pol-Nor/196260/81/2013.</t>
  </si>
  <si>
    <t>10.1007/s00300-017-2159-3</t>
  </si>
  <si>
    <t>WOS:000418386500013</t>
  </si>
  <si>
    <t>Le François, NR; Sheehan, E; Desvignes, T; Belzile, C; Postlethwait, JH; Detrich, HW</t>
  </si>
  <si>
    <t>Le Francois, Nathalie R.; Sheehan, Eileen; Desvignes, Thomas; Belzile, Claude; Postlethwait, John H.; Detrich, H. William, III</t>
  </si>
  <si>
    <t>Characterization and husbandry of wild broodstock of the blackfin icefish Chaenocephalus aceratus (Lonnberg 1906) from the Palmer Archipelago (Southern Ocean) for breeding purposes</t>
  </si>
  <si>
    <t>Icefish; Reproductive traits; Breeding; Husbandry; Captivity; Notothenioid</t>
  </si>
  <si>
    <t>EARLY-LIFE HISTORY; SCOTIA SEA ICEFISH; COD GADUS-MORHUA; ANTARCTIC PENINSULA; ATLANTIC COD; SPERM CRYOPRESERVATION; FERTILIZATION SUCCESS; NOTOTHENIA-CORIICEPS; FISH REPRODUCTION; COMMON WOLFFISH</t>
  </si>
  <si>
    <t>The blackfin icefish Chaenocephalus aceratus represents a key component of the fish fauna surrounding the Antarctic Peninsula that may be especially vulnerable to the effects of climate change. Although the sensitivity of adults to elevated temperature has been evaluated, little is known about the potential impact of a warmer temperature on other life history stages including embryos and larvae. To investigate thermal effects on embryogenesis and larval development, one must establish optimal zootechnical parameters for maintaining reproductively competent broodstock in captivity. During two consecutive years, we conducted an evaluation of body morphometrics and reproductive traits and investigated appropriate husbandry practices. Absolute and relative fecundities of females were estimated as 14,367 +/- 5733 and 8.87 +/- 2.35 (Mean +/- SD), respectively. Mean wet and dry masses (+/- SD) of eggs were 24.5 +/- 11.0 and 15.3 +/- 4.8 mg, respectively and the mean egg diameter (+/- SD) was 0.31 +/- 0.03 cm. Post-capture mortality was high and no spawning state females survived for a sufficiently long time to allow release or extraction of mature eggs. Injecting males with gonadotropin-releasing hormone (GnRH) increased their gonadosomatic index by 2-fold and stimulated spermiation. Mean (+/- SD) sperm cell count per mL post-GnRH treatment was 9.9 x 10(9) +/- 2.5 x 10(9), and the spermatocrit was 16.9 +/- 3.8%. Our findings indicate that extending the duration of female survival post-capture will be necessary for the production of fertile eggs. Suggestions for future research are discussed.</t>
  </si>
  <si>
    <t>[Le Francois, Nathalie R.] Biodome Montreal, Div Collect Vivantes &amp; Rech, Espace Vie, 4777 Ave Pierre De Coubertin, Montreal, PQ H1V 1B3, Canada; [Sheehan, Eileen; Detrich, H. William, III] Northeastern Univ, Ctr Marine Sci, Dept Marine &amp; Environm Sci, Nahant, MA 01908 USA; [Desvignes, Thomas; Postlethwait, John H.] Univ Oregon, Inst Neurosci, Eugene, OR 97403 USA; [Belzile, Claude] Univ Quebec, Inst Sci Mer ISMER, 310 Allee Ursulines, Rimouski, PQ G5L 3A1, Canada</t>
  </si>
  <si>
    <t>Northeastern University; University of Oregon; University of Quebec</t>
  </si>
  <si>
    <t>Le François, NR (corresponding author), Biodome Montreal, Div Collect Vivantes &amp; Rech, Espace Vie, 4777 Ave Pierre De Coubertin, Montreal, PQ H1V 1B3, Canada.</t>
  </si>
  <si>
    <t>NLe_Francois@ville.montreal.qc.ca</t>
  </si>
  <si>
    <t>Thomas, Desvignes/AAX-3526-2020; Le François, Nathalie/U-4515-2019</t>
  </si>
  <si>
    <t>Thomas, Desvignes/0000-0001-5126-8785; Le Francois, Nathalie R./0000-0002-9748-8182; Belzile, Claude/0000-0003-3908-7433</t>
  </si>
  <si>
    <t>Societe des Amis du Biodome de Montreal; NIH from National Institute on Aging [R01AG031922]; Office of the Director [5R01OD011116]; NSF from Office/Division of Polar Programs [ANT-0944517, PLR-1247510, PLR-1444167, PLR-1543383]</t>
  </si>
  <si>
    <t>Societe des Amis du Biodome de Montreal; NIH from National Institute on Aging; Office of the Director(National Science Foundation (NSF)NSF - Office of the Director (OD)); NSF from Office/Division of Polar Programs</t>
  </si>
  <si>
    <t>The authors would like to thank the captains and crews of the Research Vessel Laurence M Gould (LMG) and Palmer Station staff and personnel for their help in collecting and maintaining our fish populations on board the LMG and at the Palmer Station facilities. We thank A. Savoie (Universite du Quebec a Rimouski) and L. Goetz (Northeastern University) for assistance in the evaluation of semen. The scientific and logistical support from station personnel is greatly appreciated, with a special thought for the chef M. Hiller for keeping the spirits of station personnel high during the 2014 winter. Support from la Societe des Amis du Biodome de Montreal (to N.R.L.F.) is also valued. This work was supported by NIH Grants R01AG031922 from the National Institute on Aging (J.H.P., H.W.D.) and 5R01OD011116 from the Office of the Director (J.H.P.), and by NSF Grants ANT-0944517 (H.W.D.), PLR-1247510 (H.W.D.), PLR-1444167 (H.W.D.), and PLR-1543383 (J.H.P., H.W.D, and T.D.) from the Office/Division of Polar Programs. This is contribution number 353 from the Northeastern University Marine Science Center.</t>
  </si>
  <si>
    <t>10.1007/s00300-017-2161-9</t>
  </si>
  <si>
    <t>WOS:000418386500015</t>
  </si>
  <si>
    <t>Yew, WC; Pearce, DA; Dunn, MJ; Samah, AA; Convey, P</t>
  </si>
  <si>
    <t>Yew, W. C.; Pearce, D. A.; Dunn, M. J.; Samah, A. A.; Convey, P.</t>
  </si>
  <si>
    <t>Bacterial community composition in Ad,lie (Pygoscelis adeliae) and Chinstrap (Pygoscelis antarctica) Penguin stomach contents from Signy Island, South Orkney Islands</t>
  </si>
  <si>
    <t>Antarctic; High-throughput sequencing; Internal gut; Inter-individual; Inter-specific; Microbiota</t>
  </si>
  <si>
    <t>BROILER-CHICKENS; GASTROINTESTINAL MICROBIOTA; PSYCHROPHILIC BACTERIA; MOLECULAR ANALYSIS; GEN. NOV.; DIVERSITY; MARINE; GROWTH; FLORA; KRILL</t>
  </si>
  <si>
    <t>Penguin stomach microbiota and its variability are important as these microbes may contribute to the fitness of the host birds and their chicks, and influence the microbial ecosystem of the surrounding soils. However, there is relatively little knowledge in this area, with the majority of studies focused on their deposited faeces. Here we investigated whether similar foraging strategies in adjacent colonies of different penguin species lead to similar temporarily conserved stomach microbiota. To do this, we studied the inter- and intra-specific variations in bacterial community composition in the stomach contents of sympatrically breeding Ad,lie (Pygoscelis adeliae) and Chinstrap (Pygoscelis antarctica) Penguins, which consumed a diet of 100% Antarctic krill (Euphausia superba) under a similar foraging regime on Signy Island (maritime Antarctic), using a high-throughput DNA sequencing approach. Our data show that Ad,lie and Chinstrap Penguins shared 23-63% similarity in the stomach bacterial community composition, with no significant differences observed in the alpha-diversity or the assemblages of frequently encountered groups of operational taxonomic units (OTUs). The most frequently encountered OTUs that were shared between the species represented members of the phyla Fusobacteria, Firmicutes, Tenericutes and Proteobacteria. OTUs which were unique to individual birds and to single species formed approximately half of the communities identified, suggesting that stomach microbiota variability can occur in penguins that forage and breed under similar environmental conditions.</t>
  </si>
  <si>
    <t>[Yew, W. C.; Pearce, D. A.; Samah, A. A.; Convey, P.] Univ Malaya, Inst Grad Studies, Natl Antarctic Res Ctr, Kuala Lumpur 50603, Malaysia; [Yew, W. C.] Univ Malaya, Inst Biol Sci, Fac Sci, Kuala Lumpur 50603, Malaysia; [Pearce, D. A.; Dunn, M. J.; Convey, P.] British Antarctic Survey, NERC, Madingley Rd, Cambridge CB3 0ET, England; [Pearce, D. A.] Univ Northumbria Newcastle, Fac Hlth &amp; Life Sci, Dept Appl Sci, Ellison Bldg,Northumberland Rd, Newcastle Upon Tyne NE1 8ST, Tyne &amp; Wear, England</t>
  </si>
  <si>
    <t>Universiti Malaya; Universiti Malaya; UK Research &amp; Innovation (UKRI); Natural Environment Research Council (NERC); NERC British Antarctic Survey; Northumbria University</t>
  </si>
  <si>
    <t>Yew, WC (corresponding author), Univ Malaya, Inst Grad Studies, Natl Antarctic Res Ctr, Kuala Lumpur 50603, Malaysia.;Yew, WC (corresponding author), Univ Malaya, Inst Biol Sci, Fac Sci, Kuala Lumpur 50603, Malaysia.</t>
  </si>
  <si>
    <t>wen.c.yew@gmail.com</t>
  </si>
  <si>
    <t>Convey, Peter/AAV-5728-2020</t>
  </si>
  <si>
    <t>Convey, Peter/0000-0001-8497-9903; Dunn, Michael/0000-0003-4633-5466; Pearce, David/0000-0001-5292-4596</t>
  </si>
  <si>
    <t>Sultan Mizan Antarctic Research Foundation (YPASM); National Antarctic Research Centre, University of Malaya Research Grant [UMRG: RP007-2012A]; British Antarctic Survey (BAS); Northumbria University; Ministry of Higher Education Malaysia; NERC; NERC [bas0100036, bas0100035] Funding Source: UKRI; Natural Environment Research Council [bas0100036, bas0100035] Funding Source: researchfish</t>
  </si>
  <si>
    <t>Sultan Mizan Antarctic Research Foundation (YPASM); National Antarctic Research Centre, University of Malaya Research Grant; British Antarctic Survey (BAS); Northumbria University; Ministry of Higher Education Malaysia(Ministry of Education, Malaysia);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</si>
  <si>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funded by the Sultan Mizan Antarctic Research Foundation (YPASM) and the National Antarctic Research Centre, University of Malaya Research Grant (UMRG: RP007-2012A). Laboratory resources were provided by British Antarctic Survey (BAS) and Northumbria University. We thank Stacey Adlard for her assistance in the field sampling. We also thank the editor and three anonymous reviewers for their constructive comments. Wen Chyin Yew is a recipient of MyBrain scholarship (MyPhD) funded by the Ministry of Higher Education Malaysia. Peter Convey and Michael J Dunn are supported by NERC core funding to the BAS Biodiversity, Evolution and Adaptation'' and Ecosystems teams, respectively. This paper also contributes to the Scientific Committee on Antarctic Research State of the Antarctic Ecosystem research programme (AntEco).</t>
  </si>
  <si>
    <t>10.1007/s00300-017-2162-8</t>
  </si>
  <si>
    <t>WOS:000418386500016</t>
  </si>
  <si>
    <t>Retamal, P; Llanos-Soto, S; Salas, LM; Lopez, J; Vianna, J; Hernández, J; Medina-Vogel, G; Castañeda, F; Fresno, M; González-Acuña, D</t>
  </si>
  <si>
    <t>Retamal, Patricio; Llanos-Soto, Sebastian; Moreno Salas, Lucila; Lopez, Juana; Vianna, Juliana; Hernandez, Jorge; Medina-Vogel, Gonzalo; Castaneda, Francisco; Fresno, Marcela; Gonzalez-Acuna, Daniel</t>
  </si>
  <si>
    <t>Isolation of drug-resistant Salmonella enterica serovar enteritidis strains in gentoo penguins from Antarctica</t>
  </si>
  <si>
    <t>Salmonella enterica; Antimicrobial resistance; Antarctica; Gentoo penguins</t>
  </si>
  <si>
    <t>ANTIMICROBIAL RESISTANCE; ANTIBIOTIC-RESISTANCE; TYPHIMURIUM DT104; BACTERIA; CHILE; IDENTIFICATION; TRANSMISSION; INFECTIONS; SEROTYPES; ANIMALS</t>
  </si>
  <si>
    <t>Anthropogenic activity in Antarctica constitutes a continuous risk for the introduction of infectious diseases into indigenous wildlife populations. Penguin colonies living close to human settlements or inhabiting in areas considered for tourism could be facing a greater threat of infection. Fecal samples from Pygoscelis penguins (Pygoscelis spp.) were collected from different sites within Antarctic Peninsula and South Shetlands Islands in order to assess the presence of Salmonella enterica. Bacterial identification and characterization was performed applying biochemical and molecular techniques. Isolates were tested for antimicrobial resistance by the disk diffusion method, and PCR analyses were used for detection of resistance and virulence-associated genes. Four samples (1.74%) from P. papua were found to be positive to S. enterica serovar Enteritidis strains. All of them showed phenotypic antimicrobial resistance to at least three antimicrobials, and shared a similar gene profile through PCR. Results in this study urgently call for improvements in sanitary standards for waste disposal and sewage treatment in Antarctica. To our knowledge, this is the first study to report antimicrobial resistance in S. enterica isolated from Antarctic wild species.</t>
  </si>
  <si>
    <t>[Lopez, Juana; Gonzalez-Acuna, Daniel] Univ Concepcion, Fac Ciencias Vet, Ave Vicente Mendez 595, Chillan, Chile; [Llanos-Soto, Sebastian; Moreno Salas, Lucila] Univ Concepcion, Fac Ciencias Nat &amp; Oceanog, Chillan, Chile; [Retamal, Patricio; Castaneda, Francisco; Fresno, Marcela] Univ Chile, Fac Ciencias Vet &amp; Pecuarias, Santiago, Chile; [Vianna, Juliana] Pontificia Univ Catolica Chile, Fac Agron &amp; Ingn Forestal, Santiago, Chile; [Hernandez, Jorge] Linnaeus Univ, Sect Zoonot Ecol &amp; Epidemiol, Vaxjo, Sweden; [Medina-Vogel, Gonzalo] Univ Andres Bello, Fac Ecol &amp; Recursos Nat, Santiago, Chile</t>
  </si>
  <si>
    <t>Universidad de Concepcion; Universidad de Concepcion; Universidad de Chile; Pontificia Universidad Catolica de Chile; Linnaeus University; Universidad Andres Bello</t>
  </si>
  <si>
    <t>González-Acuña, D (corresponding author), Univ Concepcion, Fac Ciencias Vet, Ave Vicente Mendez 595, Chillan, Chile.</t>
  </si>
  <si>
    <t>danigonz@udec.cl</t>
  </si>
  <si>
    <t>Fresno, Marcela/H-3982-2013; Moreno Salas, Lucila/HTR-5576-2023; Vianna, Juliana/E-9847-2015; Retamal, Patricio/G-3054-2013</t>
  </si>
  <si>
    <t>Moreno Salas, Lucila/0000-0003-3159-4916; Medina-Vogel, Gonzalo/0000-0002-1579-9463; Llanos-Soto, Sebastian/0000-0003-0110-041X; Fresno Ramirez, Marcela/0000-0002-1767-5421; Vianna, Juliana/0000-0003-2330-7825; Retamal, Patricio/0000-0001-8597-9550</t>
  </si>
  <si>
    <t>Instituto Antartico Chileno (INACH) [INACH T-12-13]</t>
  </si>
  <si>
    <t>Instituto Antartico Chileno (INACH)</t>
  </si>
  <si>
    <t>The authors would like to thank Instituto Antartico Chileno (INACH) for funding project INACH T-12-13.</t>
  </si>
  <si>
    <t>10.1007/s00300-017-2163-7</t>
  </si>
  <si>
    <t>WOS:000418386500017</t>
  </si>
  <si>
    <t>Rix, AS; Grove, TJ; O'Brien, KM</t>
  </si>
  <si>
    <t>Rix, A. S.; Grove, T. J.; O'Brien, K. M.</t>
  </si>
  <si>
    <t>Hypoxia-inducible factor-1α in Antarctic notothenioids contains a polyglutamine and glutamic acid insert that varies in length with phylogeny</t>
  </si>
  <si>
    <t>Hypoxia; Hypoxia-inducible factor-1; Notothenioids; Icefishes</t>
  </si>
  <si>
    <t>PAGOTHENIA-BORCHGREVINKI; TEMPERATURE TOLERANCE; THERMAL TOLERANCE; HIF-ALPHA; FISHES; HYDROXYLATION; ACCLIMATION; EXPRESSION; EVOLUTION; LEVEL</t>
  </si>
  <si>
    <t>The long evolution of the Antarctic perciform suborder of Notothenioidei in the icy, oxygen-rich waters of the Southern Ocean may have reduced selective pressure to maintain a hypoxic response. To test this hypothesis, cDNA of the key transcriptional regulator of hypoxic genes, hypoxia-inducible factor-1 alpha (HIF-1 alpha), was sequenced in heart ventricles of the red-blooded notothenioid, Notothenia coriiceps, and the hemoglobinless icefish, Chaenocephalus aceratus. HIF-1 alpha cDNA is 4500 base pairs (bp) long and encodes 755 amino acids in N. coriiceps, and in C. aceratus, HIF-1 alpha is 3576 bp long and encodes 779 amino acids. All functional domains of HIF-1 alpha are highly conserved compared to other teleosts, but HIF-1 alpha contains a polyglutamine/glutamic acid (polyQ/E) insert nine amino acids long in N. coriiceps and 34 amino acids long in C. aceratus. Sequencing of this region in four additional species, representing three families of notothenioids, revealed that the length of the polyQ/E insert varies with phylogeny. Icefishes, the crown family of notothenioids, contain the longest polyQ/E inserts, ranging between 16 and 34 amino acids long, whereas the basal, cold-temperate notothenioid, Eleginops maclovinus, contains a polyQ/E insert only 4 amino acids long. PolyQ/E inserts may affect dimerization of HIF-1 alpha and HIF-1 beta, HIF-1 translocation into the nucleus and/or DNA binding.</t>
  </si>
  <si>
    <t>[Rix, A. S.; O'Brien, K. M.] Univ Alaska, Inst Arctic Biol, Fairbanks, AK 99775 USA; [Grove, T. J.] Valdosta State Univ, Dept Biol, Valdosta, GA 31698 USA</t>
  </si>
  <si>
    <t>University of Alaska System; University of Alaska Fairbanks; University System of Georgia; Valdosta State University</t>
  </si>
  <si>
    <t>O'Brien, KM (corresponding author), Univ Alaska, Inst Arctic Biol, Fairbanks, AK 99775 USA.</t>
  </si>
  <si>
    <t>kmobrien@alaska.edu</t>
  </si>
  <si>
    <t>Rix, Anna/0000-0002-0046-1275</t>
  </si>
  <si>
    <t>National Science Foundation [PLR-1341663]; Institutional Development Award (IDeA) from the National Institute of General Medical Sciences of the National Institutes of Health (NIH) [P20GM103395]; Office of Polar Programs (OPP); Directorate For Geosciences [1341663] Funding Source: National Science Foundation</t>
  </si>
  <si>
    <t>National Science Foundation(National Science Foundation (NSF)); Institutional Development Award (IDeA) from the National Institute of General Medical Sciences of the National Institutes of Health (NIH); Office of Polar Programs (OPP); Directorate For Geosciences(National Science Foundation (NSF)NSF - Directorate for Geosciences (GEO))</t>
  </si>
  <si>
    <t>Funding was provided by a grant from the National Science Foundation (PLR-1341663 to KOB). A.R. was supported in part by a graduate fellowship from an Institutional Development Award (IDeA) from the National Institute of General Medical Sciences of the National Institutes of Health (NIH) (P20GM103395). The content of this work is solely the responsibility of the authors and does not necessarily reflect the official views of the NIH. Thanks to Dr. Chi-Hing Christina Cheng for providing samples of E. maclovinus.</t>
  </si>
  <si>
    <t>10.1007/s00300-017-2164-6</t>
  </si>
  <si>
    <t>WOS:000418386500018</t>
  </si>
  <si>
    <t>Wang, N; Xu, F; Zhang, XY; Chen, XL; Qin, QL; Zhou, BC; Zhang, YZ; Shi, M</t>
  </si>
  <si>
    <t>Wang, Ning; Xu, Fei; Zhang, Xi-Ying; Chen, Xiu-Lan; Qin, Qi-Long; Zhou, Bai-Cheng; Zhang, Yu-Zhong; Shi, Mei</t>
  </si>
  <si>
    <t>Changchengzhania lutea gen. nov., sp nov., a new member of the family Flavobacteriaceae isolated from Antarctic intertidal sediment</t>
  </si>
  <si>
    <t>INTERNATIONAL JOURNAL OF SYSTEMATIC AND EVOLUTIONARY MICROBIOLOGY</t>
  </si>
  <si>
    <t>the family Flavobacteriaceae; gen. nov.; Antarctic</t>
  </si>
  <si>
    <t>DEOXYRIBONUCLEIC-ACID; EMENDED DESCRIPTIONS; SEA-ICE; RECLASSIFICATION; BACTERIA; SEQUENCES</t>
  </si>
  <si>
    <t>A Gram-negative, aerobic, yellow pigmented, non-flagellated, non-gliding, rod-shaped bacterial strain, designated SM1355(T), was isolated from Antarctic intertidal sediment collected near the Chinese Antarctic Great Wall Station. The strain grew at 4-35 degrees C and with 0.5-7.0% (w/v) NaCl. It hydrolysed aesculin but didn't reduce nitrate to nitrite. Phylogenetic analysis based on 16S rRNA gene sequences revealed that strain SM1355(T) formed a distinct phylogenetic lineage within the family Flavobacteriaceae, sharing the highest 16S rRNA gene sequence similarity with Flaviramulus ichthyoenteri (96.3%) and fairly high sequence similarities (95.0-96.0%) with over 20 recognized species in eight genera of the family Flavobacteriaceae. The predominant fatty acids were anteiso-C-15:0, iso-C-15:0 and iso-C-15:1 G. The major polar lipids were phosphatidylethanolamine and one unidentified lipid. The genomic DNA G+C content of strain SM1355(T) was 36.2mol%. Based on the results of the polyphasic characterization for strain SM1355(T), it is identified as the representative of a novel species in a new genus of the family Flavobacteriaceae, for which the name Changchengzhania lutea gen. nov., sp. nov. is proposed. The type strain of Changchengzhania lutea is SM1355(T) (=JCM 30336(T) =CCTCC AB 2014246(T)).</t>
  </si>
  <si>
    <t>[Wang, Ning; Xu, Fei; Zhang, Xi-Ying; Chen, Xiu-Lan; Qin, Qi-Long; Zhang, Yu-Zhong; Shi, Mei] Shandong Univ, State Key Lab Microbial Technol, Jinan 250100, Peoples R China; [Wang, Ning; Xu, Fei; Zhang, Xi-Ying; Chen, Xiu-Lan; Qin, Qi-Long; Zhou, Bai-Cheng; Zhang, Yu-Zhong; Shi, Mei] Shandong Univ, Marine Biotechnol Res Ctr, Jinan 250100, Peoples R China; [Zhang, Yu-Zhong] Qingdao Natl Lab Marine Sci &amp; Technol, Lab Marine Biol &amp; Biotechnol, Qingdao 266237, Peoples R China</t>
  </si>
  <si>
    <t>Shandong University; Shandong University; Laoshan Laboratory</t>
  </si>
  <si>
    <t>Zhang, XY; Shi, M (corresponding author), Shandong Univ, State Key Lab Microbial Technol, Jinan 250100, Peoples R China.;Zhang, XY; Shi, M (corresponding author), Shandong Univ, Marine Biotechnol Res Ctr, Jinan 250100, Peoples R China.</t>
  </si>
  <si>
    <t>zhangxiying@sdu.edu.cn; clubstone@sdu.edu.cn</t>
  </si>
  <si>
    <t>Lin, Fan/JZT-1441-2024; Zhang, Xi/HJH-1211-2023</t>
  </si>
  <si>
    <t>Lin, Fan/0000-0002-7330-3833;</t>
  </si>
  <si>
    <t>National Science Foundation of China [31670063, 31470541, 31370056]; Chinese Arctic and Antarctic Administration, State Oceanic Administration, PR China [2012GW04004, 2014GW07007, 2013YR03003, 2014YR01011, 15/16YR07, 2016YR07007]; Taishan Scholars Program of Shandong Province [2009TS079]; Shandong University [2016WLJH36]</t>
  </si>
  <si>
    <t>National Science Foundation of China(National Natural Science Foundation of China (NSFC)); Chinese Arctic and Antarctic Administration, State Oceanic Administration, PR China; Taishan Scholars Program of Shandong Province; Shandong University</t>
  </si>
  <si>
    <t>The work was supported by the National Science Foundation of China (grants 31670063, 31470541 and 31370056, awarded to Xi-Ying Zhang, Mei Shi and Qi-Long Qin, respectively), the Chinese Arctic and Antarctic Administration, State Oceanic Administration, PR China (2012GW04004, 2014GW07007, 2013YR03003, 2014YR01011, 15/16YR07 and 2016YR07007, all awarded to Yu-Zhong Zhang), the Taishan Scholars Program of Shandong Province (2009TS079, awarded to Yu-Zhong Zhang), and the Young Scholars Program of Shandong University (2016WLJH36, awarded to Qi-Long Qin). Persons employed by the funders had no role in the study or in the preparation of the article or decision to publish.</t>
  </si>
  <si>
    <t>MICROBIOLOGY SOC</t>
  </si>
  <si>
    <t>14-16 MEREDITH ST, LONDON, ENGLAND</t>
  </si>
  <si>
    <t>1466-5026</t>
  </si>
  <si>
    <t>1466-5034</t>
  </si>
  <si>
    <t>INT J SYST EVOL MICR</t>
  </si>
  <si>
    <t>Int. J. Syst. Evol. Microbiol.</t>
  </si>
  <si>
    <t>10.1099/ijsem.0.002439</t>
  </si>
  <si>
    <t>FP8YW</t>
  </si>
  <si>
    <t>WOS:000417933700047</t>
  </si>
  <si>
    <t>Burg, TM; Catry, P; Ryan, PG; Phillips, RA</t>
  </si>
  <si>
    <t>Burg, Theresa M.; Catry, Paulo; Ryan, Peter G.; Phillips, Richard A.</t>
  </si>
  <si>
    <t>Genetic population structure of black-browed and Campbell albatrosses, and implications for assigning provenance of birds killed in fisheries</t>
  </si>
  <si>
    <t>AQUATIC CONSERVATION-MARINE AND FRESHWATER ECOSYSTEMS</t>
  </si>
  <si>
    <t>albatross; fisheries; incidental bycatch; population structure; seabird conservation; Southern Ocean</t>
  </si>
  <si>
    <t>PELAGIC LONGLINE FISHERY; WHITE-CAPPED ALBATROSSES; GREY-HEADED ALBATROSSES; SEABIRD BYCATCH; NEW-ZEALAND; IMPACTS; ISLAND; DIVERSIFICATION; MELANOPHRYS; RECOVERIES</t>
  </si>
  <si>
    <t>Previous genetic studies found evidence of at least three distinct groups of black-browed Thalassarche melanophris and Campbell Thalassarche impavida albatrosses in the Southern Ocean. Almost 350 individuals including samples from additional breeding sites on the Falkland Islands and South Georgia Island were screened using mitochondrial DNA. The new sequence data using lineage specific PCR primers provided further support for the taxonomic split of T. melanophris and T. impavida and separate management of the two distinct T. melanophris groups. In total, 207 black-browed albatrosses killed in longline fisheries were screened. Approximately 93% of the bycaught birds from the Falkland Islands belonged to the Falkland mtDNA group and the remaining birds had mtDNA from the Widespread T. melanophris group; these proportions were similar to those in the local Falklands breeding population. The South African and South Georgia bycatch samples predominantly comprised the Widespread T. melanophris group, with only one bird from each area containing Falkland mtDNA. Lastly, 81% of the albatrosses bycaught off New Zealand had T. impavida mtDNA and the remaining four birds were Widespread T. melanophris. These differences in bycatch composition matched what is known from tracking and banding data about the at-sea distribution of black-browed albatrosses. Based on the mtDNA results and current population trends, consideration should be given to assigning regional IUCN status for the different breeding populations.</t>
  </si>
  <si>
    <t>[Burg, Theresa M.] Univ Lethbridge, Biol Sci, 4401 Univ Dr, Lethbridge, AB T1K 3M4, Canada; [Catry, Paulo] ISPA Inst Univ, MARE Marine &amp; Environm Sci Ctr, Lisbon, Portugal; [Ryan, Peter G.] Univ Cape Town, Percy Fitzpatrick Inst African Ornithol, DST NRF Ctr Excellence, Rondebosch, South Africa; [Phillips, Richard A.] British Antarctic Survey, Nat Environm Res Council, Cambridge, England</t>
  </si>
  <si>
    <t>University of Lethbridge; Instituto Superior Psicologia Aplicada (ISPA); University of Cape Town; National Research Foundation - South Africa; UK Research &amp; Innovation (UKRI); Natural Environment Research Council (NERC); NERC British Antarctic Survey</t>
  </si>
  <si>
    <t>Burg, TM (corresponding author), Univ Lethbridge, Biol Sci, 4401 Univ Dr, Lethbridge, AB T1K 3M4, Canada.</t>
  </si>
  <si>
    <t>theresa.burg@uleth.ca</t>
  </si>
  <si>
    <t>; Catry, Paulo/I-5408-2013</t>
  </si>
  <si>
    <t>Burg, Theresa/0000-0001-5096-3479; Catry, Paulo/0000-0003-3000-0522</t>
  </si>
  <si>
    <t>South Atlantic Environmental Research Institute's (SAERI) GAP project - Falkland Islands Government (FIG); Falkland Islands Petroleum Licensees Association (FIPLA); NSERC; University of Lethbridge Research Fund; FIG; FCT-Portugal [UID/MAR/04292/2013, IF/00502/2013/CP1186/CT0003]; Fundação para a Ciência e a Tecnologia [IF/00502/2013/CP1186/CT0003] Funding Source: FCT; NERC [bas0100035] Funding Source: UKRI; Natural Environment Research Council [bas0100035] Funding Source: researchfish</t>
  </si>
  <si>
    <t>South Atlantic Environmental Research Institute's (SAERI) GAP project - Falkland Islands Government (FIG); Falkland Islands Petroleum Licensees Association (FIPLA); NSERC(Natural Sciences and Engineering Research Council of Canada (NSERC)); University of Lethbridge Research Fund; FIG; FCT-Portugal(Fundacao para a Ciencia e a Tecnologia (FCT)); Fundação para a Ciência e a Tecnologia(Fundacao para a Ciencia e a Tecnologia (FCT)); NERC(UK Research &amp; Innovation (UKRI)Natural Environment Research Council (NERC)); Natural Environment Research Council(UK Research &amp; Innovation (UKRI)Natural Environment Research Council (NERC))</t>
  </si>
  <si>
    <t>We are grateful to Mark Belchier, Andy Black, Sarah Clarke, Daniel Johnston, Simon Morley, Helen Otley, Anjali Pande, Joost Pompert, Tim Reid, Frin Ross, Ben Sullivan, James Watts, and other members of Falkland Island Fisheries Department and JNCC Seabirds at Sea Team for the collection, provision of samples and information on bycaught birds from the Falklands and South Georgia, to JP Granadeiro and Megan Tierney for help in fieldwork, to Paul Brickle (SAERI) for help with making the trip to Beauchene possible, to Elizabeth (Biz) Bell (Wildlife Management International) and David Thompson (NIWA) for providing samples from bycaught birds around New Zealand and Zach Dempsey and Libby Natola for helping with screening. We also thank the anonymous reviewers and the editor for their constructive comments which helped to improve the manuscript. Logistical and financial support to undertake sample collection at Beauchene Island was provided by the South Atlantic Environmental Research Institute's (SAERI) GAP project which is funded by the Falkland Islands Government (FIG) and Falkland Islands Petroleum Licensees Association (FIPLA). The study received further financial support from NSERC, University of Lethbridge Research Fund, FIG and FCT-Portugal (UID/MAR/04292/2013 granted to MARE and IF/00502/2013/CP1186/CT0003). The authors have no conflict of interest.</t>
  </si>
  <si>
    <t>1052-7613</t>
  </si>
  <si>
    <t>1099-0755</t>
  </si>
  <si>
    <t>AQUAT CONSERV</t>
  </si>
  <si>
    <t>Aquat. Conserv.-Mar. Freshw. Ecosyst.</t>
  </si>
  <si>
    <t>10.1002/aqc.2765</t>
  </si>
  <si>
    <t>Environmental Sciences; Marine &amp; Freshwater Biology; Water Resources</t>
  </si>
  <si>
    <t>Environmental Sciences &amp; Ecology; Marine &amp; Freshwater Biology; Water Resources</t>
  </si>
  <si>
    <t>FQ9AF</t>
  </si>
  <si>
    <t>WOS:000418653700008</t>
  </si>
  <si>
    <t>Seybold, AC; Wharton, DA; Thorne, MAS; Marshall, CJ</t>
  </si>
  <si>
    <t>Seybold, Anna C.; Wharton, David A.; Thorne, Michael A. S.; Marshall, Craig J.</t>
  </si>
  <si>
    <t>Investigating trehalose synthesis genes after cold acclimation in the Antarctic nematode Panagrolaimus sp DAW1</t>
  </si>
  <si>
    <t>BIOLOGY OPEN</t>
  </si>
  <si>
    <t>Panagrolaimus davidi; Panagrolaimus sp DAW1; Trehalose; Tps-2; Cryoprotective dehydration; Freezing tolerance</t>
  </si>
  <si>
    <t>EXPRESSED SEQUENCED TAGS; TOLERANCE MECHANISMS; APHELENCHUS-AVENAE; RNA INTERFERENCE; CAENORHABDITIS-ELEGANS; DESICCATION TOLERANCE; MOLECULAR ANALYSIS; CAPE HALLETT; DAVIDI; ANHYDROBIOSIS</t>
  </si>
  <si>
    <t>Panagrolaimus sp. DAW1 is a freeze-tolerant Antarctic nematode which survives extensive intracellular ice formation. The molecular mechanisms of this extreme adaptation are still poorly understood. We recently showed that desiccation-enhanced RNA interference (RNAi) soaking can be used in conjunction with quantitative polymerase chain reaction (qPCR) to screen for phenotypes associated with reduced expression of candidate genes in Panagrolaimus sp. DAW1. Here, we present the use of this approach to investigate the role of trehalose synthesis genes in this remarkable organism. Previous studies have shown that acclimating Panagrolaimus sp. DAW1 at 5 degrees C before freezing or desiccation substantially enhances survival. In this study, the expression of tps-2 and other genes associated with trehalose metabolism, as well as lea-1, hsp-70 and gpx-1, in cold-acclimated and non-acclimated nematodes was analyzed using qPCR. Pd-tps-2 and Pd-lea-1 were significantly upregulated after cold acclimation, indicating an inducible expression in the cold adaptation of Panagrolaimus sp. DAW1. The role of trehalose synthesis genes in Panagrolaimus sp. DAW1 was further investigated by RNAi. Compared to the controls, Pd-tps-2a(RNAi)-treated and cold-acclimated nematodes showed a significant decrease in mRNA, but no change in trehalose content or freezing survival. The involvement of two other trehalose synthesis genes (tps-2b and gob-1) was also investigated. These findings provide the first functional genomic investigation of trehalose synthesis genes in the non-model organism Panagrolaimus sp. DAW1. The presence of several trehalose synthesis genes with different RNAi sensitivities suggests the existence of multiple backup systems in Panagrolaimus sp. DAW1, underlining the importance of this sugar in preparation for freezing.</t>
  </si>
  <si>
    <t>[Seybold, Anna C.; Marshall, Craig J.] Univ Otago, Dept Biochem, Dunedin 9054, New Zealand; [Wharton, David A.] Univ Otago, Dept Zool, Dunedin 9054, New Zealand; [Thorne, Michael A. S.] NERC, British Antarctic Survey, Cambridge CB3 0ET, England; [Marshall, Craig J.] Univ Otago, Genet Otago, Dunedin 9054, New Zealand</t>
  </si>
  <si>
    <t>University of Otago; University of Otago; UK Research &amp; Innovation (UKRI); Natural Environment Research Council (NERC); NERC British Antarctic Survey; University of Otago</t>
  </si>
  <si>
    <t>Marshall, CJ (corresponding author), Univ Otago, Dept Biochem, Dunedin 9054, New Zealand.;Marshall, CJ (corresponding author), Univ Otago, Genet Otago, Dunedin 9054, New Zealand.</t>
  </si>
  <si>
    <t>craig.marshall@otago.ac.nz</t>
  </si>
  <si>
    <t>Marshall, Craig J./C-6668-2009</t>
  </si>
  <si>
    <t>Marshall, Craig J./0000-0003-4186-0368; Thorne, Michael/0000-0001-7759-612X</t>
  </si>
  <si>
    <t>University of Otago; Natural Environment Research Council [bas0100035] Funding Source: researchfish; NERC [bas0100035] Funding Source: UKRI</t>
  </si>
  <si>
    <t>University of Otago; Natural Environment Research Council(UK Research &amp; Innovation (UKRI)Natural Environment Research Council (NERC)); NERC(UK Research &amp; Innovation (UKRI)Natural Environment Research Council (NERC))</t>
  </si>
  <si>
    <t>This research was supported by the University of Otago (Doctoral Scholarship and Post Submission Doctoral Publishing Bursary to A.C.S).</t>
  </si>
  <si>
    <t>COMPANY OF BIOLOGISTS LTD</t>
  </si>
  <si>
    <t>BIDDER BUILDING CAMBRIDGE COMMERCIAL PARK COWLEY RD, CAMBRIDGE CB4 4DL, CAMBS, ENGLAND</t>
  </si>
  <si>
    <t>2046-6390</t>
  </si>
  <si>
    <t>BIOL OPEN</t>
  </si>
  <si>
    <t>Biol. Open</t>
  </si>
  <si>
    <t>10.1242/bio.023341</t>
  </si>
  <si>
    <t>FQ4RC</t>
  </si>
  <si>
    <t>WOS:000418344300021</t>
  </si>
  <si>
    <t>Zanowski, H; Hallberg, R</t>
  </si>
  <si>
    <t>Zanowski, Hannah; Hallberg, Robert</t>
  </si>
  <si>
    <t>Weddell Polynya Transport Mechanisms in the Abyssal Ocean</t>
  </si>
  <si>
    <t>JOURNAL OF PHYSICAL OCEANOGRAPHY</t>
  </si>
  <si>
    <t>ANTARCTIC BOTTOM WATER; TOTAL GEOSTROPHIC CIRCULATION; GLOBAL OVERTURNING CIRCULATION; WESTERN SOUTH-ATLANTIC; COUPLED CLIMATE MODEL; SEA-LEVEL RISE; FLOW PATTERNS; NORTH-ATLANTIC; DEEP-WATER; PACIFIC-OCEAN</t>
  </si>
  <si>
    <t>Weddell Polynya transport mechanisms in the deep and abyssal oceans are examined in the NOAA Geophysical Fluid Dynamics Laboratory's (GFDL) coupled climate model CM2G. During an 1820-yr-long integration of the model, polynyas are forced every 29 years in the Weddell Sea via an increase in the diapycnal diffusivity. Composites of the events are used to examine the mechanisms responsible for transporting polynya signals away from the Weddell Sea. Polynya signal transport is governed by two dynamical mechanisms that act on different time scales and spread at different rates. Large-scale waves, such as Kelvin and planetary and topographic Rossby waves, propagate the polynya signal rapidly, on interannual-to-decadal time scales, while advection transports the signal more slowly, on decadal-to-centennial time scales. Despite their different spreading rates, these mechanisms can act contemporaneously, and it is often their combined effect that governs the property changes in the global deep and abyssal oceans. Both waves and advection cause temperature changes on isobaths. In the deep Atlantic, advection accounts for,15% of the total temperature change in the model, indicating that waves are strongly dominant there. Elsewhere, waves are still the stronger contributor, but advection accounts for 20%-40% of the total temperature change.</t>
  </si>
  <si>
    <t>[Zanowski, Hannah] Princeton Univ, Program Atmospher &amp; Ocean Sci, Princeton, NJ 08544 USA; [Hallberg, Robert] NOAA, Geophys Fluid Dynam Lab, Princeton, NJ USA; [Zanowski, Hannah] Univ Washington, Seattle, WA 98195 USA</t>
  </si>
  <si>
    <t>National Oceanic Atmospheric Admin (NOAA) - USA; Princeton University; National Oceanic Atmospheric Admin (NOAA) - USA; University of Washington; University of Washington Seattle</t>
  </si>
  <si>
    <t>Zanowski, H (corresponding author), Princeton Univ, Program Atmospher &amp; Ocean Sci, Princeton, NJ 08544 USA.;Zanowski, H (corresponding author), Univ Washington, Seattle, WA 98195 USA.</t>
  </si>
  <si>
    <t>zanowski@uw.edu</t>
  </si>
  <si>
    <t>Zanowski, Hannah/0000-0002-4086-2583</t>
  </si>
  <si>
    <t>National Oceanic and Atmospheric Administration [NA14OAR4320106]; U.S. Department of Commerce</t>
  </si>
  <si>
    <t>National Oceanic and Atmospheric Administration(National Oceanic Atmospheric Admin (NOAA) - USA); U.S. Department of Commerce</t>
  </si>
  <si>
    <t>The authors thank Sonya Legg, Carolina Dufour, Andrew Wittenberg, Robert Key, Celine Heuze, and one anonymous reviewer for providing valuable feedback and suggestions that greatly improved this manuscript. We also thank GFDL modeling services and the model development teams who made it possible for us to use CM2G for this work. Figures were created using Python's Matplotlib plotting package. Hannah Zanowski was supported under Award NA14OAR4320106 from the National Oceanic and Atmospheric Administration, U.S. Department of Commerce. The statements, findings, conclusions, and recommendations are those of the author(s) and do not necessarily reflect the views of NOAA or the U.S. Department of Commerce.</t>
  </si>
  <si>
    <t>0022-3670</t>
  </si>
  <si>
    <t>1520-0485</t>
  </si>
  <si>
    <t>J PHYS OCEANOGR</t>
  </si>
  <si>
    <t>J. Phys. Oceanogr.</t>
  </si>
  <si>
    <t>10.1175/JPO-D-17-0091.1</t>
  </si>
  <si>
    <t>FQ7DZ</t>
  </si>
  <si>
    <t>WOS:000418524300004</t>
  </si>
  <si>
    <t>Azaneu, M; Heywood, KJ; Queste, BY; Thompson, AF</t>
  </si>
  <si>
    <t>Azaneu, Marina; Heywood, Karen J.; Queste, Bastien Y.; Thompson, Andrew F.</t>
  </si>
  <si>
    <t>Variability of the Antarctic Slope Current System in the Northwestern Weddell Sea</t>
  </si>
  <si>
    <t>GLOBAL OVERTURNING CIRCULATION; CIRCUMPOLAR DEEP-WATER; BOTTOM-WATER; BAROCLINIC INSTABILITY; CONTINENTAL-SHELF; GULF-STREAM; TRANSPORT; FRONT; MASSES; MODEL</t>
  </si>
  <si>
    <t>The dense water outflow from the Antarctic continental shelf is closely associated with the strength and position of the Antarctic Slope Front. This study explores the short-term and spatial variability of the Antarctic Slope Front system and the mechanisms that regulate cross-slope exchange using highly temporally and spatially resolved measurements from three ocean gliders deployed in 2012. The 22 sections along the eastern Antarctic Peninsula and west of the South Orkney Islands are grouped regionally and composited by isobaths. There is consistency in the front position around the Powell Basin, varying mostly between the 500- and 800-m isobaths. In most of the study area the flow is bottom intensified. The along-slope transport of the Antarctic Slope Current (upper 1000 m) varies between 0.2 and 5.9 Sv (1 Sv equivalent to 10(6) m(3) s(-1)) and does not exhibit a regional pattern. The magnitude of the velocity field shows substantial variability, up to twice its mean value. Higher eddy kinetic energy (0.003 m(2) s(-2)) is observed in sections with dense water, possibly because of baroclinic instabilities in the bottom layer. Distributions of potential vorticity show an increase toward the shelf along isopycnals and also in the dense water layer. Glider sections located west of the South Orkney Islands indicate a northward direction of the flow associated with the Weddell Front, which differs from previous estimates of the mean circulation. This study provides some of the first observational confirmation of the high-frequency variability associated with an active eddy field that has been suggested by recent numerical simulations in this region.</t>
  </si>
  <si>
    <t>[Azaneu, Marina; Heywood, Karen J.; Queste, Bastien Y.] Univ East Anglia, Sch Environm Sci, Ctr Ocean &amp; Atmospher Sci, Norwich, Norfolk, England; [Thompson, Andrew F.] CALTECH, Pasadena, CA 91125 USA</t>
  </si>
  <si>
    <t>University of East Anglia; California Institute of Technology</t>
  </si>
  <si>
    <t>Azaneu, M (corresponding author), Univ East Anglia, Sch Environm Sci, Ctr Ocean &amp; Atmospher Sci, Norwich, Norfolk, England.</t>
  </si>
  <si>
    <t>m.azaneu@uea.ac.uk</t>
  </si>
  <si>
    <t>Heywood, Karen J/L-1757-2016</t>
  </si>
  <si>
    <t>do Valle Chagas Azaneu, Marina/0000-0002-7538-3056; Queste, Bastien/0000-0002-3786-2275</t>
  </si>
  <si>
    <t>NERC Antarctic Funding Initiative Grant [NE/H01439X/1]; CAPES-Brazil [0876-14-3]; NSF [OPP-1246460]; NERC [NE/H01439X/1] Funding Source: UKRI; Natural Environment Research Council [NE/H01439X/1] Funding Source: researchfish; Office of Polar Programs (OPP); Directorate For Geosciences [1246460] Funding Source: National Science Foundation</t>
  </si>
  <si>
    <t>NERC Antarctic Funding Initiative Grant; CAPES-Brazil(Coordenacao de Aperfeicoamento de Pessoal de Nivel Superior (CAPES)); NSF(National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</si>
  <si>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The GENTOO project and glider deployments were supported by NERC Antarctic Funding Initiative Grant NE/H01439X/1. MVCA was supported by a CAPES-Brazil PhD scholarship (0876-14-3). AFT was supported by NSF Award OPP-1246460. We thank the crew, officers, and scientific party of cruise JR255 on board RRS James Clark Ross. The data for this paper are available from the British Oceanographic Data Centre (http://www.bodc.ac.uk/).</t>
  </si>
  <si>
    <t>10.1175/JPO-D-17-0030.1</t>
  </si>
  <si>
    <t>WOS:000418524300007</t>
  </si>
  <si>
    <t>Chen, R; Waterman, S</t>
  </si>
  <si>
    <t>Chen, Ru; Waterman, Stephanie</t>
  </si>
  <si>
    <t>Mixing Nonlocality and Mixing Anisotropy in an Idealized Western Boundary Current Jet</t>
  </si>
  <si>
    <t>ANTARCTIC CIRCUMPOLAR CURRENT; MULTIPLE ZONAL JETS; KUROSHIO EXTENSION; SOUTHERN-OCEAN; MEAN-FLOW; EDDY DIFFUSIVITY; NORTH-ATLANTIC; GENERAL-CIRCULATION; LAGRANGIAN STATISTICS; LATERAL DIFFUSIVITY</t>
  </si>
  <si>
    <t>Motivated by the key role of western boundary currents in shaping water mass distribution and gyre water exchanges, this study characterizes mixing in an idealized western boundary current jet using a barotropic quasigeostrophic model with numerical particles deployed. Both the nonlocality of mixing, depicted by nonlocality ellipses, and mixing anisotropy, depicted by mixing ellipses, are estimated. Mixing is more non-local within the jet compared to the jet flanks. In general, the size of nonlocality ellipses, a metric of the degree of mixing nonlocality, scales with the eddy velocity magnitude and the equilibration time for diffusivity. The tilt and eccentricity of the nonlocality ellipses, a characterization of the anisotropy of mixing nonlocality, agree with those of momentum flux ellipses in the regions where mixing nonlocality is small. Mixing ellipse characteristics are flow regime dependent. In regions dominated by wave radiation, the mixing ellipses align with the contours of the wave streamfunction and are very anisotropic. Inside the recirculations, however, the mixing ellipses are nearly isotropic. Mixing ellipses are zonally elongated in the jet upstream because of the suppression of cross-jet mixing by the jet and the anisotropy of eddy velocity, and they can have negative minor axis length in the jet downstream, indicating negative cross-jet eddy diffusivity, which is consistent with upgradient eddy fluxes there. Thus, despite significant spatial heterogeneity in mixing nonlocality and anisotropy, in this idealized system at least, spatial patterns in these diagnostics tend to be relatively large scale and tied to larger-scale dynamics. The implications of these results to eddy parameterization and jet dynamics are discussed.</t>
  </si>
  <si>
    <t>[Chen, Ru] Univ Calif San Diego, Scripps Inst Oceanog, La Jolla, CA 92093 USA; [Waterman, Stephanie] Univ British Columbia, Dept Earth Ocean &amp; Atmospher Sci, Vancouver, BC, Canada; [Chen, Ru] Univ Calif Los Angeles, Dept Atmospher &amp; Ocean Sci, Los Angeles, CA 90095 USA</t>
  </si>
  <si>
    <t>University of California System; University of California San Diego; Scripps Institution of Oceanography; University of British Columbia; University of California System; University of California Los Angeles</t>
  </si>
  <si>
    <t>Chen, R (corresponding author), Univ Calif San Diego, Scripps Inst Oceanog, La Jolla, CA 92093 USA.;Chen, R (corresponding author), Univ Calif Los Angeles, Dept Atmospher &amp; Ocean Sci, Los Angeles, CA 90095 USA.</t>
  </si>
  <si>
    <t>ruchen@alum.mit.edu</t>
  </si>
  <si>
    <t>Waterman, Stephanie/AAY-6033-2020; Chen, Ru/A-5681-2015</t>
  </si>
  <si>
    <t>Waterman, Stephanie/0000-0001-5797-1092; Chen, Ru/0000-0002-5017-029X; Chen, Ru/0009-0007-6025-6867</t>
  </si>
  <si>
    <t>National Science and Engineering Research Council of Canada [22R23085]; Alfred P. Sloan Foundation; University of British Columbia</t>
  </si>
  <si>
    <t>National Science and Engineering Research Council of Canada(Natural Sciences and Engineering Research Council of Canada (NSERC)); Alfred P. Sloan Foundation(Alfred P. Sloan Foundation); University of British Columbia</t>
  </si>
  <si>
    <t>The authors thank Steven Jayne for the continued use of his WBC jet model and for all of his insight into its workings over the years. S. Waterman gratefully acknowledges support from the National Science and Engineering Research Council of Canada (Grant 22R23085), the Alfred P. Sloan Foundation, and the University of British Columbia.</t>
  </si>
  <si>
    <t>10.1175/JPO-D-17-0011.1</t>
  </si>
  <si>
    <t>WOS:000418524300009</t>
  </si>
  <si>
    <t>Quade, J; Kaplan, MR</t>
  </si>
  <si>
    <t>Quade, J.; Kaplan, M. R.</t>
  </si>
  <si>
    <t>Lake-level stratigraphy and geochronology revisited at Lago (Lake) Cardiel, Argentina, and changes in the Southern Hemispheric Westerlies over the last 25 ka</t>
  </si>
  <si>
    <t>Quaternary; Paleoclimatology; South America; Lakes; Carbon-14 dating; Tufa</t>
  </si>
  <si>
    <t>LAGUNA-POTROK-AIKE; ANTARCTIC COLD REVERSAL; GLACIAL MAXIMUM; CLIMATE-CHANGE; RADIOCARBON CHRONOLOGY; ATMOSPHERIC CO2; CENTRAL CHILE; POSTGLACIAL VEGETATION; NORTHWESTERN PATAGONIA; SOUTHWESTERN PATAGONIA</t>
  </si>
  <si>
    <t>Paleoshorelines around Lago (Lake) Cardiel in southern Argentina (S48.9 degrees, W71.3 degrees; similar to 275 m) record substantial changes in lake area over the past 25 ka. Our results combined with previous research show that during the last glacial maximum (or LGM, 23-21 ka), the lake stood at near modern levels, but had nearly dried up by 13 ka. Between 11.3 and 10.1 ka the lake reached its highest point (+54-58 m) and greatest extent in a least the last 40 ka. Lake levels dropped thereafter and experienced two lower-lake periods: 8.5-7.5 ka and 5-3.3 ka; and two higher-lake periods: 7.4-6 and similar to 5.2 ka. In the last 3.5 ka, the lake has remained generally near or slightly above its present level. The depth and surface area of Lago Cardiel are controlled mainly by precipitation onto the lake and surrounding catchment, air and water temperature, and wind-speed related to local strength of the Southern Hemispheric Westerlies (SHW). Our lake-level reconstruction combined with evidence from other studies suggest that on average the core of the SHW was located well to the north (&lt;45 degrees S) of the Cardiel basin during the deep lake phase associated with the LGM, and was well to the south (&gt;55 degrees S?) during the hydrologic maximum of Cardiel in the early Holocene. The lower phases of the lake at 20.0 -11.5, 8.5-7.5, and 5.0-3.3 ka generally correspond to cold conditions in other records, when we infer that the SHW were strongly focused around the latitudes of Cardiel at 49 degrees S. (C) 2017 Elsevier Ltd. All rights reserved.</t>
  </si>
  <si>
    <t>[Quade, J.] Univ Arizona, Dept Geosci, Tucson, AZ 85721 USA; [Kaplan, M. R.] Lamont Doherty Earth Observ Columbia Univ, Geochem, New York, NY 10964 USA</t>
  </si>
  <si>
    <t>University of Arizona</t>
  </si>
  <si>
    <t>Quade, J (corresponding author), Univ Arizona, Dept Geosci, Tucson, AZ 85721 USA.</t>
  </si>
  <si>
    <t>quadej@email.arizona.edu</t>
  </si>
  <si>
    <t>Kaplan, Michael R/D-4720-2011</t>
  </si>
  <si>
    <t>Gary Comer Science and Educational Foundation (CSEF) [8151]; NSF [EAR-0902363]</t>
  </si>
  <si>
    <t>Gary Comer Science and Educational Foundation (CSEF); NSF(National Science Foundation (NSF))</t>
  </si>
  <si>
    <t>We are indebted to the Gary Comer Science and Educational Foundation (CSEF) (Grant Number 8151) for support of this project, and to Wally Broecker and the larger Corner community for all their support and scientific exchange on this and other projects over the years. Adam Hudson provided a very helpful review of an early version. We thank Barbra Quade and Alejandra Borunda for their able assistance in fieldwork, and Audrey Copeland for such diligent processing of the carbon-14 samples. Scott Stine and Adrian Gilli provided very helpful comments that greatly improved the manuscript. We also thank Patricio Moreno for supplying his data from Lago Condorito. Kaplan acknowledges support in part by NSF EAR-0902363. This is LDEO contribution # XXXX.</t>
  </si>
  <si>
    <t>10.1016/j.quascirev.2017.10.006</t>
  </si>
  <si>
    <t>FQ2RD</t>
  </si>
  <si>
    <t>WOS:000418203900012</t>
  </si>
  <si>
    <t>Bertrand, S; Lange, CB; Pantoja, S; Hughen, K; Van Tornhout, E; Wellner, JS</t>
  </si>
  <si>
    <t>Bertrand, Sebastien; Lange, Carina B.; Pantoja, Silvio; Hughen, Konrad; Van Tornhout, Evi; Wellner, Julia Smith</t>
  </si>
  <si>
    <t>Postglacial fluctuations of Cordillera Darwin glaciers (southernmost Patagonia) reconstructed from Almirantazgo fjord sediments</t>
  </si>
  <si>
    <t>Fjord sediments; Ice-rafted debris; Meltwater; Neoglaciation; Holocene</t>
  </si>
  <si>
    <t>TIERRA-DEL-FUEGO; SOUTH-AMERICA; HOLOCENE GLACIATIONS; DUST DEPOSITION; STRATIGRAPHY; PRECIPITATION; PALEOCLIMATE; VARIABILITY; CALIBRATION; CHRONOLOGY</t>
  </si>
  <si>
    <t>Most outlet glaciers of the Cordillera Darwin Icefield (CDI; Patagonia, 54 degrees S) are currently transitioning from calving to land-based conditions. Whether this situation is unique to the modern climate or also occurred during the Holocene is entirely unknown. Here, we investigate the Holocene fluctuations of outlet glaciers from the northern flank of the CDI using a multi-proxy sedimentological and geochemical analysis of a 13.5 m long sediment core from Almirantazgo fjord. Our results demonstrate that sedimentation in Almirantazgo fjord started prior to 14,300 cal yr BP, with glacier-proximal deposits occurring until 13,500 cal yr BP. After 12,300 cal yr BP, most glaciers had retreated to land-locked locations and by 9800 cal yr BP, Almirantazgo fjord was a predominantly marine fjord environment with oceanographic conditions resembling the present-day setting. Our sediment record shows that during the first part of the Holocene, CDI glaciers were almost entirely land-based, with a possible re-advance at 7300-5700 cal yr BR This is in clear contrast with the Neoglaciation, during which CDI glaciers rapidly re-advanced and shrank back several times, mostly in phase with the eastern outlet glaciers of the Southern Patagonian Icefield (SPI). Two significant meltwater events, indicative of rapid glacier retreat, were identified at 3250-2700 and 2000-1200 cal yr BP, based on an increase in grain-size mode and related inorganic geochemical parameters. This interpretation is additionally supported by concomitant decreases in organic carbon of marine origin and in CI counts (salinity), reflecting higher terrestrial input to the fjord and freshening of the fjord waters. Overall, our record suggests that CDI outlet glaciers advanced in phase with eastern SPI glaciers during the Neoglaciation, and retreated far enough into their valleys twice to form large outwash plains. Our results also highlight the potential of fjord sediments to reconstruct glacier variability at high resolution on multi-millennial timescales. (C) 2017 Elsevier Ltd. All rights reserved.</t>
  </si>
  <si>
    <t>[Bertrand, Sebastien; Van Tornhout, Evi] Univ Ghent, Renard Ctr Marine Geol, Ghent, Belgium; [Bertrand, Sebastien; Hughen, Konrad] Woods Hole Oceanog Inst, Marine Chem &amp; Geochem, Woods Hole, MA 02543 USA; [Lange, Carina B.; Pantoja, Silvio] Univ Concepcion, Dept Oceanog, Concepcion, Chile; [Lange, Carina B.; Pantoja, Silvio] Univ Concepcion, COPAS Sur Austral Ctr, Concepcion, Chile; [Lange, Carina B.] Univ Austral Chile, FONDAP IDEAL Ctr, Valdivia, Chile; [Wellner, Julia Smith] Univ Houston, Dept Earth &amp; Atmospher Sci, Houston, TX 77004 USA</t>
  </si>
  <si>
    <t>Ghent University; Woods Hole Oceanographic Institution; Universidad de Concepcion; Universidad de Concepcion; Universidad Austral de Chile; University of Houston System; University of Houston</t>
  </si>
  <si>
    <t>Bertrand, S (corresponding author), Univ Ghent, Renard Ctr Marine Geol, Ghent, Belgium.</t>
  </si>
  <si>
    <t>sebastien.bertrand@ugent.be</t>
  </si>
  <si>
    <t>Lange, Carina/AHC-2015-2022; Bertrand, Sebastien/G-9744-2011</t>
  </si>
  <si>
    <t>Lange, Carina/0000-0002-2916-4207; Bertrand, Sebastien/0000-0003-0374-4040; Wellner, Julia/0000-0002-6807-8635</t>
  </si>
  <si>
    <t>National Science Foundation, Office of Polar Programs [NSF/OPP 03-38137]; EU Marie Curie FP6 postdoctoral fellowship; National Geographic Grant [8379-07]; COPAS Center FONDAP Grant [150100007]; COPAS Sur-Austral CONICYT [PIA PFB31]; IDEAL Center FONDAP Grant [15150003]</t>
  </si>
  <si>
    <t>National Science Foundation, Office of Polar Programs(National Science Foundation (NSF)); EU Marie Curie FP6 postdoctoral fellowship(European Union (EU)); National Geographic Grant(National Geographic Society); COPAS Center FONDAP Grant; COPAS Sur-Austral CONICYT(Comision Nacional de Investigacion Cientifica y Tecnologica (CONICYT)); IDEAL Center FONDAP Grant</t>
  </si>
  <si>
    <t>Cruise NBP0505 was funded by the National Science Foundation, Office of Polar Programs grant NSF/OPP 03-38137 to John Anderson and Julia Smith Wellner. The captain and crew of the RV/IB Nathaniel B. Palmer are acknowledged for their support during the cruise. We are grateful to Liviu Giosan (WHOI) and to Tim Ferdelman, Andrea Schipper and Thomas Max (MPI, Bremen) for providing access to the ITRAX XRF core scanner and UIC coulometer, respectively. We also warmly thank Reinout Debergh, Julian Janocha and Alvaro del Rey for processing some of the sediment samples for IRD and grain-size analysis during their studies at Ghent University. Brandi Boyd kindly provided the pebble count data and Lilian Nunez (UdeC) processed the sediment samples for alkenone analysis. Toon Van Dijck and Nathalie Fagel facilitated the acquisition of the XRD results presented in appendix. This research was supported by an EU Marie Curie FP6 postdoctoral fellowship to S.B., by National Geographic Grant 8379-07 (to S.B.), by COPAS Center FONDAP Grant 150100007 and COPAS Sur-Austral CONICYT PIA PFB31 (to C.L and S.P), and by IDEAL Center FONDAP Grant 15150003 (to C.L.). Samples were provided by the Antarctic Marine Geology Research Facility at Florida State University. We thank the facility curators for their assistance with shipping core JPC67 to WHOI. Finally, Mahyar Mohtadi (MARUM) and Rodrigo Fernandez (UT Austin) are thanked for constructive discussions at various stages of this project. One anonymous reviewer is acknowledged for providing valuable comments. The dataset presented in this article is available on PANGAEA: https://doi.pangaea.de/10.1594/PANGAEA.881854.</t>
  </si>
  <si>
    <t>10.1016/j.quascirev.2017.10.029</t>
  </si>
  <si>
    <t>WOS:000418203900017</t>
  </si>
  <si>
    <t>King, JC; Bannister, D; Hosking, JS; Colwell, SR</t>
  </si>
  <si>
    <t>King, J. C.; Bannister, D.; Hosking, J. S.; Colwell, S. R.</t>
  </si>
  <si>
    <t>Causes of the Antarctic region record high temperature at Signy Island, 30th January 1982</t>
  </si>
  <si>
    <t>ATMOSPHERIC SCIENCE LETTERS</t>
  </si>
  <si>
    <t>observational data analysis; regional and mesoscale modelling; mesoscale; mountain; polar; fohn wind</t>
  </si>
  <si>
    <t>WINDS</t>
  </si>
  <si>
    <t>On 30th January 1982, the research station on Signy Island (South Orkney Islands) reported a daily maximum temperature of 19.8 degrees C. This is a record maximum for any station south of 60 degrees S. We use surface observations, atmospheric reanalyses and high-resolution atmospheric model simulations to investigate the drivers of this extreme event. At the time of the record temperature exceptionally warm air was being advected southwards towards the South Orkney Islands from the subtropical South Atlantic. This air mass cooled significantly at levels below 1km during its long track over the cold Southern Ocean but remained relatively warm above this level. Atmospheric model simulations show that warm air from upper levels was brought down towards the surface over Signy Island in a fohn wind generated by northerly flow over Coronation Island, a mountainous island just to the north of Signy Island. Modelled temperatures over Signy Island are in good agreement with observations and thus support the hypothesis that the record temperature was caused by a combination of exceptional warm advection with conditions suitable for the generation of fohn. Since conditions conducive to fohn occur relatively frequently, fohn warming may have a significant influence on the local climate and ecology of Signy Island.</t>
  </si>
  <si>
    <t>[King, J. C.; Bannister, D.; Hosking, J. S.; Colwell, S. R.] British Antarctic Survey, Atmosphere Ice &amp; Climate Team, Madingley Rd, Cambridge CB3 0ET, England</t>
  </si>
  <si>
    <t>King, JC (corresponding author), British Antarctic Survey, Atmosphere Ice &amp; Climate Team, Madingley Rd, Cambridge CB3 0ET, England.</t>
  </si>
  <si>
    <t>jcki@bas.ac.uk</t>
  </si>
  <si>
    <t>; Hosking, Scott/D-3437-2013</t>
  </si>
  <si>
    <t>King, John/0000-0003-3315-7568; Hosking, Scott/0000-0002-3646-3504; Bannister, Daniel/0000-0002-2982-3751</t>
  </si>
  <si>
    <t>Natural Environment Research Council [NE/L013770/1]; Natural Environment Research Council as part of the British Antarctic Survey's programme 'Polar Science for Planet Earth'; NERC [NE/L013770/1, bas0100032] Funding Source: UKRI; Natural Environment Research Council [bas0100032, NE/L013770/1] Funding Source: researchfish</t>
  </si>
  <si>
    <t>Natural Environment Research Council(UK Research &amp; Innovation (UKRI)Natural Environment Research Council (NERC)); Natural Environment Research Council as part of the British Antarctic Survey's programme 'Polar Science for Planet Earth'; NERC(UK Research &amp; Innovation (UKRI)Natural Environment Research Council (NERC)); Natural Environment Research Council(UK Research &amp; Innovation (UKRI)Natural Environment Research Council (NERC))</t>
  </si>
  <si>
    <t>We thank R. Cerveney (Chair) and members of the WMO Committee on Antarctic Temperature Extremes for stimulating our interest in this event. Orcadas temperature observations were kindly provided by Maria de los Milagros Skansi, Argentinian Climatological Department. P. Fretwell and L. Gerrish supplied the digital elevation model data used in our WRF simulation. P. Convey provided useful background on the terrestrial biology of Signy Island and its relationship to local climate. DB acknowledges support from the Natural Environment Research Council under grant NE/L013770/1. This study was funded by the Natural Environment Research Council as part of the British Antarctic Survey's programme 'Polar Science for Planet Earth'.</t>
  </si>
  <si>
    <t>1530-261X</t>
  </si>
  <si>
    <t>ATMOS SCI LETT</t>
  </si>
  <si>
    <t>Atmos. Sci. Lett.</t>
  </si>
  <si>
    <t>10.1002/asl.793</t>
  </si>
  <si>
    <t>Geochemistry &amp; Geophysics; Meteorology &amp; Atmospheric Sciences</t>
  </si>
  <si>
    <t>FQ4WA</t>
  </si>
  <si>
    <t>WOS:000418357900006</t>
  </si>
  <si>
    <t>Hessl, A; Allen, KJ; Vance, T; Abram, NJ; Saunders, KM</t>
  </si>
  <si>
    <t>Hessl, Amy; Allen, Kathryn J.; Vance, Tessa; Abram, Nerilie J.; Saunders, Krystyna M.</t>
  </si>
  <si>
    <t>Reconstructions of the southern annular mode (SAM) during the last millennium</t>
  </si>
  <si>
    <t>PROGRESS IN PHYSICAL GEOGRAPHY-EARTH AND ENVIRONMENT</t>
  </si>
  <si>
    <t>Ice cores; tree rings; lake sediments; corals; climate reconstruction; Southern Hemisphere climate; climate modes</t>
  </si>
  <si>
    <t>ANTARCTIC OSCILLATION; ICE CORE; ATMOSPHERIC CIRCULATION; AUSTRALIAN RAINFALL; SEA-ICE; SURFACE-TEMPERATURE; CLIMATE VARIABILITY; HOLOCENE CLIMATE; SOLAR-CYCLE; PART I</t>
  </si>
  <si>
    <t>The leading mode of atmospheric variability in the Southern Hemisphere is the Southern Annular Mode (SAM), which affects the atmosphere and ocean from the mid-latitudes to the Antarctic. However, the short instrumental record of the SAM does not adequately represent its multi-decadal to centennial-scale variability. Long palaeoclimatic reconstructions of the SAM would improve our understanding of its low frequency behavior and its effects on regional temperature, rainfall, sea ice, and ecosystem processes. In this progress report, we review three published palaeoclimatic reconstructions available for understanding multi-decadal to centennial-scale variability of the SAM. Reconstructions reviewed here show similar patterns of decadal SAM variability during the last two centuries, but earlier centuries are less coherent. Reconstructions clearly maintain similar trends towards more positive SAM states since the onset of significant anthropogenic climate forcing from rising greenhouse gas (GHG) concentrations and ozone depletion and these excursions appear unprecedented over at least the last 500 years. We describe how new multi-proxy reconstructions of the SAM could further improve our understanding of its long-term variability and effects across all geographic sectors of the Southern Hemisphere. Here, we recommend careful selection and development of proxies in SAM-sensitive regions and seasons. In particular, proxies related to cool-season conditions and from the poorly-sampled Indian Ocean sector would allow for a true circumpolar and year-round reconstruction of past SAM variability.</t>
  </si>
  <si>
    <t>[Hessl, Amy] West Virginia Univ, 98 Beechurst Ave, Morgantown, WV 26506 USA; [Allen, Kathryn J.] Univ Melbourne, Melbourne, Vic, Australia; [Vance, Tessa] Univ Tasmania, Hobart, Tas, Australia; [Abram, Nerilie J.] Australian Natl Univ, Canberra, ACT, Australia; [Saunders, Krystyna M.] Australian Nucl Sci &amp; Technol Org, Lucas Heights, Australia</t>
  </si>
  <si>
    <t>West Virginia University; University of Melbourne; Melbourne Bioinformatics; University of Tasmania; Australian National University; Australian Nuclear Science &amp; Technology Organisation</t>
  </si>
  <si>
    <t>Hessl, A (corresponding author), West Virginia Univ, 98 Beechurst Ave, Morgantown, WV 26506 USA.</t>
  </si>
  <si>
    <t>amy.hessl@mail.wvu.edu</t>
  </si>
  <si>
    <t>Allen, Kathryn/AAH-8535-2019; Abram, Nerilie/AAT-5171-2021; Saunders, Krystyna/G-1368-2019</t>
  </si>
  <si>
    <t>Allen, Kathryn/0000-0002-8403-4552; Saunders, Krystyna/0000-0002-6800-2630; Vance, Tessa/0000-0001-6970-8646; Abram, Nerilie/0000-0003-1246-2344</t>
  </si>
  <si>
    <t>Australian Government's Cooperative Research Centres Program, through the Antarctic Climate &amp; Ecosystems Cooperative Research Centre; ARC Future Fellowship [FT160100029]; ARC Discovery Project [DP140102059]; ARC [LP12020811]; Australian Research Council [FT160100029] Funding Source: Australian Research Council</t>
  </si>
  <si>
    <t>Australian Government's Cooperative Research Centres Program, through the Antarctic Climate &amp; Ecosystems Cooperative Research Centre(Australian GovernmentDepartment of Industry, Innovation and ScienceCooperative Research Centres (CRC) Programme); ARC Future Fellowship(Australian Research Council); ARC Discovery Project(Australian Research Council); ARC(Australian Research Council); Australian Research Council(Australian Research Council)</t>
  </si>
  <si>
    <t>The authors disclosed receipt of the following financial support for the research, authorship, and/or publication of this article: This work was supported by the Australian Government's Cooperative Research Centres Program, through the Antarctic Climate &amp; Ecosystems Cooperative Research Centre. NJA was supported by ARC Future Fellowship FT160100029, and this work contributes to ARC Discovery Project DP140102059 (NJA, TV). KA was supported by ARC LP12020811.</t>
  </si>
  <si>
    <t>0309-1333</t>
  </si>
  <si>
    <t>1477-0296</t>
  </si>
  <si>
    <t>PROG PHYS GEOG</t>
  </si>
  <si>
    <t>Prog. Phys. Geogr.</t>
  </si>
  <si>
    <t>10.1177/0309133317743165</t>
  </si>
  <si>
    <t>FQ0JP</t>
  </si>
  <si>
    <t>WOS:000418042100007</t>
  </si>
  <si>
    <t>Zhang, Y; Li, CL; Yang, G; Wang, YQ; Tao, ZC; Zhang, YS; Wang, AJ</t>
  </si>
  <si>
    <t>Zhang, Ye; Li, Chaolun; Yang, Guang; Wang, Yanqing; Tao, Zhencheng; Zhang, Yongshan; Wang, Aijun</t>
  </si>
  <si>
    <t>Ontogenetic diet shift in Antarctic krill (Euphausia superba) in the Prydz Bay: a stable isotope analysis</t>
  </si>
  <si>
    <t>ACTA OCEANOLOGICA SINICA</t>
  </si>
  <si>
    <t>Antarctic krill; Prydz Bay; diet shift; stable isotope; IsoSource</t>
  </si>
  <si>
    <t>FOOD-WEB; SEA-ICE; TROPHIC POSITION; ORGANIC-MATTER; COPEPOD INTERACTIONS; ENERGY BUDGETS; SOUTHERN-OCEAN; MIXING MODELS; DELTA-C-13; CARBON</t>
  </si>
  <si>
    <t>As one of the most common and dominant species in the Southern Ocean, Antarctic krill (Euphausia superba) play a significant role in food web structure and the process of energy flow. The diet of Antarctic krill in the Prydz Bay during austral summer of 2012/2013 was investigated and the ontogenetic shift in krill diet was evaluated using the stable isotope method. The nitrogen stable isotope values (delta N-15) of adults ((2.78 +/- 0.58)aEuro degrees) were much higher than those of juveniles ((1.69 +/- 0.70)aEuro degrees), whereas the carbon stable isotope values (delta C-13) of adults (-(28.26 +/- 1.08)aEuro degrees) were slightly lower than those of juveniles (-(27.48 +/- 1.35)aEuro degrees). Particulate organic matter (POM) from 0, 25, and 50 m depth combined (0/25/50 m) represented phytoplankton food items. The results showed that phytoplankton food items in surface water and mesozooplankton were two essential food items for Antarctic krill in the Prydz Bay during summer. POM (0/25/50 m) contributes 56%-69% and 26%-34% to the diet of juvenile and adult krill, respectively, whereas mesozooplankton composes 13%-34% and 58%-71% of the diet of juvenile and adult krill, respectively. Thus, an ontogenetic diet shift from POM (0/25/50 m), which consists mainly of phytoplankton, to a higher trophic level diet containing mesozooplankton, was detected. The capacity for adults to consume more zooplankton food items may minimize their food competition with juveniles, which rely mostly on phytoplankton food items. This suggests diet shift with ontogeny which may somehow help krill keep their dietary energy budget balanced and well adapted to the Antarctic marine ecosystem as a dominant species.</t>
  </si>
  <si>
    <t>[Zhang, Ye; Li, Chaolun; Yang, Guang; Wang, Yanqing; Tao, Zhencheng; Zhang, Yongshan] Chinese Acad Sci, Inst Oceanol, Key Lab Marine Ecol &amp; Environm Sci, Qingdao 266071, Peoples R China; [Zhang, Ye; Li, Chaolun] Univ Chinese Acad Sci, Beijing 100049, Peoples R China; [Zhang, Ye; Li, Chaolun; Yang, Guang; Wang, Yanqing; Tao, Zhencheng; Zhang, Yongshan] Qingdao Natl Lab Marine Sci &amp; Technol, Lab Marine Ecol &amp; Environm Sci, Qingdao 266071, Peoples R China; [Wang, Aijun] State Ocean Adm, Inst Oceanog 3, Xiamen 361005, Peoples R China</t>
  </si>
  <si>
    <t>Chinese Academy of Sciences; Institute of Oceanology, CAS; Chinese Academy of Sciences; University of Chinese Academy of Sciences, CAS; Laoshan Laboratory; Third Institute of Oceanography, Ministry of Natural Resources</t>
  </si>
  <si>
    <t>Li, CL (corresponding author), Chinese Acad Sci, Inst Oceanol, Key Lab Marine Ecol &amp; Environm Sci, Qingdao 266071, Peoples R China.;Li, CL (corresponding author), Univ Chinese Acad Sci, Beijing 100049, Peoples R China.;Li, CL (corresponding author), Qingdao Natl Lab Marine Sci &amp; Technol, Lab Marine Ecol &amp; Environm Sci, Qingdao 266071, Peoples R China.</t>
  </si>
  <si>
    <t>lcl@qdio.ac.cn</t>
  </si>
  <si>
    <t>wang, yanqing/C-5680-2014; Li, Chao/GSM-8117-2022</t>
  </si>
  <si>
    <t>wang, yanqing/0000-0002-3054-3079; Li, Chao/0000-0001-6110-6210; Li, Chaolun/0000-0003-1890-0587</t>
  </si>
  <si>
    <t>Chinese Polar Environment Comprehensive Investigation &amp; Assessment Programmes [CHINARE2016-01-05]; Scientific and Technological Innovation Project - Qingdao National Laboratory for Marine Science and Technology [2015ASKJ01]; National Natural Science Foundation of China [41206180]</t>
  </si>
  <si>
    <t>Chinese Polar Environment Comprehensive Investigation &amp; Assessment Programmes; Scientific and Technological Innovation Project - Qingdao National Laboratory for Marine Science and Technology; National Natural Science Foundation of China(National Natural Science Foundation of China (NSFC))</t>
  </si>
  <si>
    <t>Foundation item: Chinese Polar Environment Comprehensive Investigation &amp; Assessment Programmes under contract No. CHINARE2016-01-05; the Scientific and Technological Innovation Project financially supported by Qingdao National Laboratory for Marine Science and Technology under contract No. 2015ASKJ01; the National Natural Science Foundation of China under contract No. 41206180.</t>
  </si>
  <si>
    <t>0253-505X</t>
  </si>
  <si>
    <t>1869-1099</t>
  </si>
  <si>
    <t>ACTA OCEANOL SIN</t>
  </si>
  <si>
    <t>Acta Oceanol. Sin.</t>
  </si>
  <si>
    <t>10.1007/s13131-017-1049-4</t>
  </si>
  <si>
    <t>FP8HN</t>
  </si>
  <si>
    <t>WOS:000417883300009</t>
  </si>
  <si>
    <t>Patil, SM; Mohan, R; Shetye, SS; Gazi, S; Baumann, KH; Jafar, S</t>
  </si>
  <si>
    <t>Patil, Shramik M.; Mohan, Rahul; Shetye, Suhas S.; Gazi, Sahina; Baumann, Karl-Heinz; Jafar, Syed</t>
  </si>
  <si>
    <t>Biogeographic distribution of extant Coccolithophores in the Indian sector of the Southern Ocean</t>
  </si>
  <si>
    <t>MARINE MICROPALEONTOLOGY</t>
  </si>
  <si>
    <t>Extant Coccolithophores; Southern Indian Ocean; Nutrients; Oceanic fronts; Austral summer</t>
  </si>
  <si>
    <t>ANTARCTIC CIRCUMPOLAR CURRENT; SEA-SURFACE DISTRIBUTION; LATE AUSTRAL SUMMER; EMILIANIA-HUXLEYI; PACIFIC SECTOR; ATLANTIC-OCEAN; CALCAREOUS NANNOPLANKTON; WATER MASSES; FRONTS; MORPHOTYPES</t>
  </si>
  <si>
    <t>Water samples from nine vertical profiles down to 110 m water depth and 19 samples from the sea-surface were studied for coccolithophore abundance and distribution across oceanic frontal regions of the Indian sector of the Southern Ocean. Sampling was performed along a north-south transect (between 39 degrees S and 65.49 degrees S, similar to 57.3 degrees E) during the 4th Indian Southern Ocean Expedition (between 31st January and 18th February 2010). Coccospheres and coccoliths were counted separately using a Scanning Electron Microscope (SEM). A total of 39 taxa (including morphotypes, types and subspecies) were recorded as intact coccospheres with abundances reaching up to 750 X 10(3) coccospheres/l. In addition, 85 taxa (including varieties, morphotypes) were counted as coccoliths reaching up to 900 X 10(5) coccoliths/l. Emiliania huxleyi was recognized as the most abundant species, accounting for &gt; 86% of the total coccolithophore assemblage at each station. Elevated coccolithophore diversity was observed in the subtropical zone whereas high coccolithophore abundance was observed in the Subantarctic zone. A monospecific Emiliania huxleyi assemblage was recorded within and south of the Polar frontal zone. Three assemblages were recognized based on coccolithophore abundance and diversity. The assemblage of the Agulhas Retroflection frontal zone and Subtropical zone is highly diverse (39 taxa) and can be linked to relatively warm, high saline and oligotrophic waters. The Subantarctic zone assemblage is characterized by a reduced number (thirteen) of coccolithophore taxa, whereas the Polar Frontal zone comprises a monospecific E. huxleyi assemblage (preferentially morphotypes C and B/C). Multivariate statistics indicated that regions with elevated temperature and low nutrient concentration show high coccolithophore diversity whereas regions with high nutrient concentrations and low temperature show a strongly reduced coccolithophore diversity with abundant monospecific E. huxleyi (morphotypes B/C and C) assemblages.</t>
  </si>
  <si>
    <t>[Patil, Shramik M.; Mohan, Rahul; Gazi, Sahina] Natl Ctr Antarctic &amp; Ocean Res, Vasco Da Gama 403804, Goa, India; [Shetye, Suhas S.] Natl Inst Oceanog, Panaji 403004, Goa, India; [Baumann, Karl-Heinz] Univ Bremen, Dept Geosci, POB 330440, D-28339 Bremen, Germany; [Jafar, Syed] Flat 5-B,Haralur Rd, Bangalore 560102, Karnataka, India</t>
  </si>
  <si>
    <t>Ministry of Earth Sciences (MoES) - India; National Centre for Polar and Ocean Research (NCPOR); Council of Scientific &amp; Industrial Research (CSIR) - India; CSIR - National Institute of Oceanography (NIO); University of Bremen</t>
  </si>
  <si>
    <t>Mohan, R (corresponding author), Natl Ctr Antarctic &amp; Ocean Res, Vasco Da Gama 403804, Goa, India.</t>
  </si>
  <si>
    <t>rahulmohangupta@gmail.com</t>
  </si>
  <si>
    <t>Patil, Shramik/0000-0001-8937-1403</t>
  </si>
  <si>
    <t>DST Inspire [DST/INSPIRE/04/2015/001969]</t>
  </si>
  <si>
    <t>DST Inspire(Department of Science &amp; Technology (India))</t>
  </si>
  <si>
    <t>The authors are thankful to the Secretary of the Ministry of Earth Sciences (MoES), Government of India and the Director of the ESSO-National Centre for Antarctic and Ocean Research for supporting the Southern Ocean expedition. We would also like to thank the chief scientist, Dr. N. Anilkumar and the expedition members for the support extended for our sampling needs. We gratefully acknowledge Captain Satishraja Rangaraja, Ebin James and other crew members of ORV Sagar Nidhi, for their support during the expedition. The authors would like to thank editor and both reviewers for their valuable comments. Dr. Shramik would like to thank DST Inspire for providing funding (DST/INSPIRE/04/2015/001969). This is NCAOR Contribution No. 32/2017.</t>
  </si>
  <si>
    <t>0377-8398</t>
  </si>
  <si>
    <t>1872-6186</t>
  </si>
  <si>
    <t>MAR MICROPALEONTOL</t>
  </si>
  <si>
    <t>Mar. Micropaleontol.</t>
  </si>
  <si>
    <t>10.1016/j.marmicro.2017.08.002</t>
  </si>
  <si>
    <t>FP5PG</t>
  </si>
  <si>
    <t>WOS:000417670800002</t>
  </si>
  <si>
    <t>Hewitt, HT; Bell, MJ; Chassignet, EP; Czaja, A; Ferreira, D; Griffies, SM; Hyder, P; McClean, JL; New, AL; Roberts, MJ</t>
  </si>
  <si>
    <t>Hewitt, Helene T.; Bell, Michael J.; Chassignet, Eric P.; Czaja, Arnaud; Ferreira, David; Griffies, Stephen M.; Hyder, Pat; McClean, Julie L.; New, Adrian L.; Roberts, Malcolm J.</t>
  </si>
  <si>
    <t>Will high-resolution global ocean models benefit coupled predictions on short-range to climate timescales?</t>
  </si>
  <si>
    <t>Resolution; Parameterisation; Ocean; Atmosphere; Coupled</t>
  </si>
  <si>
    <t>SEA-SURFACE TEMPERATURE; MERIDIONAL OVERTURNING CIRCULATION; ANTARCTIC CIRCUMPOLAR CURRENT; TRANSIENT ATMOSPHERIC RESPONSE; NORTH-ATLANTIC OSCILLATION; EMBEDDED LAGRANGIAN MODEL; LOW-FREQUENCY VARIABILITY; SOUTHERN-OCEAN; GULF-STREAM; Z-COORDINATE</t>
  </si>
  <si>
    <t>As the importance of the ocean in the weather and climate system is increasingly recognised, operational systems are now moving towards coupled prediction not only for seasonal to climate timescales but also for short-range forecasts. A three-way tension exists between the allocation of computing resources to refine model resolution, the expansion of model complexity/ capability, and the increase of ensemble size. Here we review evidence for the benefits of increased ocean resolution in global coupled models, where the ocean component explicitly represents transient mesoscale eddies and narrow boundary currents. We consider lessons learned from forced ocean/sea-ice simulations; from studies concerning the SST resolution required to impact atmospheric simulations; and from coupled predictions. Impacts of the mesoscale ocean in western boundary current regions on the large-scale atmospheric state have been identified. Understanding of air-sea feedback in western boundary currents is modifying our view of the dynamics in these key regions. It remains unclear whether variability associated with open ocean mesoscale eddies is equally important to the large-scale atmospheric state. We include a discussion of what processes can presently be parameterised in coupled models with coarse resolution non-eddying ocean models, and where parameterizations may fall short. We discuss the benefits of resolution and identify gaps in the current literature that leave important questions unanswered.</t>
  </si>
  <si>
    <t>[Hewitt, Helene T.; Bell, Michael J.; Hyder, Pat; Roberts, Malcolm J.] Met Off, Fitzroy Rd, Exeter, Devon, England; [Chassignet, Eric P.] Florida State Univ, COAPS, Tallahassee, FL 32306 USA; [Czaja, Arnaud] Imperial Coll London, Dept Phys, Space &amp; Atmospher Phys Grp, London, England; [Ferreira, David] Univ Reading, Dept Meteorol, Reading, Berks, England; [Griffies, Stephen M.] NOAA, Geophys Fluid Dynam Lab, Princeton, NJ USA; [McClean, Julie L.] Univ Calif San Diego, Scripps Inst Oceanog, La Jolla, CA 92093 USA; [New, Adrian L.] Natl Oceanog Ctr, Southampton, Hants, England</t>
  </si>
  <si>
    <t>Met Office - UK; State University System of Florida; Florida State University; Imperial College London; University of Reading; National Oceanic Atmospheric Admin (NOAA) - USA; University of California System; University of California San Diego; Scripps Institution of Oceanography; NERC National Oceanography Centre</t>
  </si>
  <si>
    <t>Hewitt, HT (corresponding author), Met Off, Fitzroy Rd, Exeter, Devon, England.</t>
  </si>
  <si>
    <t>helene.hewitt@metoffice.gov.uk</t>
  </si>
  <si>
    <t>Ferreira, David/JNR-2354-2023; Ferreira, David/JJD-6133-2023; New, Adrian/JVZ-4824-2024; Griffies, Stephen Matthew/N-9144-2019</t>
  </si>
  <si>
    <t>Griffies, Stephen Matthew/0000-0002-3711-236X; Chassignet, Eric/0000-0003-4710-7502; Hewitt, Helene/0000-0001-7432-6001; New, Adrian/0000-0002-3159-8872</t>
  </si>
  <si>
    <t>Joint UK BEIS/Defra Met Office Hadley Centre Climate Programme [GA01101]; U.S. DOE Office of Science/BER [DE-SC0012778, DE-SC0014440]; U.S. DOE grant [DE-SC0014378]; Natural Environment Research Council (NERC) National Capability funding; PRIMAVERA project under European Commission's Horizon research programme [641727]; Natural Environment Research Council [noc010010] Funding Source: researchfish; NERC [noc010010] Funding Source: UKRI; U.S. Department of Energy (DOE) [DE-SC0012778, DE-SC0014378, DE-SC0014440] Funding Source: U.S. Department of Energy (DOE)</t>
  </si>
  <si>
    <t>Joint UK BEIS/Defra Met Office Hadley Centre Climate Programme; U.S. DOE Office of Science/BER(United States Department of Energy (DOE)); U.S. DOE grant(United States Department of Energy (DOE)); Natural Environment Research Council (NERC) National Capability funding(UK Research &amp; Innovation (UKRI)Natural Environment Research Council (NERC)); PRIMAVERA project under European Commission's Horizon research programme; Natural Environment Research Council(UK Research &amp; Innovation (UKRI)Natural Environment Research Council (NERC)); NERC(UK Research &amp; Innovation (UKRI)Natural Environment Research Council (NERC)); U.S. Department of Energy (DOE)(United States Department of Energy (DOE))</t>
  </si>
  <si>
    <t>This review article is the result of a workshop on 'High-resolution Ocean Modelling for Coupled Seamless Prediction' held at the Met Office in Exeter on 13-15 April 2016 (https://www.godae-oceanview.org/outreach/meetings-workshops/external-meetings-supported-bygov/international-coupled-seamless-prediction-meeting/presentations/) and we thank all the participants of the meeting for their contribution. We thank the editor, Anne-Marie Treguier, and two anonymous reviewers for their insightful comments. HTH, MJR and MJB were supported by the Joint UK BEIS/Defra Met Office Hadley Centre Climate Programme (GA01101). JLM was supported by two U.S. DOE Office of Science/BER grants: DE-SC0012778 and DE-SC0014440. EPC was supported by U.S. DOE grant DE-SC0014378. ALN was supported by Natural Environment Research Council (NERC) National Capability funding. MJR and ALN were also supported by the PRIMAVERA project under Grant Agreement 641727 in the European Commission's Horizon 2020 research programme. Richard Hill and Marc Stringer kindly provided the ESM estimates for figure 1 and Pierre Mathiot produced figure 8c. Thanks to Laurent Terray, Amanda O'Rourke and Brandon Reichl for comments on a draft of this document.</t>
  </si>
  <si>
    <t>10.1016/j.ocemod.2017.11.002</t>
  </si>
  <si>
    <t>FP2KC</t>
  </si>
  <si>
    <t>WOS:000417445200009</t>
  </si>
  <si>
    <t>Lücking, R; Moncada, B; McCune, B; Farkas, E; Goffinet, B; Parker, D; Chaves, JL; Lokös, L; Nelson, PR; Spribille, T; Stenroos, S; Wheeler, T; Yanez-Ayabaca, A; Dillman, K; Gockman, OT; Goward, T; Hollinger, J; Tripp, EA; Villella, J; Alvaro-Alba, WR; Arango, CJ; Caceres, MES; Coca, LF; Printzen, C; Rodríguez, C; Scharnagl, K; Rozzi, R; Soto-Medina, E; Yakovchenko, LS</t>
  </si>
  <si>
    <t>Luecking, Robert; Moncada, Bibiana; McCune, Bruce; Farkas, Edit; Goffinet, Bernard; Parker, Dinah; Chaves, Jose Luis; Lokos, Laszlo; Nelson, Peter R.; Spribille, Toby; Stenroos, Soili; Wheeler, Timothy; Yanez-Ayabaca, Alba; Dillman, Karen; Gockman, Otto T.; Goward, Trevor; Hollinger, Jason; Tripp, Erin A.; Villella, John; Alvaro-Alba, Wilson R.; Arango, Carlos Julio; Caceres, Marcela E. S.; Coca, Luis Fernando; Printzen, Christian; Rodriguez, Camilo; Scharnagl, Klara; Rozzi, Ricardo; Soto-Medina, Edier; Yakovchenko, Lidia S.</t>
  </si>
  <si>
    <t>Pseudocyphellaria crocata (Ascomycota: Lobariaceae) in the Americas is revealed to be thirteen species, and none of them is P. crocata</t>
  </si>
  <si>
    <t>BRYOLOGIST</t>
  </si>
  <si>
    <t>Bayesian Poisson tree processes (bPTP); Pseudocyphellaria gilva; Pseudocyphellaria maculata; Pseudocyphellaria physciospora; species delimitation.</t>
  </si>
  <si>
    <t>CONTINENTAL UNITED-STATES; LICHENIZED ASCOMYCOTA; PAIR CONCEPT; BETA-TUBULIN; ALLIED FUNGI; GENUS; PHOTOSYMBIODEMES; SEQUENCES; DELIMITATION; PARMELIACEAE</t>
  </si>
  <si>
    <t>We provide a phylogenetic revision of the Pseudocyphellaria crocata complex in the Americas. Specimens traditionally identified as P. crocata, based on their cyanobacterial photobiont, yellow pseudocyphellae, at least partially white medulla, and yellow soralia or soralia-like structures, are shown to represent 13 distinct species, forming a monophyletic group divided into four large clades, three comprising one species each and one containing eight species, plus two taxa for which no molecular data are available. Seven species correspond to what was previously recognized as P. crocata and one to P. dozyana, whereas a further one is identified as the sorediate counterpart of the usually apotheciate taxon P. lechleri and another as a pseudosorediate morph of the usually phyllidiate species P. neglecta. Surprisingly, none of the species represents P. crocata s. str., which must therefore be excluded from the American lichen biota. The 13 recognized species include three species new to science and three new combinations: P. citrina (Gyeln.) L  ucking, Moncada &amp; S. Stenroos, comb. nov. [bas.: Cyanisticta citrina Gyeln., nom. nov. pro Sticta citrina Pers. nom. illeg.], P. desfontainii (Delise) Vain., P. deyi L  ucking, sp. nov., P. dozyana (Mont. &amp; Bosch) D. J. Galloway, P. epiflavoides (Gyeln.) L  ucking, Farkas &amp; L} ok  os, comb. nov. [bas.: Cyanisticta epiflavoides Gyeln.], P. hawaiiensis H. Magn., P. hillii (C. W. Dodge) D. J. Galloway, P. holarctica McCune, L  ucking &amp; Moncada, sp. nov., P. lechleri (M  ull. Arg.) Du Rietz, P. neglecta (M  ull. Arg.) H. Magn., P. punctata Lendemer, L  ucking &amp; Moncada sp. nov., P. sandwicensis (Zahlbr.) Moncada &amp; L  ucking, comb. nov. [bas.: Sticta crocata f. sandwicensis Zahlbr.], and P. xanthosticta (Pers.) Moncada &amp; L  ucking. Based on sequenced specimens, a neotype is selected for P. citrina and epitypes for P. hawaiiensis, P. lechleri, P. sandwicensis and P. xanthosticta. A key to all sorediate or pseudosorediate species of this complex in the Americas is presented, and all species are described, discussed and illustrated.</t>
  </si>
  <si>
    <t>[Luecking, Robert] Free Univ Berlin, Bot Garden &amp; Bot Museum, Konigin Luise Str 6-8, D-14195 Berlin, Germany; [Moncada, Bibiana; Arango, Carlos Julio; Rodriguez, Camilo] Univ Dist Francisco Jose de Caldas, Torre Labs, Biol, Cra 4 26D-54, Bogota, DC, Colombia; [Luecking, Robert; Moncada, Bibiana] Integrat Res Ctr, Field Museum, 1400 South Lake Shore, Chicago, IL 60605 USA; [McCune, Bruce] Oregon State Univ, Dept Bot &amp; Plant Pathol, Corvallis, OR 97331 USA; [Farkas, Edit] Hungarian Acad Sci, MTA Ctr Ecol Res, Inst Ecol &amp; Bot, Alkotmany U 2-4, H-2163 Vacratot, Hungary; [Goffinet, Bernard; Parker, Dinah] Univ Connecticut, Dept Ecol &amp; Evolutionary Biol, 75 N Eagleville Rd, Storrs, CT 06269 USA; [Chaves, Jose Luis] Inst Nacl Biodiversidad INBio, Lab Hongos, Apdo 22-3100, Santo Domingo Heredia, Costa Rica; [Lokos, Laszlo] Hungarian Nat Hist Museum, Dept Bot, Pf 137, H-1431 Budapest, Hungary; [Nelson, Peter R.] Univ Maine, Arts &amp; Sci Div, 23 Univ Dr, Ft Kent, ME 04743 USA; [Spribille, Toby] Univ Alberta, Dept Biol Sci, Edmonton, AB T6G 2E9, Canada; [Stenroos, Soili] Univ Helsinki, Finnish Museum Nat Hist, Bot Museum, FI-00014 Helsinki, Finland; [Wheeler, Timothy] Univ Montana, Div Biol Sci, Missoula, MT 59812 USA; [Yanez-Ayabaca, Alba] Univ Cent Ecuador, Quito, Ecuador; [Dillman, Karen] Tongass Natl Forest, POB 309, Petersburg, VA 99833 USA; [Gockman, Otto T.] 1747 Englewood Ave, St Paul, MN 55104 USA; [Goward, Trevor] Univ British Columbia, Beaty Museum, UBC Herbarium, Vancouver, BC V6T 1Z4, Canada; [Hollinger, Jason] 7726 Fowler Ave, Reno, NV 89506 USA; [Tripp, Erin A.] Univ Colorado, Dept Ecol &amp; Evolutionary Biol, Boulder, CO 80309 USA; [Tripp, Erin A.] Univ Colorado, Museum Nat Hist, Boulder, CO 80309 USA; [Villella, John] Siskiyou Biosurvey LLC, Ashland, OR 97520 USA; [Alvaro-Alba, Wilson R.] Univ Pedag &amp; Tecnol Colombia, Tunja, Colombia; [Caceres, Marcela E. S.] Univ Fed Sergipe, Dept Biociencias, Ave Vereador Olimpio Grande S-N, BR-4950000 Itabaiana, Sergipe, Brazil; [Coca, Luis Fernando] Herbario Univ Caldas FAUC, Edif Bicentenario,Calle 65 26-10,AA 275, Manizales, Caldas, Colombia; [Printzen, Christian] Senckenberg Res Inst, D-60325 Frankfurt, Germany; [Printzen, Christian] Nat Hist Museum, D-60325 Frankfurt, Germany; [Scharnagl, Klara] Michigan State Univ, Dept Plant Biol, E Lansing, MI 48824 USA; [Rozzi, Ricardo] Univ North Texas, Dept Philosophy, 1704 West Mulberry, Denton, TX 76201 USA; [Rozzi, Ricardo] Inst Ecol &amp; Biodivers, Omora Ethnobot Pk, Puerto Williams, Antarctic Prov, Chile; [Rozzi, Ricardo] Univ Magallanes, Puerto Williams, Antarctic Prov, Chile; [Soto-Medina, Edier] Univ Valle, Fac Ciencias Nat, Dept Biol, Calle 13 100-00, Cali, Colombia; [Yakovchenko, Lidia S.] RAS, Fed Sci Ctr East Asia Terr Biodivers FEB, Stoletiya Vladivostoka Ave 159, RU-690022 Vladivostok, Russia</t>
  </si>
  <si>
    <t>Free University of Berlin; Universidad Distrital Francisco Jose de Caldas; Field Museum of Natural History (Chicago); Oregon State University; Hungarian Academy of Sciences; Hungarian Research Network; HUN-REN Centre for Ecological Research; University of Connecticut; University of Maine System; University of Maine Fort Kent; University of Maine Orono; University of Alberta; University of Helsinki; University of Montana System; University of Montana; Universidad Central del Ecuador; University of British Columbia; University of Colorado System; University of Colorado Boulder; University of Colorado System; University of Colorado Boulder; Universidad Pedagogica y Tecnologica de Colombia (UPTC); Universidade Federal de Sergipe; Universidad de Caldas; Senckenberg Gesellschaft fur Naturforschung (SGN); Michigan State University; University of North Texas System; University of North Texas Denton; Universidad de Magallanes; Universidad del Valle; Russian Academy of Sciences</t>
  </si>
  <si>
    <t>Lücking, R (corresponding author), Free Univ Berlin, Bot Garden &amp; Bot Museum, Konigin Luise Str 6-8, D-14195 Berlin, Germany.</t>
  </si>
  <si>
    <t>r.luecking@bgbm.org</t>
  </si>
  <si>
    <t>Printzen, Christian/ABF-8242-2021; Yakovchenko, Lidia/AAN-7928-2020; Rozzi, Ricardo/G-1047-2012; Yánez, Alba/HTQ-5007-2023; Farkas, Edit Éva/N-9780-2019; Caceres, Marcela E S/H-7039-2012; Parker, Dinah/GZH-0723-2022</t>
  </si>
  <si>
    <t>Yakovchenko, Lidia/0000-0002-4342-7771; Rozzi, Ricardo/0000-0001-5265-8726; Farkas, Edit Éva/0000-0002-5245-1079; Scharnagl, Klara/0000-0002-0002-1683; Stenroos, Soili/0000-0003-0331-792X; Lucking, Robert/0000-0002-3431-4636; da Silva Caceres, Marcela Eugenia/0000-0002-5612-1309; Moncada, Bibiana/0000-0001-9984-2918; Wheeler, Tim/0000-0003-0668-8662; Alvaro Alba, Wilson Ricardo/0000-0003-3089-9515; Lokos, Laszlo/0000-0001-5301-6426; Parker, Dinah/0000-0002-4734-4535; Yanez Ayabaca, Alba Antonieta/0000-0002-1956-7731</t>
  </si>
  <si>
    <t>National Science Foundation (NSF) [DEB 0206125, DEB 0715660, DEB-1354884, DEB-1354631]; Field Museum's Women's Board Field Dreams program; German Federal Ministry of Education and Research (BMBF; Pilotprojekt Kooperation mit dem Botanischen Garten Bogota) [Forderkennzeichen: 01DN13030]; CNPq [401186/2014-8, 314570/2014-4]; NSF [DEB-1354631, DEB-008963, DEB-1240045]; U.S. National Park Service CESU Task [P11AC90513]; University of Montana; Austrian Science Fund [P21052-B16, P25237]; Hungarian Scientific Research Fund [OTKA 81232]; Austrian Science Fund (FWF) [P25237, P21052] Funding Source: Austrian Science Fund (FWF); Direct For Biological Sciences; Division Of Environmental Biology [1354884] Funding Source: National Science Foundation; Division Of Environmental Biology; Direct For Biological Sciences [1354631] Funding Source: National Science Foundation</t>
  </si>
  <si>
    <t>National Science Foundation (NSF)(National Science Foundation (NSF)); Field Museum's Women's Board Field Dreams program; German Federal Ministry of Education and Research (BMBF; Pilotprojekt Kooperation mit dem Botanischen Garten Bogota)(Federal Ministry of Education &amp; Research (BMBF)); CNPq(Conselho Nacional de Desenvolvimento Cientifico e Tecnologico (CNPQ)); NSF(National Science Foundation (NSF)); U.S. National Park Service CESU Task; University of Montana; Austrian Science Fund(Austrian Science Fund (FWF)); Hungarian Scientific Research Fund(Orszagos Tudomanyos Kutatasi Alapprogramok (OTKA)); Austrian Science Fund (FWF)(Austrian Science Fund (FWF)); Direct For Biological Sciences; Division Of Environmental Biology(National Science Foundation (NSF)NSF - Directorate for Biological Sciences (BIO)); Division Of Environmental Biology; Direct For Biological Sciences(National Science Foundation (NSF)NSF - Directorate for Biological Sciences (BIO))</t>
  </si>
  <si>
    <t>Funding for field and laboratory work was provided in part by several grants from the National Science Foundation (NSF) to The Field Museum: DEB 0206125 TICOLICHEN - The Costa Rican Lichen Biodiversity Inventory'' (PI R. Lucking), DEB 0715660 Neotropical Epiphytic Microlichens - An Innovative Inventory of a Highly Diverse yet Little Known Group of Symbiotic Organisms'' (PI R. Lucking), and DEB-1354884 and DEB-1354631 Collaborative Research: Evolution, Diversification, and Conservation of a Mega-diverse Flagship Lichen Genus'' (PI H. Lumbsch, CoPI R. Lucking; PI B. Goffinet). Additional funding was obtained from the Field Museum's Women's Board Field Dreams program 2011, through gifts by the Robert Thomas Bobins Foundation through Mrs. Virginia Bobins (Chicago), Mr. and Mrs. John Borland Jr. (Chicago), Mrs. Peggy Carr (Chicago), and Mrs. Sue Dickes (Winnetka). Kevin Feldheim (Field Museum) and Kim Govers (Freie Universitat Berlin and Botanischer Garten and Botanisches Museum Berlin) are warmly thanked for logistic assistance with laboratory work. The 'Verein der Freunde des Botanischen Gartens und Botanischen Museums Berlin-Dahlem e.V.' [https://www.bgbm.org/de/BGBM/freunde/index.html] supported molecular sequencing work for specimens collected as part of the Pilotprojekt Kooperation mit dem Botanischen Garten Bogota (BMBF, see below). The Universidad Distrital Francisco Jose de Caldas, Bogota, is thanked for the support to the lichen herbarium and the curatorial work of the UDBC collections. James Lendemer (New York Botanical Garden) provided specimens for sequencing and arranged for a major loan of material from North America at NY; he also gave valuable remarks related to nomenclature and typification of some of the taxa. The Jardin Botanico de Bogota Jose Celestino Mutis organized field trips to Sumapaz, Pena Blanca, and Pasquilla (Bogota), by agreement with the Botanical Garden and Botanical Museum Berlin, partially financed through the German Federal Ministry of Education and Research (BMBF; Pilotprojekt Kooperation mit dem Botanischen Garten Bogota; Forderkennzeichen: 01DN13030). The Universidad de los Andes, Bogota, provided logistic support for field work in Chingaza. The Universidad de Caldas, Manizales, is thanked for the support to LFC for field work in Andean-Amazon transition (Putumayo) and the Jacanamejoy family is thanked for help during that trip. Brazilian collections were made as part of the projects Diversidade, Ecogeografia e Evolucao da Liquenobiota Foliicola e Corticicola da Mata Atlantica Brasileira'' (CNPq Processo 401186/2014-8; PI M. Caceres) and Pesquisador Visitante Especial'' (CNPq 314570/2014-4; PI M. Caceres, CoPI R. Lucking). Ecuadorian samples by N. Noske were originally collected as part of the project Effects of anthropogenic disturbance on the diversity of cryptogamic epiphytes (lichens, bryophytes) in mountain forests of southern Ecuador'' (A 5A; PIs R. Gradstein and H. Sipman) of the DFG Research Group 402 Tropical Mountain Rainforest''. Fieldwork in Chile by BG was made possible through NSF grants DEB-008963, DEB-1240045 and DEB-1354631, and facilitated by the CONAF and colleagues at the OMORA foundation. BG is also grateful to the Chilean National Forest Corporation (CONAF) for permission to collect specimens in the Valdivian National Parks under permit 06/2014. Funding for TS came from the U.S. National Park Service CESU Task #P11AC90513 with the University of Montana, with special thanks to Lewis Sharman, and sampling was conducted under permit #GLBA-2012-SCI-0012.; r Additional support for TS came from the Austrian Science Fund grants P21052-B16 for 2009 field work in the Russian Far East and P25237 for recent studies. The study of type specimens at BP was facilitated by the Hungarian Natural History Museum, Budapest. HPTLC investigations of P. epiflavoides and chemically related species (specimens from BP and VBI) were sponsored by the Hungarian Scientific Research Fund (OTKA 81232).</t>
  </si>
  <si>
    <t>AMER BRYOLOGICAL LICHENOLOGICAL SOC INC</t>
  </si>
  <si>
    <t>OMAHA</t>
  </si>
  <si>
    <t>C/O DR ROBERT S EGAN, SEC-TRES, ABLS, UNIV NEBRASKA OMAHA, DEPT BIOLOGY, OMAHA, NE 68182-0040 USA</t>
  </si>
  <si>
    <t>0007-2745</t>
  </si>
  <si>
    <t>1938-4378</t>
  </si>
  <si>
    <t>Bryologist</t>
  </si>
  <si>
    <t>WIN</t>
  </si>
  <si>
    <t>10.1639/0007-2745-120.4.14</t>
  </si>
  <si>
    <t>FP3DF</t>
  </si>
  <si>
    <t>WOS:000417498200007</t>
  </si>
  <si>
    <t>Hahn, C; Hans, M; Hein, C; Mancinelli, RL; Mücklich, F; Wirth, R; Rettberg, P; Hellweg, CE; Moeller, R</t>
  </si>
  <si>
    <t>Hahn, C.; Hans, M.; Hein, C.; Mancinelli, R. L.; Muecklich, F.; Wirth, R.; Rettberg, P.; Hellweg, C. E.; Moeller, R.</t>
  </si>
  <si>
    <t>Pure and Oxidized Copper Materials as Potential Antimicrobial Surfaces for Spaceflight Activities</t>
  </si>
  <si>
    <t>ASTROBIOLOGY</t>
  </si>
  <si>
    <t>Contact killing; E. coli; S. cohnii; Antimicrobial copper surfaces; Copper oxide layers; Human health; Planetary protection</t>
  </si>
  <si>
    <t>INTENSIVE-CARE-UNIT; ELECTRON-MICROSCOPY; ESCHERICHIA-COLI; BACTERIA; TOXICITY; CONTACT; IRON; DNA; MICROGRAVITY; REDUCTION</t>
  </si>
  <si>
    <t>Microbial biofilms can lead to persistent infections and degrade a variety of materials, and they are notorious for their persistence and resistance to eradication. During long-duration space missions, microbial biofilms present a danger to crew health and spacecraft integrity. The use of antimicrobial surfaces provides an alternative strategy for inhibiting microbial growth and biofilm formation to conventional cleaning procedures and the use of disinfectants. Antimicrobial surfaces contain organic or inorganic compounds, such as antimicrobial peptides or copper and silver, that inhibit microbial growth. The efficacy of wetted oxidized copper layers and pure copper surfaces as antimicrobial agents was tested by applying cultures of Escherichia coli and Staphylococcus cohnii to these metallic surfaces. Stainless steel surfaces were used as non-inhibitory control surfaces. The production of reactive oxygen species and membrane damage increased rapidly within 1h of exposure on pure copper surfaces, but the effect on cell survival was negligible even after 2h of exposure. However, longer exposure times of up to 4h led to a rapid decrease in cell survival, whereby the survival of cells was additionally dependent on the exposed cell density. Finally, the release of metal ions was determined to identify a possible correlation between copper ions in suspension and cell survival. These measurements indicated a steady increase of free copper ions, which were released indirectly by cells presumably through excreted complexing agents. These data indicate that the application of antimicrobial surfaces in spaceflight facilities could improve crew health and mitigate material damage caused by microbial contamination and biofilm formation. Furthermore, the results of this study indicate that cuprous oxide layers were superior to pure copper surfaces related to the antimicrobial effect and that cell density is a significant factor that influences the time dependence of antimicrobial activity.</t>
  </si>
  <si>
    <t>[Hahn, C.; Rettberg, P.; Hellweg, C. E.; Moeller, R.] German Aerosp Ctr DLR, Inst Aerosp Med, Radiat Biol Dept, Cologne, Germany; [Hans, M.; Muecklich, F.] Saarland Univ, Funct Mat, Saarbrucken, Germany; [Hein, C.] Saarland Univ, Inorgan Solid State Chem, Saarbrucken, Germany; [Mancinelli, R. L.] NASA, Ames Res Ctr, Bay Area Environm Res Inst, Moffett Field, CA 94035 USA; [Wirth, R.] Univ Regensburg, Microbiol, Regensburg, Germany</t>
  </si>
  <si>
    <t>Helmholtz Association; German Aerospace Centre (DLR); Saarland University; Saarland University; National Aeronautics &amp; Space Administration (NASA); NASA Ames Research Center; University of Regensburg</t>
  </si>
  <si>
    <t>Hahn, C (corresponding author), German Aerosp Ctr DLR, Inst Aerosp Med, Radiat Biol Dept, Astrobiol Res Grp, D-51147 Cologne, Germany.;Moeller, R (corresponding author), German Aerosp Ctr DLR, Inst Aerosp Med, Radiat Biol Dept, Space Microbiol Res Grp, D-51147 Cologne, Germany.</t>
  </si>
  <si>
    <t>claudia.hahn@dlr.de; ralf.moeller@dlr.de</t>
  </si>
  <si>
    <t>Rettberg, Petra/AAI-4493-2021; Mancinelli, Rocco/L-8971-2016; Hellweg, Christine/J-5656-2019</t>
  </si>
  <si>
    <t>Rettberg, Petra/0000-0003-4439-2395; Hellweg, Christine/0000-0002-2223-3580</t>
  </si>
  <si>
    <t>Helmholtz Space Life Sciences Research School (SpaceLife); German Aerospace Center of the Helmholtz Association [VO-KH-300]; DLR [Teilprogramm 475]; ESA [ESA-HSO-ESR-ILSRA-2014-054, ESA-AO-11-Concordia-022]</t>
  </si>
  <si>
    <t>Helmholtz Space Life Sciences Research School (SpaceLife); German Aerospace Center of the Helmholtz Association; DLR(Helmholtz AssociationGerman Aerospace Centre (DLR)); ESA(European Space Agency)</t>
  </si>
  <si>
    <t>This work was supported by the Helmholtz Space Life Sciences Research School (SpaceLife) and the German Aerospace Center of the Helmholtz Association (PhD fellowship oc Claudia Hahn; VO-KH-300).; C.H., P.R., C.E.H., and R.M. were supported by DLR grant DLR-FuE-Projekt ISS LIFE, Programm RF-FuW, Teilprogramm 475.; R.M.'s contribution is part of the ESA projects: Testing antimicrobial metal surfaces under spaceflight conditions-an effective strategy to prevent microbial biofilm formation [No. ESA-HSO-ESR-ILSRA-2014-054; BIOFILMS (Biofilm Inhibition On Flight equipment and on board the ISS using microbiologically Lethal Metal Surfaces)] and Antimicrobial materials, surfaces and textiles on-board the Concordia Antarctic Research Station as a test-bed approach for the reduction of the microbial contamination on future human space missions (ANTI-BACS) [No. ESA-AO-11-Concordia-022].</t>
  </si>
  <si>
    <t>MARY ANN LIEBERT, INC</t>
  </si>
  <si>
    <t>NEW ROCHELLE</t>
  </si>
  <si>
    <t>140 HUGUENOT STREET, 3RD FL, NEW ROCHELLE, NY 10801 USA</t>
  </si>
  <si>
    <t>1531-1074</t>
  </si>
  <si>
    <t>1557-8070</t>
  </si>
  <si>
    <t>Astrobiology</t>
  </si>
  <si>
    <t>10.1089/ast.2016.1620</t>
  </si>
  <si>
    <t>Astronomy &amp; Astrophysics; Biology; Geosciences, Multidisciplinary</t>
  </si>
  <si>
    <t>Astronomy &amp; Astrophysics; Life Sciences &amp; Biomedicine - Other Topics; Geology</t>
  </si>
  <si>
    <t>FP5DP</t>
  </si>
  <si>
    <t>WOS:000417640200001</t>
  </si>
  <si>
    <t>Aponte, JC; Abreu, NM; Glavin, DP; Dworkin, JP; Elsila, JE</t>
  </si>
  <si>
    <t>Aponte, Jose C.; Abreu, Neyda M.; Glavin, Daniel P.; Dworkin, Jason P.; Elsila, Jamie E.</t>
  </si>
  <si>
    <t>Distribution of aliphatic amines in CO, CV, and CK carbonaceous chondrites and relation to mineralogy and processing history</t>
  </si>
  <si>
    <t>METEORITICS &amp; PLANETARY SCIENCE</t>
  </si>
  <si>
    <t>BODY AQUEOUS ALTERATION; FINE-GRAINED RIMS; PARENT-BODY; ORGANIC-MATTER; METAMORPHIC HISTORY; TYPE-3 CHONDRITES; ISOTOPIC COMPOSITIONS; RAMAN-SPECTROSCOPY; ALLENDE METEORITE; TEM OBSERVATIONS</t>
  </si>
  <si>
    <t>The analysis of water-soluble organic compounds in meteorites provides valuable insights into the prebiotic synthesis of organic matter and the processes that occurred during the formation of the solar system. We investigated the concentration of aliphatic monoamines present in hot acid water extracts of the unaltered Antarctic carbonaceous chondrites, Dominion Range (DOM) 08006 (CO3) and Miller Range (MIL) 05013 (CO3), and the thermally altered meteorites, Allende (CV3), LAP 02206 (CV3), GRA 06101 (CV3), Allan Hills (ALH) 85002 (CK4), and EET 92002 (CK5). We have also reviewed and assessed the petrologic characteristics of the meteorites studied here to evaluate the effects of asteroidal processing on the abundance and molecular distributions of monoamines. The CO3, CV3, CK4, and CK5 meteorites studied here contain total concentrations of amines ranging from 1.2 to 4.0nmolg(-1) of meteorite; these amounts are 1-3 orders of magnitude below those observed in carbonaceous chondrites from the CI, CM, and CR groups. The low-amine abundances for CV and CK chondrites may be related to their extensive degree of thermal metamorphism and/or to their low original amine content. Although the CO3 meteorites, DOM 08006 and MIL 05013, do not show signs of thermal and aqueous alteration, their monoamine contents are comparable to those observed in moderately/extensively thermally altered CV3, CK4, and CK5 carbonaceous chondrites. The low content of monoamines in pristine CO carbonaceous chondrites suggests that the initial amounts, and not asteroidal processes, play a dominant role in the content of monoamines in carbonaceous chondrites. The primary monoamines, methylamine, ethylamine, and n-propylamine constitute the most abundant amines in the CO3, CV3, CK4, and CK5 meteorites studied here. Contrary to the predominance of n--amino acid isomers in CO3 and thermally altered meteorites, there appears to be no preference for the larger n-amines.</t>
  </si>
  <si>
    <t>[Aponte, Jose C.; Glavin, Daniel P.; Dworkin, Jason P.; Elsila, Jamie E.] NASA, Solar Syst Explorat Div, Goddard Space Flight Ctr, Code 691, Greenbelt, MD 20771 USA; [Aponte, Jose C.] Catholic Univ Amer, Dept Chem, Washington, DC 20064 USA; [Abreu, Neyda M.] Penn State Univ, Earth Sci Program, Du Bois Campus, Du Bois, PA 15801 USA</t>
  </si>
  <si>
    <t>National Aeronautics &amp; Space Administration (NASA); NASA Goddard Space Flight Center; Catholic University of America; Pennsylvania Commonwealth System of Higher Education (PCSHE); Pennsylvania State University</t>
  </si>
  <si>
    <t>Aponte, JC (corresponding author), NASA, Solar Syst Explorat Div, Goddard Space Flight Ctr, Code 691, Greenbelt, MD 20771 USA.;Aponte, JC (corresponding author), Catholic Univ Amer, Dept Chem, Washington, DC 20064 USA.</t>
  </si>
  <si>
    <t>jose.c.aponte@nasa.gov</t>
  </si>
  <si>
    <t>Elsila, Jamie/AAM-2654-2020; Dworkin, Jason P./C-9417-2012; Glavin, Daniel P/D-6194-2012; Aponte, Jose C./B-9091-2013</t>
  </si>
  <si>
    <t>Dworkin, Jason P./0000-0002-3961-8997; Glavin, Daniel P/0000-0001-7779-7765; Elsila, Jamie/0000-0002-0008-2590; Aponte, Jose C./0000-0002-0131-1981</t>
  </si>
  <si>
    <t>NSF; NASA; NASA Astrobiology Institute; Goddard Center for Astrobiology; Simons Foundation (SCOL award) [302497]</t>
  </si>
  <si>
    <t>NSF(National Science Foundation (NSF)); NASA(National Aeronautics &amp; Space Administration (NASA)); NASA Astrobiology Institute; Goddard Center for Astrobiology; Simons Foundation (SCOL award)</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</si>
  <si>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authors thank T. McCoy, J. Hoskin, and the Smithsonian National Museum of Natural History-Division of Meteorites for providing the meteorite sample used in this study. Thanks for technical assistance to Dr. K. Crispin at Penn State, and Queenie H. S. Chan and an anonymous reviewer for insightful criticism and suggestions to improve the manuscript quality. This research was supported by the NASA Astrobiology Institute and the Goddard Center for Astrobiology and a grant from the Simons Foundation (SCOL award 302497 to J.P.D.).</t>
  </si>
  <si>
    <t>1086-9379</t>
  </si>
  <si>
    <t>1945-5100</t>
  </si>
  <si>
    <t>METEORIT PLANET SCI</t>
  </si>
  <si>
    <t>Meteorit. Planet. Sci.</t>
  </si>
  <si>
    <t>10.1111/maps.12959</t>
  </si>
  <si>
    <t>FO5YF</t>
  </si>
  <si>
    <t>WOS:000416937300009</t>
  </si>
  <si>
    <t>Jacquet, E; Marrocchi, Y</t>
  </si>
  <si>
    <t>Jacquet, Emmanuel; Marrocchi, Yves</t>
  </si>
  <si>
    <t>Chondrule heritage and thermal histories from trace element and oxygen isotope analyses of chondrules and amoeboid olivine aggregates</t>
  </si>
  <si>
    <t>PORPHYRITIC PYROXENE CHONDRULES; ALUMINUM-RICH INCLUSIONS; CARBONACEOUS CHONDRITES; REFRACTORY INCLUSIONS; II CHONDRULES; MAGNESIAN CHONDRULES; RELICT OLIVINE; COOLING RATES; GENETIC LINK; FEO-POOR</t>
  </si>
  <si>
    <t>We report combined oxygen isotope and mineral-scale trace element analyses of amoeboid olivine aggregates (AOA) and chondrules in ungrouped carbonaceous chondrite, Northwest Africa 5958. The trace element geochemistry of olivine in AOA, for the first time measured by LA-ICP-MS, is consistent with a condensation origin, although the shallow slope of its rare earth element (REE) pattern is yet to be physically explained. Ferromagnesian silicates in type I chondrules resemble those in other carbonaceous chondrites both geochemically and isotopically, and we find a correlation between O-16 enrichment and many incompatible elements in olivine. The variation in incompatible element concentrations may relate to varying amounts of olivine crystallization during a subisothermal stage of chondrule-forming events, the duration of which may be anticorrelated with the local solid/gas ratio if this was the determinant of oxygen isotopic ratios as proposed recently. While aqueous alteration has depleted many chondrule mesostases in REE, some chondrules show recognizable subdued group II-like patterns supporting the idea that the immediate precursors of chondrules were nebular condensates.</t>
  </si>
  <si>
    <t>[Jacquet, Emmanuel] CNRS, Inst Mineral Phys Mat &amp; Cosmochim, 57 Rue Cuvier, F-75005 Paris, France; [Jacquet, Emmanuel] Museum Natl Hist Nat, UMR 7590, 57 Rue Cuvier, F-75005 Paris, France; [Marrocchi, Yves] Univ Lorraine, CNRS, UMR 7358, Ctr Rech Petrograph &amp; Geochim, F-54501 Vandoeuvre Les Nancy, France</t>
  </si>
  <si>
    <t>Universite Paris Cite; Sorbonne Universite; Centre National de la Recherche Scientifique (CNRS); Museum National d'Histoire Naturelle (MNHN); Centre National de la Recherche Scientifique (CNRS); CNRS - Institute of Physics (INP); Sorbonne Universite; Centre National de la Recherche Scientifique (CNRS); CNRS - National Institute for Earth Sciences &amp; Astronomy (INSU); Universite de Lorraine</t>
  </si>
  <si>
    <t>Jacquet, E (corresponding author), CNRS, Inst Mineral Phys Mat &amp; Cosmochim, 57 Rue Cuvier, F-75005 Paris, France.;Jacquet, E (corresponding author), Museum Natl Hist Nat, UMR 7590, 57 Rue Cuvier, F-75005 Paris, France.</t>
  </si>
  <si>
    <t>emmanuel.jacquet@mnhn.fr</t>
  </si>
  <si>
    <t>Programme National de Planetologie; NSF; NASA; [ANR-15-CE31-0004 CRADLE]</t>
  </si>
  <si>
    <t>Programme National de Planetologie; NSF(National Science Foundation (NSF)); NASA(National Aeronautics &amp; Space Administration (NASA));</t>
  </si>
  <si>
    <t>We are grateful to the Programme National de Planetologie for financial support, to the Museum national d'Histoire naturelle de Paris for the NWA 5958 samples, and to the Meteorite Working Group at the Johnson Space Center for the loan of the MIL 07342 sample.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Dr Metzler, the A.E. Dr Ruzicka, and Dr Libourel for their reviews. The authors acknowledge support from the ANR-15-CE31-0004 CRADLE.</t>
  </si>
  <si>
    <t>10.1111/maps.12985</t>
  </si>
  <si>
    <t>WOS:000416937300011</t>
  </si>
  <si>
    <t>Wang, F; Wang, XH; Wang, K; Han, LH; Wang, JF; Xue, CH</t>
  </si>
  <si>
    <t>Wang, Fei; Wang, Xiaohong; Wang, Kai; Han, Lihua; Wang, Jingfeng; Xue, Changhu</t>
  </si>
  <si>
    <t>Phosphorylated peptides from Antarctic Krill (Euphausia superba) improve fracture healing in mice with ovariectomy induced osteoporosis</t>
  </si>
  <si>
    <t>JOURNAL OF FOOD BIOCHEMISTRY</t>
  </si>
  <si>
    <t>Antarctic Krill; endochondral ossification; fracture healing; ovariectomy; phosphorylated peptides</t>
  </si>
  <si>
    <t>BONE-MINERAL DENSITY; ENDOCHONDRAL OSSIFICATION; IN-VITRO; RATS; ESTROGEN; REPAIR; MODEL; DIFFERENTIATION; IDENTIFICATION; PROLIFERATION</t>
  </si>
  <si>
    <t>Open tibial fracture surgery was performed on ovariectomized mice to investigate the effect of phosphorylated peptides from Antarctic Krill (PP-AKP) on osteoporotic fracture healing. Dynamic histological analysis on days 11, 24, and 35 postsurgery showed that PP-AKP promoted hypertrophy and mineralization of cartilage callus, formation of new bone tissue, and remodeling of boney callus. Biomechanical property tests on day 35 postsurgery demonstrated that PP-AKP significantly improved callus stiffness. Real-time PCR analysis showed that on day 11 postsurgery, PP-AKP significantly decreased mRNA expression of aggrecan and collagen type X (Col10a), and increased vascular endothelial growth factor level, suggesting that it promoted chondrocytes hypertrophy and vascular invasion. On day 24 postsurgery, PP-AKP significantly decreased matrix metalloproteinase 13 expression, and increased expression of collagen type I and bone gla protein, suggesting that it promoted cartilage matrix degradation and new bone formation. Practical applicationsAs a novel food material, Antarctic Krill possesses an enormous biomass (0.65-1 billion tons) and utilization potential. It has the largest amount of protein among reported organisms worldwide with better biological value than other animal proteins. This study demonstrated that phosphorylated peptides from Antarctic Krill could promote osteoporotic fracture healing on ovariectomized mice by facilitating endochondral ossification, which may provide theoretical basis for use of Antarctic Krill protein as bone protective functional food in future.</t>
  </si>
  <si>
    <t>[Wang, Fei; Wang, Xiaohong; Wang, Kai; Han, Lihua; Wang, Jingfeng; Xue, Changhu] Ocean Univ China, Coll Food Sci &amp; Engn, Qingdao 266003, Shandong, Peoples R China</t>
  </si>
  <si>
    <t>Ocean University of China</t>
  </si>
  <si>
    <t>Wang, JF (corresponding author), Ocean Univ China, Coll Food Sci &amp; Engn, Qingdao 266003, Shandong, Peoples R China.</t>
  </si>
  <si>
    <t>jfwang@ouc.edu.cn</t>
  </si>
  <si>
    <t>Wang, Xiaohong/B-5648-2012; wang, dan/JEF-0836-2023; Wang, Kai/HTS-5222-2023; wang, jing/GVT-8700-2022; wang, jing/GRS-7509-2022</t>
  </si>
  <si>
    <t>Wang, Kai/0000-0001-5447-8710;</t>
  </si>
  <si>
    <t>National Natural Science Foundation of China [31371876, 31571771]; Primary Research &amp; Development Plan of Shandong Province [2016YYSP017]</t>
  </si>
  <si>
    <t>National Natural Science Foundation of China(National Natural Science Foundation of China (NSFC)); Primary Research &amp; Development Plan of Shandong Province</t>
  </si>
  <si>
    <t>National Natural Science Foundation of China, Grant/Award Numbers: 31371876 and 31571771; Primary Research &amp; Development Plan of Shandong Province, Grant/Award Number: 2016YYSP017</t>
  </si>
  <si>
    <t>0145-8884</t>
  </si>
  <si>
    <t>1745-4514</t>
  </si>
  <si>
    <t>J FOOD BIOCHEM</t>
  </si>
  <si>
    <t>J. Food Biochem.</t>
  </si>
  <si>
    <t>e12408</t>
  </si>
  <si>
    <t>10.1111/jfbc.12408</t>
  </si>
  <si>
    <t>Biochemistry &amp; Molecular Biology; Food Science &amp; Technology</t>
  </si>
  <si>
    <t>FO8FS</t>
  </si>
  <si>
    <t>WOS:000417120500007</t>
  </si>
  <si>
    <t>Malenovsky, Z; Lucieer, A; King, DH; Turnbull, JD; Robinson, SA</t>
  </si>
  <si>
    <t>Malenovsky, Zbynek; Lucieer, Arko; King, Diana H.; Turnbull, Johanna D.; Robinson, Sharon A.</t>
  </si>
  <si>
    <t>Unmanned aircraft system advances health mapping of fragile polar vegetation</t>
  </si>
  <si>
    <t>METHODS IN ECOLOGY AND EVOLUTION</t>
  </si>
  <si>
    <t>Antarctic moss stress; chlorophyll content; effective leaf density; multispectral and hyperspectral remote sensing; quantitative imaging spectroscopy; relative plant vigour; satellite and airborne mapping; unmanned aircraft system; unmanned aerial vehicle</t>
  </si>
  <si>
    <t>ANTARCTIC CLIMATE-CHANGE; IMAGING SPECTROSCOPY; PIGMENT COMPOSITION; CHLOROPHYLL CONTENT; RADIATIVE-TRANSFER; MOSS BEDS; INDEXES; FOREST; SOIL; UAV</t>
  </si>
  <si>
    <t>1. Plants like mosses can be sensitive stress markers of subtle shifts in Arctic and Antarctic environmental conditions, including climate change. Traditional ground-based monitoring of fragile polar vegetation is, however, invasive, labour intensive and physically demanding. High-resolution multispectral satellite observations are an alternative, but even their recent highest achievable spatial resolution is still inadequate, resulting in a significant underestimation of plant health due to spectral mixing and associated reflectance impurities. 2. To resolve these obstacles, we have developed a new method that uses low-altitude unmanned aircraft system (UAS) hyperspectral images of sub-decimeter spatial resolution. Machine-learning support vector regressions (SVR) were employed to infer Antarctic moss vigour from quantitative remote sensing maps of plant canopy chlorophyll content and leaf density. The same maps were derived for comparison purposes from the WorldView-2 high spatial resolution (2.2m) multispectral satellite data. 3. We found SVR algorithms to be highly efficient in estimating plant health indicators with acceptable root mean square errors (RMSE). The systematic RMSEs for chlorophyll content and leaf density were 3.5-6.0 and 1.3-2.0 times smaller, respectively, than the unsystematic errors. However, application of correctly trained SVR machines on space-borne multispectral images considerably underestimated moss chlorophyll content, while stress indicators retrieved from UAS data were found to be comparable with independent field measurements, providing statistically significant regression coefficients of determination (median r(2)=.50, p(t test)=.0072). 4. This study demonstrates the superior performance of a cost-efficient UAS mapping platform, which can be deployed even under the continuous cloud cover that often obscures optical high-altitude airborne and satellite observations. Antarctic moss vigour maps of appropriate resolution could provide timely and spatially explicit warnings of environmental stress events, including those triggered by climate change. Since our polar vegetation health assessment method is based on physical principles of quantitative spectroscopy, it could be adapted to other short-stature and fragmented plant communities (e.g. tundra grasslands), including alpine and desert regions. It therefore shows potential to become an operational component of any ecological monitoring sensor network.</t>
  </si>
  <si>
    <t>[Malenovsky, Zbynek; Lucieer, Arko] Univ Tasmania, Sch Land &amp; Food, Surveying &amp; Spatial Sci Grp, Hobart, Tas, Australia; [Malenovsky, Zbynek; King, Diana H.; Turnbull, Johanna D.; Robinson, Sharon A.] Univ Wollongong, Ctr Sustainable Ecosyst Solut, Sch Biol Sci, Wollongong, NSW, Australia; [Malenovsky, Zbynek] NASA, Goddard Space Flight Ctr, Biospher Sci Lab, USRA GESTAR, Greenbelt, MD 20771 USA</t>
  </si>
  <si>
    <t>University of Tasmania; University of Wollongong; National Aeronautics &amp; Space Administration (NASA); NASA Goddard Space Flight Center</t>
  </si>
  <si>
    <t>Malenovsky, Z (corresponding author), Univ Tasmania, Sch Land &amp; Food, Surveying &amp; Spatial Sci Grp, Hobart, Tas, Australia.;Malenovsky, Z (corresponding author), Univ Wollongong, Ctr Sustainable Ecosyst Solut, Sch Biol Sci, Wollongong, NSW, Australia.;Malenovsky, Z (corresponding author), NASA, Goddard Space Flight Ctr, Biospher Sci Lab, USRA GESTAR, Greenbelt, MD 20771 USA.</t>
  </si>
  <si>
    <t>zbynek.malenovsky@gmail.com</t>
  </si>
  <si>
    <t>Malenovský, Zbyněk/A-7819-2011; Robinson, Sharon/B-2683-2008; Lucieer, Arko/F-1247-2013; King, Diana/K-1061-2019</t>
  </si>
  <si>
    <t>Malenovský, Zbyněk/0000-0002-1271-8103; Robinson, Sharon/0000-0002-7130-9617; Lucieer, Arko/0000-0002-9468-4516; King, Diana/0000-0001-6313-4450; Turnbull, Johanna/0000-0002-4214-1675</t>
  </si>
  <si>
    <t>Australian Antarctic Division [4046, 4361]; Australian Research Council [DP110101714]</t>
  </si>
  <si>
    <t>Australian Antarctic Division; Australian Research Council(Australian Research Council)</t>
  </si>
  <si>
    <t>Australian Antarctic Division, Grant/Award Number: 4046 and 4361; Australian Research Council, Grant/Award Number: DP110101714</t>
  </si>
  <si>
    <t>2041-210X</t>
  </si>
  <si>
    <t>2041-2096</t>
  </si>
  <si>
    <t>METHODS ECOL EVOL</t>
  </si>
  <si>
    <t>Methods Ecol. Evol.</t>
  </si>
  <si>
    <t>10.1111/2041-210X.12833</t>
  </si>
  <si>
    <t>FO9TL</t>
  </si>
  <si>
    <t>WOS:000417239200021</t>
  </si>
  <si>
    <t>Yan, JG; Yang, X; Hao, WF; Ye, M; Li, F; Qu, CK; Deng, QY; Jin, WT; Barriot, JP</t>
  </si>
  <si>
    <t>Yan, Jianguo; Yang, Xuan; Hao, Weifeng; Ye, Mao; Li, Fei; Qu, Chunkai; Deng, Qingyun; Jin, Weitong; Barriot, Jean-Pierre</t>
  </si>
  <si>
    <t>A new tracking mode for improved Martian gravity field measurement</t>
  </si>
  <si>
    <t>ASTROPHYSICS AND SPACE SCIENCE</t>
  </si>
  <si>
    <t>Martian gravity field; SBI tracking mode; Chinese Mars exploration mission; Model accuracy</t>
  </si>
  <si>
    <t>MARS; CONSTRAINTS; SIMULATION; EVOLUTION; PLANETS</t>
  </si>
  <si>
    <t>The Martian gravity field has been improved significantly in terms of resolution, with the spatial resolution rising to 100 km and accuracy increasing up to the 110 degree and order, assisted by data collected in Mars exploration missions like MGS, MRO, and Odyssey. However, as the tracking data used for the Martian gravity field solution are from polar orbit at a low height (similar to 400 km), improvements in the low degree coefficients are possible with high orbiters and various inclinations. In our research, we simulate a future Chinese Mars mission, making use of its orbit, to investigate potential contributions to the Martian gravity field solution. As the Chinese Mars mission will include a lander, we investigate the same beam interferometry tracking mode for a more precise and accurate Martian gravity field solution. Our results show that this tracking mode will substantially improve the gravity field model accuracy in comparison with those models using only polar orbit data. Model accuracy is assessed by power spectrum analysis and precise orbit determination. All the simulation work are accomplished with our independent developed software. Our research will be a reference for the first Chinese Mars exploration mission.</t>
  </si>
  <si>
    <t>[Yan, Jianguo; Yang, Xuan; Ye, Mao; Li, Fei; Deng, Qingyun; Jin, Weitong; Barriot, Jean-Pierre] Wuhan Univ, State Key Lab Engn Surveying Mapping &amp; Remote Sen, 129 Luoyu Rd, Wuhan 430079, Hubei, Peoples R China; [Hao, Weifeng; Qu, Chunkai] Wuhan Univ, Chinese Antarctic Ctr Surveying &amp; Mapping, 129 Luoyu Rd, Wuhan 430079, Hubei, Peoples R China; [Barriot, Jean-Pierre] Observ Geodes Tahiti, BP 6570, F-98702 Tahiti, French Polynesi, France</t>
  </si>
  <si>
    <t>Hao, WF (corresponding author), Wuhan Univ, Chinese Antarctic Ctr Surveying &amp; Mapping, 129 Luoyu Rd, Wuhan 430079, Hubei, Peoples R China.</t>
  </si>
  <si>
    <t>haowf@whu.edu.cn</t>
  </si>
  <si>
    <t>Barriot, Jean-Pierre/AAD-6709-2021</t>
  </si>
  <si>
    <t>Barriot, Jean-Pierre/0000-0002-2112-9685</t>
  </si>
  <si>
    <t>National Scientific Foundation of China [41374024, 41404021]; Innovation Group of Natural Fund of Hubei Province [2015CFA011]; open funding of Astro Dynamic Laboratory [2016ADL-DW0103]; open research fund of Key Laboratory of Space Object Measurement; Key Laboratory of Planetary Science, Shanghai Astronomical Observatory</t>
  </si>
  <si>
    <t>National Scientific Foundation of China(National Natural Science Foundation of China (NSFC)); Innovation Group of Natural Fund of Hubei Province; open funding of Astro Dynamic Laboratory; open research fund of Key Laboratory of Space Object Measurement; Key Laboratory of Planetary Science, Shanghai Astronomical Observatory</t>
  </si>
  <si>
    <t>We thank Stephen McClure for fruitful and informative discussions. We are grateful to NASA for providing models and data to make this research possible. The Martian gravity field model GMM2B is from NASA PDS website (http://pds-geosciences.wustl.edu/mgs/mgs-m-rss-5-sdp-v1/mors_1008/sha/). This research is supported by National Scientific Foundation of China (Grant No. 41374024, 41404021) and Innovation Group of Natural Fund of Hubei Province (Grant No. 2015CFA011). This work is also supported by open funding of Astro Dynamic Laboratory (No. 2016ADL-DW0103), the open research fund of Key Laboratory of Space Object Measurement, and Key Laboratory of Planetary Science, Shanghai Astronomical Observatory.</t>
  </si>
  <si>
    <t>0004-640X</t>
  </si>
  <si>
    <t>1572-946X</t>
  </si>
  <si>
    <t>ASTROPHYS SPACE SCI</t>
  </si>
  <si>
    <t>Astrophys. Space Sci.</t>
  </si>
  <si>
    <t>10.1007/s10509-017-3214-9</t>
  </si>
  <si>
    <t>FO6IQ</t>
  </si>
  <si>
    <t>WOS:000416967100019</t>
  </si>
  <si>
    <t>Crawford, I; Gallagher, MW; Bower, KN; Choularton, TW; Flynn, MJ; Ruske, S; Listowski, C; Brough, N; Lachlan-Cope, T; Fleming, ZL; Foot, VE; Stanley, WR</t>
  </si>
  <si>
    <t>Crawford, Ian; Gallagher, Martin W.; Bower, Keith N.; Choularton, Thomas W.; Flynn, Michael J.; Ruske, Simon; Listowski, Constantino; Brough, Neil; Lachlan-Cope, Thomas; Fleming, Zoe L.; Foot, Virginia E.; Stanley, Warren R.</t>
  </si>
  <si>
    <t>Real-time detection of airborne fluorescent bioparticles in Antarctica</t>
  </si>
  <si>
    <t>PRIMARY BIOLOGICAL AEROSOL; CLUSTER-ANALYSIS; BOUNDARY-LAYER; BLACK CARBON; WEDDELL SEA; ICE NUCLEI; BIOAEROSOL; PARTICLE; MARINE; ATMOSPHERE</t>
  </si>
  <si>
    <t>We demonstrate, for the first time, continuous real-time observations of airborne bio-fluorescent aerosols recorded at the British Antarctic Survey's Halley VI Research Station, located on the Brunt Ice Shelf close to the Weddell Sea coast (lat 75 degrees 34'59 '' S, long 26 degrees 10'0 '' W) during Antarctic summer, 2015. As part of the NERC MAC (Microphysics of Antarctic Clouds) aircraft aerosol cloud interaction project, observations with a real-time ultraviolet-light-induced fluorescence (UV-LIF) spectrometer were conducted to quantify airborne biological containing particle concentrations along with dust particles as a function of wind speed and direction over a 3-week period. Significant, intermittent enhancements of both non- and bio-fluorescent particles were observed to varying degrees in very specific wind directions and during strong wind events. Analysis of the particle UV-induced emission spectra, particle sizes and shapes recorded during these events suggest the majority of particles were likely a subset of dust with weak fluorescence emission responses. A minor fraction, however, were likely primary biological particles that were very strongly fluorescent, with a subset identified as likely being pollen based on comparison with laboratory data obtained using the same instrument. A strong correlation of bio-fluorescent particles with wind speed was observed in some, but not all, periods. Interestingly, the fraction of fluorescent particles to total particle concentration also increased significantly with wind speed during these events. The enhancement in concentrations of these particles could be interpreted as due to resuspension from the local ice surface but more likely due to emissions from distal sources within Antarctica as well as intercontinental transport. Likely distal sources identified by back trajectory analyses and dispersion modelling were the coastal ice margin zones in Halley Bay consisting of bird colonies with likely associated high bacterial activity together with contributions from exposed ice margin bacterial colonies but also long-range transport from the southern coasts of Argentina and Chile. Dispersion modelling also demonstrated emissions from shipping lanes, and therefore marine anthropogenic sources cannot be ruled out. Average total concentrations of total fluorescent aerosols were found to be 1.9 +/- 2.6 L-1 over a 3-week period crossing over from November into December, but peak concentrations during intermittent enhancement events could be up to several tens per litre. While this short pilot study is not intended to be generally representative of Antarctic aerosol, it demonstrates the usefulness of the UV-LIF measurement technique for quantification of airborne bioaerosol concentrations and to understand their dispersion. The potential importance for microbial colonisation of Antarctica is highlighted.</t>
  </si>
  <si>
    <t>[Crawford, Ian; Gallagher, Martin W.; Bower, Keith N.; Choularton, Thomas W.; Flynn, Michael J.; Ruske, Simon] Univ Manchester, SEES, Ctr Atmospher Sci, Manchester, Lancs, England; [Listowski, Constantino; Brough, Neil; Lachlan-Cope, Thomas] NERC, British Antarctic Survey, Madingley Rd, Cambridge, England; [Fleming, Zoe L.] Univ Leicester, Dept Chem, Leicester, Leics, England; [Foot, Virginia E.] Def Sci &amp; Technol Lab, Salisbury, Wilts, England; [Stanley, Warren R.] Univ Hertfordshire, Sci &amp; Technol Res Inst, Hatfield, Herts, England; [Listowski, Constantino] Univ Paris 06, UPMC, UVSQ Univ Paris Saclay, LATMOS IPSL,CNRS, Guyancourt, France</t>
  </si>
  <si>
    <t>University of Manchester; UK Research &amp; Innovation (UKRI); Natural Environment Research Council (NERC); NERC British Antarctic Survey; University of Leicester; Defence Science &amp; Technology Laboratory; University of Hertfordshire; Centre National de la Recherche Scientifique (CNRS); Sorbonne Universite; Universite Paris Saclay</t>
  </si>
  <si>
    <t>Crawford, I (corresponding author), Univ Manchester, SEES, Ctr Atmospher Sci, Manchester, Lancs, England.</t>
  </si>
  <si>
    <t>i.crawford@manchester.ac.uk</t>
  </si>
  <si>
    <t>Fleming, Zoë/AAU-8214-2020; brough, neil/AAG-8550-2019; Listowski, Constantino/X-8595-2019; Gallagher, Martin/ABH-7381-2020; Fleming, Zoe/AHB-1124-2022</t>
  </si>
  <si>
    <t>Fleming, Zoë/0000-0001-5732-1479; brough, neil/0000-0002-2316-5292; Listowski, Constantino/0000-0001-8693-8689; Crawford, Ian/0000-0003-4433-7310; Choularton, Thomas/0000-0002-0409-4329; Bower, Keith/0000-0002-9802-3264; Gallagher, Martin/0000-0002-4968-6088; Stanley, Warren/0000-0002-4078-5864</t>
  </si>
  <si>
    <t>NERC [NE/K0142X/1]; BAS team at Halley VI; NERC DTP studentship; NERC [ncas10008, NE/K01305X/1, ncas10006, NE/H019049/1, ncas10005, bas0100032] Funding Source: UKRI; Natural Environment Research Council [ncas10005, ncas10009, ncas10008, NE/K01305X/1, ncas10006, bas0100032, NE/H019049/1] Funding Source: researchfish</t>
  </si>
  <si>
    <t>NERC(UK Research &amp; Innovation (UKRI)Natural Environment Research Council (NERC)); BAS team at Halley VI; NERC DTP studentship(UK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</si>
  <si>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University of Manchester and British Antarctic Survey teams conducting the Microphysics of Antarctic Clouds project, Tom Lachlan-Cope and Tom Choularton, supported by NERC grant NE/K0142X/1, for kindly including the WIBS measurements as part of their experiment. We would also like to thank the Dstl team for loan of the WIBS instrument and for access to their laboratory databases to support the UV-LIF aerosol interpretation. We thank Paul Kaye for his continued support of the WIBS. We would finally like to thank the BAS team at Halley VI for all their support. The authors gratefully acknowledge use of the NOAA Air Resources Laboratory (ARL) for the provision of the HYSPLIT transport and dispersion model used in this publication. Simon Ruske is in receipt of a NERC DTP studentship.</t>
  </si>
  <si>
    <t>10.5194/acp-17-14291-2017</t>
  </si>
  <si>
    <t>FO4VH</t>
  </si>
  <si>
    <t>WOS:000416844800004</t>
  </si>
  <si>
    <t>Bokhorst, S; Convey, P; Huiskes, A; Aerts, R</t>
  </si>
  <si>
    <t>Bokhorst, S.; Convey, P.; Huiskes, A.; Aerts, R.</t>
  </si>
  <si>
    <t>Dwarf shrub and grass vegetation resistant to long-term experimental warming while microarthropod abundance declines on the Falkland Islands</t>
  </si>
  <si>
    <t>AUSTRAL ECOLOGY</t>
  </si>
  <si>
    <t>Azorella; Empetrum; mites; springtails; warming</t>
  </si>
  <si>
    <t>EXPERIMENTAL TEMPERATURE ELEVATION; INTERNATIONAL TUNDRA EXPERIMENT; SUB-ALPINE PLANTS; CLIMATE-CHANGE; ARTHROPOD COMMUNITIES; ENVIRONMENTAL-CHANGE; FEEDING GUILDS; SOIL ORGANISMS; VASCULAR PLANT; ARCTIC TUNDRA</t>
  </si>
  <si>
    <t>Dwarf shrubs are a dominant plant type across many regions of the Earth and have hence a large impact on carbon and nutrient cycling rates. Climate change impacts on dwarf shrubs have been extensively studied in the Northern Hemisphere, and there appears to be large variability in response between ecosystem types and regions. In the Southern Hemisphere, less data are available despite dwarf shrub vegetation being a dominant feature of southern South America and mountainous regions of the Southern Hemisphere. Here, we present the response of an Empetrum rubrum dwarf shrub and a Poa grass community to 12years of experimental climate manipulation achieved using open top chambers on the Falkland Islands, a cold temperate island group in the South Atlantic. The dwarf shrub and grass vegetation did not change significantly in cover, biomass or species richness over the 12years period in response to climate warming scenarios of up to 1 degrees C reflecting annual warming levels predicted in this region for the coming decades. The soil microarthropod community, however, responded with declines in abundance (37%) under warming conditions in the grass community, but no such changes were observed in the dwarf shrub community. Overall, our data indicate that dwarf shrub communities are resistant to the levels of climate warming predicted over the coming decades in the southern South America region and will, therefore, remain a dominant driver of local ecosystem properties.</t>
  </si>
  <si>
    <t>[Bokhorst, S.; Aerts, R.] Vrije Univ Amsterdam, Fac Earth &amp; Life Sci, Dept Ecol Sci, Boelelaan 1085, NL-1081 HV Amsterdam, Netherlands; [Convey, P.] NERC, British Antarctic Survey, Cambridge, England; [Huiskes, A.] Royal Netherlands Inst Sea Res, Yerseke, Netherlands</t>
  </si>
  <si>
    <t>Vrije Universiteit Amsterdam; UK Research &amp; Innovation (UKRI); Natural Environment Research Council (NERC); NERC British Antarctic Survey; Utrecht University; Royal Netherlands Institute for Sea Research (NIOZ)</t>
  </si>
  <si>
    <t>Bokhorst, S (corresponding author), Vrije Univ Amsterdam, Fac Earth &amp; Life Sci, Dept Ecol Sci, Boelelaan 1085, NL-1081 HV Amsterdam, Netherlands.</t>
  </si>
  <si>
    <t>s.f.bokhorst@vu.nl</t>
  </si>
  <si>
    <t>Convey, Peter/AAV-5728-2020; Bokhorst, Stef/D-1858-2009</t>
  </si>
  <si>
    <t>Convey, Peter/0000-0001-8497-9903; Aerts, Rien/0000-0001-6694-0669; Bokhorst, Stef/0000-0003-0184-1162</t>
  </si>
  <si>
    <t>Netherlands Polar Programme [NPP-NWO 851.20.016]; NERC; Natural Environment Research Council [bas0100036] Funding Source: researchfish; NERC [bas0100036] Funding Source: UKRI</t>
  </si>
  <si>
    <t>Netherlands Polar Programme; NERC(UK Research &amp; Innovation (UKRI)Natural Environment Research Council (NERC)); Natural Environment Research Council(UK Research &amp; Innovation (UKRI)Natural Environment Research Council (NERC)); NERC(UK Research &amp; Innovation (UKRI)Natural Environment Research Council (NERC))</t>
  </si>
  <si>
    <t>We are very grateful for the logistical support given by the Department of Agriculture of the Falkland Islands Government. We thank Mark van de Wouw, Hans Francke and Roger Worland for their help with the set-up and maintenance of the monitoring equipment and OTCs. This study was financially supported by the Netherlands Polar Programme (NPP-NWO 851.20.016). PC is supported by NERC core funding to the BAS 'Biodiversity, Evolution Adaptation' team. This work was improved by the comments of two anonymous reviewers.</t>
  </si>
  <si>
    <t>1442-9985</t>
  </si>
  <si>
    <t>1442-9993</t>
  </si>
  <si>
    <t>AUSTRAL ECOL</t>
  </si>
  <si>
    <t>Austral Ecol.</t>
  </si>
  <si>
    <t>10.1111/aec.12527</t>
  </si>
  <si>
    <t>FO0LI</t>
  </si>
  <si>
    <t>WOS:000416435500011</t>
  </si>
  <si>
    <t>Suh, SS; Kim, SM; Kim, JE; Hong, JM; Lee, SG; Youn, UJ; Han, SJ; Kim, IC; Kim, S</t>
  </si>
  <si>
    <t>Suh, Sung-Suk; Kim, Sun-Mi; Kim, Jung Eun; Hong, Ju-Mi; Lee, Sung Gu; Youn, Ui Joung; Han, Se Jong; Kim, Il-Chan; Kim, Sanghee</t>
  </si>
  <si>
    <t>Anticancer activities of ethanol extract from the Antarctic freshwater microalga, Botryidiopsidaceae sp.</t>
  </si>
  <si>
    <t>BMC COMPLEMENTARY AND ALTERNATIVE MEDICINE</t>
  </si>
  <si>
    <t>Antarctic freshwater microalga; Botryidiopsidaceae sp.; Anticancer activities; Anti-proliferation</t>
  </si>
  <si>
    <t>MARINE NATURAL-PRODUCTS; CANCER; BIOACTIVITIES</t>
  </si>
  <si>
    <t>Background: Cancer is a leading cause of human death around the world and occurs through the highly complex coordination of multiple cellular pathways. Recent studies have revealed that microalgal extracts exhibit considerable pharmaceutical activities, including those against various cancer cells. Thus, microalgae are promising candidates as novel cancer therapeutic drugs. In this study, we evaluated the biological functions of the ethanolic extract of the Antarctic freshwater microalga, Botryidiopsidaceae sp., such as its antioxidant, anti-proliferative, apoptotic and anti-invasive properties. Methods: To estimate antioxidant capacity of ethanol extract of Botryidiopsidaceae sp. (ETBO), free radical 2,2'-azino-bis (3-ethylbenzthiazoline-6-sulphonic acid) (ABTS) and 1,1-diphenyl-2-picrylhydrazyl (DPPH) assays were used. The anti-proliferative activity of ETBO was assessed in several cancer cell lines (A375, Hs578T and HeLa) and non-tumorigenic keratinocyte cells (HaCaT), using MTT assay. In addition, Annexin V binding was performed to detect ETBO-induced apoptotic cells, and the expression levels of apoptosis-regulating proteins, caspase-3, p53, and Bcl-2, were determined by western blot. Boyden chamber assays were used to determine anti-migratory and anti-invasive properties of ETBO. Results: ETBO exhibited antioxidant activity and concentration-dependent anticancer activities, such as anti-proliferation and pro-apoptotic activities against cancer cells. Furthermore, the expression of the apoptosis-inducing proteins, p53 and caspase-3, significantly increased in response to ETBO, whereas the expression of the anti-apoptotic protein, Bcl-2, decreased. These data imply that ETBO induces apoptosis by caspase activation through the modulation of pro-apoptotic and anti-apoptotic gene, p53 and Bcl-2, respectively. In addition, ETBO significantly inhibited migration and invasion of cervical cancer cells in a concentration-dependent manner. Conclusion: In this study, ETBO exhibited considerable anticancer activities, such as inhibition of proliferation, invasion, and migration, as well as induction of apoptosis. These data suggest that ETBO is a promising therapeutic agent in cancer therapy and drug discovery.</t>
  </si>
  <si>
    <t>[Suh, Sung-Suk; Kim, Sun-Mi; Kim, Jung Eun; Hong, Ju-Mi; Lee, Sung Gu; Youn, Ui Joung; Han, Se Jong; Kim, Il-Chan; Kim, Sanghee] Korea Polar Res Inst, Div Polar Life Sci, Incheon 21990, South Korea; [Kim, Il-Chan; Kim, Sanghee] Korea Polar Res Inst, Dept Polar Ocean Environm, Incheon 21990, South Korea; [Lee, Sung Gu; Han, Se Jong; Kim, Il-Chan; Kim, Sanghee] Univ Sci &amp; Technol, Dept Polar Sci, Incheon 21990, South Korea; [Kim, Jung Eun] Sungkyunkwan Univ, Grad Sch, Dept Pharm, Suwon 16419, South Korea</t>
  </si>
  <si>
    <t>Korea Polar Research Institute (KOPRI); Korea Polar Research Institute (KOPRI); Sungkyunkwan University (SKKU)</t>
  </si>
  <si>
    <t>Kim, IC; Kim, S (corresponding author), Korea Polar Res Inst, Div Polar Life Sci, Incheon 21990, South Korea.</t>
  </si>
  <si>
    <t>ickim@kopri.re.kr; sangheekim@kopri.re.kr</t>
  </si>
  <si>
    <t>HAN, Se Jong/0000-0001-9576-2179</t>
  </si>
  <si>
    <t>This research was supported by the research project (PE17180) of the Korea Polar Research Institute, Republic of Korea.</t>
  </si>
  <si>
    <t>1472-6882</t>
  </si>
  <si>
    <t>BMC COMPLEM ALTERN M</t>
  </si>
  <si>
    <t>BMC Complement. Altern. Med.</t>
  </si>
  <si>
    <t>10.1186/s12906-017-1991-x</t>
  </si>
  <si>
    <t>Integrative &amp; Complementary Medicine</t>
  </si>
  <si>
    <t>FO7CT</t>
  </si>
  <si>
    <t>WOS:000417029200001</t>
  </si>
  <si>
    <t>Sun, DW; Cao, C; Li, B; Chen, HJ; Cao, PR; Li, JW; Liu, YF</t>
  </si>
  <si>
    <t>Sun, Dewei; Cao, Chen; Li, Bo; Chen, Hongjian; Cao, Peirang; Li, Jinwei; Liu, Yuanfa</t>
  </si>
  <si>
    <t>Study on combined heat pump drying with freeze-drying of Antarctic krill and its effects on the lipids</t>
  </si>
  <si>
    <t>JOURNAL OF FOOD PROCESS ENGINEERING</t>
  </si>
  <si>
    <t>GLASS-TRANSITION; EUPHAUSIA-SUPERBA; TEMPERATURE; EXTRACTION; STABILITY; OIL; AIR; STORAGE; COLOR; ACID</t>
  </si>
  <si>
    <t>To better preserve quality of Antarctic krill for wide food application, a drying method by the combining both the heat pump drying (HPD) and freeze-drying (FD) was investigated. The effect on its dehydration efficiency, and effects on lipid extraction rate and lipid qualities and cost of the process were compared. The Antarctic krill was first treated by HPD, followed by the FD method. The lipids extracted from the various dehydrated samples were compared. In addition, the time and energy consumption during the process of dehydration and the physical properties such as color and microstructure of the Antarctic krill samples dehydrated by various drying methods were also compared. The results indicated that Antarctic krill drying by combined dehydration had good color and microstructure, which were both close to the FD sample, and better than the heat pump and hot air drying samples alone. The procedure was performed with an optimal dehydration temperature of HPD at 60 degrees C and a transition point of 40% moisture content, followed by freezing-drying up to moisture content of 10%. Lipids extracted from Antarctic krill dried through procedure would have high lipid extraction rate (21.02%), low acid value (10.4 mg KOH/g), high astaxanthin content (200 mg/kg). Importantly it would save about 62 and 50%, respectively, of time and energy consumption in comparison of freezing-drying method. Therefore, this study was for the first time to show that the combined dehydration of HPD and FD could be viable applicable dehydration method for Antarctic krill treatment. Practical applicationsHPD can provide efficient dehydration with a low temperature and energy consumption for high water content materials. The combined dehydration procedure of HPD and FD for Antarctic krill treatment could supply excellent quality of Antarctic krill as foodstuffs and for its further processes such as lipid extraction. This procedure would be more feasible for the food industrial processes.</t>
  </si>
  <si>
    <t>[Sun, Dewei; Cao, Chen; Li, Bo; Chen, Hongjian; Cao, Peirang; Li, Jinwei; Liu, Yuanfa] Jiangnan Univ, Sch Food Sci &amp; Technol, Synerget Innovat Ctr Food Safety &amp; Nutr, State Key Lab Food Sci &amp; Technol, 1800 Lihu Ave, Wuxi 214122, Jiangsu, Peoples R China</t>
  </si>
  <si>
    <t>Jiangnan University</t>
  </si>
  <si>
    <t>Cao, PR; Liu, YF (corresponding author), Jiangnan Univ, Sch Food Sci &amp; Technol, Synerget Innovat Ctr Food Safety &amp; Nutr, State Key Lab Food Sci &amp; Technol, 1800 Lihu Ave, Wuxi 214122, Jiangsu, Peoples R China.</t>
  </si>
  <si>
    <t>prcao@jiangnan.edu.cn; yfliu@jiangnan.edu.cn</t>
  </si>
  <si>
    <t>cao, peirang/AAH-1746-2019; Liao, Hongmei/ABT-7677-2022; Li, Bo/JVO-6869-2024; Li, JW/HNC-1743-2023</t>
  </si>
  <si>
    <t>cao, peirang/0000-0003-4729-5478;</t>
  </si>
  <si>
    <t>National Natural Science Foundation of China [31571878]; Public Sector Research Special Food [201313011-7-3]; Beijing Municipal Science and Technology Project [D151100004015003]</t>
  </si>
  <si>
    <t>National Natural Science Foundation of China(National Natural Science Foundation of China (NSFC)); Public Sector Research Special Food; Beijing Municipal Science and Technology Project</t>
  </si>
  <si>
    <t>National Natural Science Foundation of China, Grant/Award Number: 31571878; Public Sector Research Special Food, Grant/Award Number: 201313011-7-3; Beijing Municipal Science and Technology Project, Grant/Award Number: D151100004015003</t>
  </si>
  <si>
    <t>0145-8876</t>
  </si>
  <si>
    <t>1745-4530</t>
  </si>
  <si>
    <t>J FOOD PROCESS ENG</t>
  </si>
  <si>
    <t>J. Food Process Eng.</t>
  </si>
  <si>
    <t>e12577</t>
  </si>
  <si>
    <t>10.1111/jfpe.12577</t>
  </si>
  <si>
    <t>Engineering, Chemical; Food Science &amp; Technology</t>
  </si>
  <si>
    <t>Engineering; Food Science &amp; Technology</t>
  </si>
  <si>
    <t>FN3LC</t>
  </si>
  <si>
    <t>WOS:000415899500022</t>
  </si>
  <si>
    <t>Hu, ZJ; He, F; Liu, JJ; Huang, DH; Han, DS; Hu, HQ; Zhang, BC; Yang, HG; Chen, ZT; Li, B; Chen, XC</t>
  </si>
  <si>
    <t>Hu, Ze-Jun; He, Fang; Liu, Jian-Jun; Huang, De-Hong; Han, De-Sheng; Hu, Hong-Qiao; Zhang, Bei-Chen; Yang, Hui-Gen; Chen, Zhuo-Tian; Li, Bin; Chen, Xiang-Cai</t>
  </si>
  <si>
    <t>Multi-wavelength and multi-scale aurora observations at the Chinese Zhongshan Station in Antarctica</t>
  </si>
  <si>
    <t>POLAR SCIENCE</t>
  </si>
  <si>
    <t>Multi-wavelength aurora; Multi-scale aurora; Polar region; Ionosphere</t>
  </si>
  <si>
    <t>QUIET DAY CURVE; PARTICLE-PRECIPITATION; IMAGING RIOMETER; OVAL; MAGNETOSPHERE; IONOSPHERE; SPIRALS; ZONE</t>
  </si>
  <si>
    <t>The Chinese Antarctic Zhongshan Station (ZHS) is located in a unique geographical and geomagnetic site that is suitable for observations on the cusp and of the post-noon dayside aurora and the poleward boundary of the nightside auroral oval. Since 2010, a unique, advanced synthetically auroral observation system has been deployed at ZHS, composed of a multi-wavelength all-sky imager, a multi-scale imager, a spectrum imager, and a radio imager. This system can record auroral forms from large (similar to 100 km) to small scales (similar to 10 m), auroral spectral lines from 400 to 730 nm, and auroral characteristics in the radio spectrum. Using this system, we have investigated the visible characteristics of UV 'bright spots,' the variation characteristics of the dayside shock auroras and convection, and the methodology for the quiet-day curve (QDC), among others. These investigations have enhanced our understanding of the solar wind-magnetosphre-ionosphere coupling process. (C) 2017 Elsevier B.V. and NIPR. All rights reserved.</t>
  </si>
  <si>
    <t>[Hu, Ze-Jun; He, Fang; Liu, Jian-Jun; Huang, De-Hong; Han, De-Sheng; Hu, Hong-Qiao; Zhang, Bei-Chen; Yang, Hui-Gen; Chen, Zhuo-Tian; Li, Bin; Chen, Xiang-Cai] Polar Res Inst China, SOA Key Lab Polar Sci, Shanghai, Peoples R China</t>
  </si>
  <si>
    <t>Polar Research Institute of China</t>
  </si>
  <si>
    <t>Hu, ZJ (corresponding author), Polar Res Inst China, 451 Jinqiao Rd, Shanghai 200136, Peoples R China.</t>
  </si>
  <si>
    <t>huzejun@pric.org.cn</t>
  </si>
  <si>
    <t>Chen, Xiangcai/S-9746-2019; Hu, Ze-Jun/X-8090-2019; Han, Desheng/P-2663-2017; Han, Desheng/H-6971-2018; Li, Bin/P-7806-2014</t>
  </si>
  <si>
    <t>Chen, Xiangcai/0000-0002-6325-5049; Hu, Ze-Jun/0000-0003-2448-2094; Han, Desheng/0000-0002-6635-9214; Li, Bin/0000-0003-4009-7305</t>
  </si>
  <si>
    <t>National Natural Science Foundation of China [41274164, 41431072, 41674169, 41374161, 41474146, 41374159]; Pudong Development of Science and Technology Program [PKC2013-207]; Chinese Meridian Project; National Program for Support of Top-Notch Young Professionals; Polar Environment Comprehensive Investigation and Assessment Programs (CHINARE)</t>
  </si>
  <si>
    <t>National Natural Science Foundation of China(National Natural Science Foundation of China (NSFC)); Pudong Development of Science and Technology Program; Chinese Meridian Project; National Program for Support of Top-Notch Young Professionals; Polar Environment Comprehensive Investigation and Assessment Programs (CHINARE)</t>
  </si>
  <si>
    <t>This work was supported by the Polar Environment Comprehensive Investigation and Assessment Programs (CHINARE2017), the National Natural Science Foundation of China (grants 41274164, 41431072, 41674169, 41374161, 41474146, and 41374159), the Pudong Development of Science and Technology Program (PKC2013-207), the Chinese Meridian Project, and the National Program for Support of Top-Notch Young Professionals. Data were obtained by the Data- sharing Platform for Polar Science (http://www.chinare.org.cn) maintained by the Polar Research Institute of China (PRIC) and the Chinese National Arctic &amp; Antarctic Data Center (CN-NADC).</t>
  </si>
  <si>
    <t>1873-9652</t>
  </si>
  <si>
    <t>1876-4428</t>
  </si>
  <si>
    <t>POLAR SCI</t>
  </si>
  <si>
    <t>Polar Sci.</t>
  </si>
  <si>
    <t>10.1016/j.polar.2017.09.001</t>
  </si>
  <si>
    <t>FO7HG</t>
  </si>
  <si>
    <t>WOS:000417043600001</t>
  </si>
  <si>
    <t>Murayama, T; Kanao, M; Yamamoto, MY; Ishihara, Y; Matsushima, T; Kakinami, Y; Okada, K; Miyamachi, H; Nakamoto, M; Takeuchi, Y; Toda, S</t>
  </si>
  <si>
    <t>Murayama, Takahiko; Kanao, Masaki; Yamamoto, Masa-Yuki; Ishihara, Yoshiaki; Matsushima, Takeshi; Kakinami, Yoshihiro; Okada, Kazumi; Miyamachi, Hiroki; Nakamoto, Manami; Takeuchi, Yukari; Toda, Shigeru</t>
  </si>
  <si>
    <t>Time-space variations in infrasound sources related to environmental dynamics around Lutzow-Holm Bay, east Antarctica</t>
  </si>
  <si>
    <t>Infrasound; Array analysis; Lutzow-holm bay; East Antarctica; Cryosphere dynamics</t>
  </si>
  <si>
    <t>ARRAY</t>
  </si>
  <si>
    <t>Characteristic features of infrasound waves observed in the Antarctic reflect the physical interaction between the surface environment along the continental margin and the surrounding Southern Ocean. The temporal-spatial variability of the source locations for infrasound excitation during the eight-month period between January and August 2015 was investigated using recordings made by two infrasound arrays deployed along a section of the coast of Lutzow-Holm Bay (LHB), Antarctica. The infrasound arrays clearly detected temporal variations in frequency content and propagation direction during this period. A number of infrasound sources were identified, many located north of the arrays. Many of the events had a predominant frequency content of a few Hz, higher than microbaroms from the ocean. A comparison of the results with MODIS satellite images indicated that these infrasound sources were ice-quakes associated with the calving of glaciers, the breaking off of sea ice, and collisions between this sea ice and icebergs around the LHB. Continuous measurements of infrasound in the Antarctic may serve as a proxy for monitoring the regional surface environment in terms of climate change at high southern latitudes.</t>
  </si>
  <si>
    <t>[Murayama, Takahiko] Japan Weather Assoc, Toshima Ku, Sunshine 60 Bldg 55F,3-1-1 Higashi Ikebukuro, Tokyo 1706055, Japan; [Kanao, Masaki; Nakamoto, Manami] Res Org Informat &amp; Syst, Natl Inst Polar Res, 10-3 Midori Cho, Tachikawa, Tokyo 1908518, Japan; [Yamamoto, Masa-Yuki] Kochi Univ Technol, 185 Miyanokuchi,Tosayamada Cho, Kami, Kochi 7828502, Japan; [Ishihara, Yoshiaki] Japan Aerosp Explorat Agcy, Chuo Ku, Yoshinodai 3-1-1, Sagamihara, Kanagawa 2525210, Japan; [Matsushima, Takeshi] Kyushu Univ, Fac Sci, Shinyama 2, Shimabara, Nagasaki 8550843, Japan; [Kakinami, Yoshihiro] Tomakomai Coll, Natl Inst Technol, Nishikioka 443, Tomakomai, Hokkaido 0591275, Japan; [Okada, Kazumi] Hokkaido Univ, Grad Sch Sci, Inst Seismol &amp; Volcanol, Kita Ku, N10S8, Sapporo, Hokkaido 0600810, Japan; [Miyamachi, Hiroki] Kagoshima Univ, Fac Sci, Dept Earth &amp; Environm Sci, Kourimoto 1-21-35, Kagoshima 8900065, Japan; [Takeuchi, Yukari] Forestry &amp; Forest Prod Res Inst, Tohkamachi Expt Stn, Kawahara Cho 614, Tokamachi 9480013, Japan; [Toda, Shigeru] Aichi Educ Univ, Fac Educ, Hirosawa 1,Inogatani Cho, Kariya, Aichi 4488542, Japan</t>
  </si>
  <si>
    <t>Research Organization of Information &amp; Systems (ROIS); National Institute of Polar Research (NIPR) - Japan; Kochi University Technology; Japan Aerospace Exploration Agency (JAXA); Kyushu University; Hokkaido University; Kagoshima University; Forestry &amp; Forest Products Research Institute - Japan</t>
  </si>
  <si>
    <t>Murayama, T (corresponding author), Japan Weather Assoc, Toshima Ku, Sunshine 60 Bldg 55F,3-1-1 Higashi Ikebukuro, Tokyo 1706055, Japan.</t>
  </si>
  <si>
    <t>murayama@jwa.or.jp; kanao@nipr.ac.jp; yamamoto.masa-yuki@kochi-tech.ac.jp; ishihara.yoshiaki@jaxa.jp; mat@sevo.kyushu-u.ac.jp; kakinami@tomakomai-ct.ac.jp; okadak@mail.sci.hokudai.ac.jp; miya@sci.kagoshima-u.ac.jp; nakamoto.manami@nipr.ac.jp; yukarit@affrc.go.jp; shigeru@auecc.aichi-edu.ac.jp</t>
  </si>
  <si>
    <t>Kakinami, Yoshihiro/AAW-2652-2021; Ishihara, Yoshiaki/A-8499-2011</t>
  </si>
  <si>
    <t>Kakinami, Yoshihiro/0000-0001-7806-5734; Ishihara, Yoshiaki/0000-0002-0375-6300</t>
  </si>
  <si>
    <t>JSPS KAKENHI [26241010]; Grants-in-Aid for Scientific Research [26241010]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</si>
  <si>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</si>
  <si>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would like to appreciate to many people who collaborated in the infrasound observations at SYO and around LHB, including members of the Japanese Antarctic Research Expeditions (JARE). The authors acknowledge the National Aeronautics and Space Administration (NASA) for the use of MODIS images. This work was supported by JSPS KAKENHI (Grant Number 26241010, Dr. Masaki Kanao - Principal Investigator). We would also like to thank to the referees, Prof. Takeshi Yamanouchi (Editor-in-Chief), and Prof. Dapeng Zhao of Tohoku University (managing editor) for their editorial assistance in publishing this article in Polar Science. The authors declare that they have no competing interests with regards to the content of this work.</t>
  </si>
  <si>
    <t>10.1016/j.polar.2017.10.001</t>
  </si>
  <si>
    <t>WOS:000417043600005</t>
  </si>
  <si>
    <t>Carota, C; Nava, CR; Ghiglione, C; Schiaparelli, S</t>
  </si>
  <si>
    <t>Carota, C.; Nava, C. R.; Ghiglione, C.; Schiaparelli, S.</t>
  </si>
  <si>
    <t>A Bayesian semiparametric GLMM for historical and newly collected presence-only data: An application to species richness of Ross Sea Mollusca</t>
  </si>
  <si>
    <t>ENVIRONMETRICS</t>
  </si>
  <si>
    <t>Bayesian hierarchical GLMM; Dirichlet process random effects; opportunistic sampling schemes; presence-only data; Ross Sea Mollusca; species richness</t>
  </si>
  <si>
    <t>MODELS; DIVERSITY; ABUNDANCE; PATTERNS; BIAS</t>
  </si>
  <si>
    <t>Historical data sets from vast and relatively inaccessible areas are sources of potentially unique information still valuable for biodiversity studies today. In many research fields, ranging from climate change to projection of species loss, great efforts have been made to integrate historical data sets with recent data to create databases that are as complete as possible. Unlocking the information contained in presence-only data, largely prevalent in such databases, presents a challenge for statistical modeling because of insidious observational errors due to the opportunistic nature of the data-gathering process. In this article, we propose an appropriate statistical method for the joint analysis of historical and newly collected presence-only data, that is, a Bayesian semiparametric generalized linear mixed model with Dirichlet process random effects. The potential of the method is illustrated by considering the Ross Sea section of the SOMBASE, an international compilation of Southern Ocean Mollusc distributional records, from 1899 to 2004 and beyond. Despite the presence of sampling bias and nondetection errors, the proposed model draws latent information from the data, such that the resulting estimates of the parameters of interest not only are coherent with those obtained in indirectly related studies based on well-structured data but also suggest interesting ideas for further research.</t>
  </si>
  <si>
    <t>[Carota, C.; Nava, C. R.] Univ Turin, Dept Econ &amp; Stat Cognetti de Martiis, Lungo Dora Siena 100A, I-10100 Turin, Italy; [Ghiglione, C.; Schiaparelli, S.] Univ Genoa, DiSTAV, Corso Europa 36, I-16132 Genoa, Italy; [Ghiglione, C.; Schiaparelli, S.] Italian Natl Antarctic Museum, Corso Europa 36, I-16132 Genoa, Italy</t>
  </si>
  <si>
    <t>University of Turin; University of Genoa</t>
  </si>
  <si>
    <t>Carota, C (corresponding author), Univ Turin, Dept Econ &amp; Stat Cognetti de Martiis, Lungo Dora Siena 100A, I-10100 Turin, Italy.</t>
  </si>
  <si>
    <t>cinzia.carota@unito.it</t>
  </si>
  <si>
    <t>Nava, Consuelo/AAH-8788-2020</t>
  </si>
  <si>
    <t>Nava, Consuelo/0000-0002-8046-8185</t>
  </si>
  <si>
    <t>1180-4009</t>
  </si>
  <si>
    <t>1099-095X</t>
  </si>
  <si>
    <t>Environmetrics</t>
  </si>
  <si>
    <t>e2462</t>
  </si>
  <si>
    <t>10.1002/env.2462</t>
  </si>
  <si>
    <t>Environmental Sciences; Mathematics, Interdisciplinary Applications; Statistics &amp; Probability</t>
  </si>
  <si>
    <t>Environmental Sciences &amp; Ecology; Mathematics</t>
  </si>
  <si>
    <t>FO8SM</t>
  </si>
  <si>
    <t>WOS:000417157600001</t>
  </si>
  <si>
    <t>Pearman, GI; Fraser, PJ; Garratt, JR</t>
  </si>
  <si>
    <t>Pearman, Graeme I.; Fraser, Paul J.; Garratt, John R.</t>
  </si>
  <si>
    <t>CSIRO High-precision Measurement of Atmospheric CO2 Concentration in Australia. Part 2: Cape Grim, Surface CO2 Measurements and Carbon Cycle Modelling</t>
  </si>
  <si>
    <t>HISTORICAL RECORDS OF AUSTRALIAN SCIENCE</t>
  </si>
  <si>
    <t>ICE CORE; GLOBAL DISTRIBUTION; NITROUS-OXIDE; ANTARCTIC ICE; SIMPLER MODEL; LAW DOME; DIOXIDE; AIR; METHANE; FIRN</t>
  </si>
  <si>
    <t>A companion paper discusses the history of, and rationale for, the development of a CSIRO programme of atmospheric carbon dioxide (CO2) concentration measurements in Australia based on aircraft air sampling, field and laboratory measurements. 1 Here, we describe parallel efforts to establish a permanent, ground-based atmospheric Baseline Station at Cape Grim, north-west Tasmania, the political activity required for its establishment, and the work undertaken to select a site commensurate with its long-term objectives. Additional CO2 measurements undertaken to complement the aircraft and Cape Grim measurements are discussed. The development of the Australian Baseline Station was part of an emerging international effort to obtain high-precision measurements of trace gas and aerosol composition of the atmosphere, and to quantify any changes in composition that might be occurring and their possible impact on global climate. We discuss the early development of global carbon cycle models, including the representations of atmospheric transport, and the interpretation of modern atmospheric CO2 data and historic air samples encapsulated in Antarctic ice and firn. The accumulated knowledge from these research activities, together with that collected by international colleagues, forms the basis of our understanding of changes occurring in CO2 concentration. It has contributed to an understanding of the mechanisms of the past and present biogeochemical cycling of CO2, providing predictions of future changes in CO2 concentration.</t>
  </si>
  <si>
    <t>[Pearman, Graeme I.] Univ Melbourne, Sch Earth Sci, Melbourne, Vic, Australia; [Pearman, Graeme I.] Graeme Pearman Consulting Pty Ltd, Bangholme, Vic, Australia; [Fraser, Paul J.; Garratt, John R.] CSIRO Oceans &amp; Atmosphere, Climate Sci Ctr, Aspendale, Vic, Australia</t>
  </si>
  <si>
    <t>University of Melbourne; Melbourne Bioinformatics; Commonwealth Scientific &amp; Industrial Research Organisation (CSIRO)</t>
  </si>
  <si>
    <t>Pearman, GI (corresponding author), Univ Melbourne, Sch Earth Sci, Melbourne, Vic, Australia.;Pearman, GI (corresponding author), Graeme Pearman Consulting Pty Ltd, Bangholme, Vic, Australia.</t>
  </si>
  <si>
    <t>graemepearman@megalink.com.au</t>
  </si>
  <si>
    <t>Fraser, Paul J. B./D-1755-2012</t>
  </si>
  <si>
    <t>0727-3061</t>
  </si>
  <si>
    <t>1448-5508</t>
  </si>
  <si>
    <t>HIST REC AUST SCI</t>
  </si>
  <si>
    <t>Hist. Rec. Aust. Sci.</t>
  </si>
  <si>
    <t>10.1071/HR17015</t>
  </si>
  <si>
    <t>History &amp; Philosophy Of Science</t>
  </si>
  <si>
    <t>History &amp; Philosophy of Science</t>
  </si>
  <si>
    <t>FM8EY</t>
  </si>
  <si>
    <t>WOS:000415320000005</t>
  </si>
  <si>
    <t>Hyun, SH; Yeh, SW; Yoon, J</t>
  </si>
  <si>
    <t>Hyun, Seung-Hwon; Yeh, Sang-Wook; Yoon, Jinho</t>
  </si>
  <si>
    <t>Reduction of internal climate variability in surface temperature due to sea-ice loss since the mid-21st century</t>
  </si>
  <si>
    <t>INTERNATIONAL JOURNAL OF CLIMATOLOGY</t>
  </si>
  <si>
    <t>surface temperature; sea ice; CESM-LE; internal climate variability</t>
  </si>
  <si>
    <t>AMPLIFICATION</t>
  </si>
  <si>
    <t>Understanding the internal climate variability (ICV) is a principal challenge in projecting future climate change. In this study, we define the ICV in projection of surface temperature as the ensemble spread of surface temperature using a 30-member ensemble simulated with the Community Earth System Model Large Ensemble (CESM-LE) experiment, and examine how this ICV changes from the present climate to the future climate under Representative Concentration Pathway 8.5 scenario (RCP8.5). First, ICV is reduced in the future climate, particularly since the mid-21st century. Such a decrease is primarily due to the reduction of ICV in both the Arctic (70 degrees-90 degrees N) and the Antarctic (65 degrees-80 degrees S). Our analysis further indicates that the decrease in ICV in Arctic is significant during boreal fall (September-October-November), and in particular, it is closely linked to the reduction in sea ice since the early and mid-21st century. This implies that realistic simulation of the Arctic sea ice is a key in reducing ICV in a changing climate.</t>
  </si>
  <si>
    <t>[Hyun, Seung-Hwon; Yeh, Sang-Wook] Hanyang Univ, Dept Marine Sci &amp; Convergence Technol, Seoul, South Korea; [Yoon, Jinho] Gwangju Inst Sci &amp; Technol, Sch Earth Sci &amp; Environm Engn, Gwangju, South Korea</t>
  </si>
  <si>
    <t>Hanyang University; Gwangju Institute of Science &amp; Technology (GIST)</t>
  </si>
  <si>
    <t>Yeh, SW (corresponding author), Hanyang Univ, Dept Marine Sci &amp; Convergence Technol, Sci &amp; Technol Bldg 1,02-510,55 Hanyangdaehak Ro, Ansan 426791, Gyeonggi Do, South Korea.</t>
  </si>
  <si>
    <t>swyeh@hanyang.ac.kr</t>
  </si>
  <si>
    <t>YOON, JIN-HO/A-1672-2009; yeh, sang-wook/G-3007-2014</t>
  </si>
  <si>
    <t>yeh, sang-wook/0000-0003-4549-1686</t>
  </si>
  <si>
    <t>National Research Fund of Korea - Korean Government (MEST) [NRF-2009-C1AAA001-2009-0093042]</t>
  </si>
  <si>
    <t>National Research Fund of Korea - Korean Government (MEST)</t>
  </si>
  <si>
    <t>This work was supported by the National Research Fund of Korea Grant funded by the Korean Government (MEST) NRF-2009-C1AAA001-2009-0093042.</t>
  </si>
  <si>
    <t>0899-8418</t>
  </si>
  <si>
    <t>1097-0088</t>
  </si>
  <si>
    <t>INT J CLIMATOL</t>
  </si>
  <si>
    <t>Int. J. Climatol.</t>
  </si>
  <si>
    <t>10.1002/joc.5146</t>
  </si>
  <si>
    <t>FO5NJ</t>
  </si>
  <si>
    <t>WOS:000416905900019</t>
  </si>
  <si>
    <t>Olonscheck, D; Notz, D</t>
  </si>
  <si>
    <t>Olonscheck, Dirk; Notz, Dirk</t>
  </si>
  <si>
    <t>Consistently Estimating Internal Climate Variability from Climate Model Simulations</t>
  </si>
  <si>
    <t>ARCTIC SEA-ICE; NATURAL VARIABILITY; ATMOSPHERIC CIRCULATION; TEMPERATURE VARIABILITY; FUTURE CHANGES; CMIP5 MODELS; TRENDS; PROJECTIONS; THICKNESS; UNCERTAINTY</t>
  </si>
  <si>
    <t>This paper introduces and applies a new method to consistently estimate internal climate variability for all models within a multimodel ensemble. The method regresses each model's estimate of internal variability from the preindustrial control simulation on the variability derived from a model's ensemble simulations, thus providing practical evidence of the quasi-ergodic assumption. The method allows one to test in a multimodel consensus view how the internal variability of a variable changes for different forcing scenarios. Applying the method to the CMIP5 model ensemble shows that the internal variability of global-mean surface air temperature remains largely unchanged for historical simulations and might decrease for future simulations with a large CO2 forcing. Regionally, the projected changes reveal likely increases in temperature variability in the tropics, subtropics, and polar regions, and extremely likely decreases in midlatitudes. Applying the method to sea ice volume and area shows that their respective internal variability likely or extremely likely decreases proportionally to their mean state, except for Arctic sea ice area, which shows no consistent change across models. For the evaluation of CMIP5 simulations of Arctic and Antarctic sea ice, the method confirms that internal variability can explain most of the models' deviation from observed trends but often not the models' deviation from the observed mean states. The new method benefits from a large number of models and long preindustrial control simulations, but it requires only a small number of ensemble simulations. The method allows for consistent consideration of internal variability in multimodel studies and thus fosters understanding of the role of internal variability in a changing climate.</t>
  </si>
  <si>
    <t>[Olonscheck, Dirk; Notz, Dirk] Max Planck Inst Meteorol, Hamburg, Germany</t>
  </si>
  <si>
    <t>Max Planck Society</t>
  </si>
  <si>
    <t>Olonscheck, D (corresponding author), Max Planck Inst Meteorol, Hamburg, Germany.</t>
  </si>
  <si>
    <t>dirk.olonscheck@mpimet.mpg.de</t>
  </si>
  <si>
    <t>Notz, Dirk/P-4428-2017</t>
  </si>
  <si>
    <t>Notz, Dirk/0000-0003-0365-5654; Olonscheck, Dirk/0000-0002-8962-1406</t>
  </si>
  <si>
    <t>Max Planck Research Fellowship of the Max Planck Society</t>
  </si>
  <si>
    <t>We thank all of the reviewers for their very valuable comments and suggestions, which were essential for shaping the final version of this manuscript. We are grateful to Daniela Matei and David Thompson for their helpful comments and discussions on an earlier version of this manuscript. We further thank the participants of the WWRP/WCRP/Bolin Centre School on Polar Prediction for the valuable discussions, PCMDI for its management of CMIP5, the coupled modeling groups for providing the simulations used here, and NCAR for making the Community Earth System Model large ensemble data publicly available. The research was made possible through a Max Planck Research Fellowship of the Max Planck Society. Scripts used in the analysis and other supporting information that may be useful in reproducing the authors' work are archived by the Max Planck Institute for Meteorology and can be obtained by contacting publications@mpimet.mpg.de.</t>
  </si>
  <si>
    <t>10.1175/JCLI-D-16-0428.1</t>
  </si>
  <si>
    <t>FO1AP</t>
  </si>
  <si>
    <t>WOS:000416489400014</t>
  </si>
  <si>
    <t>Khan, Z; Wan Omar, WM; Merican, FMMS; Azizan, AA; Foong, CP; Convey, P; Najimudin, N; Smykla, J; Alias, SA</t>
  </si>
  <si>
    <t>Khan, Zoya; Wan Omar, Wan Maznah; Merican, Faradina Merican Mohd Sidik; Azizan, Asmimie Asmawarnie; Foong, Choon Pin; Convey, Peter; Najimudin, Nazalan; Smykla, Jerzy; Alias, Siti Aisyah</t>
  </si>
  <si>
    <t>Identification and phenotypic plasticity of Pseudanabaena catenata from the Svalbard archipelago</t>
  </si>
  <si>
    <t>Arctic; cyanobacteria; Pseudanabaena; polyphasic approach; 16S rRNA</t>
  </si>
  <si>
    <t>ANABAENA; GROWTH; OSCILLATORIALES; APHANIZOMENON; CYANOBACTERIA; TEMPERATURE; MICROCYSTIS; SURVIVAL; ALGAE; LIGHT</t>
  </si>
  <si>
    <t>A filamentous benthic cyanobacteria, strain USMAC16, was isolated from the High Arctic Svalbard archipelago, Norway, and a combination of morphological, ultrastructural and molecular characterisation (16S rRNA gene sequence) used to identify to species level. Cell dimensions, thylakoid arrangement and apical cell shape are consistent with the Pseudanabaena genus description. The molecular characterisation of P. catenata gave 100% similarity with Pseudanabaena catenata SAG 1464-1, originally reported from Germany. Strain USMAC16 was cultured under a range of temperature and photoperiod conditions, in solid and liquid media, and harvested at exponential phase to examine its phenotypic plasticity. Under different culture conditions, we observed considerable variations in cell dimensions. The longest cell (5.91 +/- 0.13 mu m) was observed at 15 degrees C under 12:12 light: dark, and the widest cell (3.24 +/- 0.06 mu m) at 4 degrees C under 12:12 light: dark in liquid media. The study provides baseline data documenting the morphological variation of P. catenata in response to changing temperature regimes.</t>
  </si>
  <si>
    <t>[Khan, Zoya; Wan Omar, Wan Maznah; Merican, Faradina Merican Mohd Sidik; Azizan, Asmimie Asmawarnie; Foong, Choon Pin; Najimudin, Nazalan] Univ Sains Malaysia, Sch Biol Sci, George Town 11800, Malaysia; [Convey, Peter] NERC, British Antarctic Survey, Cambridge CB3 0ET, England; [Smykla, Jerzy] Polish Acad Sci, Inst Nat Conservat, Dept Biodivers, Mickiewicza 33, PL-31120 Krakow, Poland; [Alias, Siti Aisyah] Univ Malaya, Inst Ocean &amp; Earth Sci, Kuala Lumpur 50603, Malaysia</t>
  </si>
  <si>
    <t>Universiti Sains Malaysia; UK Research &amp; Innovation (UKRI); Natural Environment Research Council (NERC); NERC British Antarctic Survey; Polish Academy of Sciences; Universiti Malaya</t>
  </si>
  <si>
    <t>Wan Omar, WM (corresponding author), Univ Sains Malaysia, Sch Biol Sci, George Town 11800, Malaysia.</t>
  </si>
  <si>
    <t>wmaznah@usm.my</t>
  </si>
  <si>
    <t>FASc, SITI AISYAH A. HJ ALIAS/B-9785-2010; Convey, Peter/AAV-5728-2020; Najimudin, Nazalan/B-2952-2011; Smykla, Jerzy/N-3288-2014; Sidik Merican, Faradina Merican/F-6785-2019; Foong, Choon Pin/C-4270-2017</t>
  </si>
  <si>
    <t>FASc, SITI AISYAH A. HJ ALIAS/0000-0002-6759-5745; Convey, Peter/0000-0001-8497-9903; Mohd. Sidik Merican, Faradina Merican/0000-0002-1527-8991; Smykla, Jerzy/0000-0001-8228-6695; Sidik Merican, Faradina Merican/0000-0003-1441-0134; Foong, Choon Pin/0000-0002-7785-7702</t>
  </si>
  <si>
    <t>Ministry of Science, Technology and Innovation, Malaysia [304/PBIOLOGI/650723/P131]; Natural Environment Research Council [bas0100036] Funding Source: researchfish; NERC [bas0100036] Funding Source: UKRI</t>
  </si>
  <si>
    <t>Ministry of Science, Technology and Innovation, Malaysia(Ministry of Energy, Science, Technology, Environment and Climate Change (MESTECC), Malaysia); Natural Environment Research Council(UK Research &amp; Innovation (UKRI)Natural Environment Research Council (NERC)); NERC(UK Research &amp; Innovation (UKRI)Natural Environment Research Council (NERC))</t>
  </si>
  <si>
    <t>This study was funded and supported by Flagship grant (304/PBIOLOGI/650723/P131) from the Ministry of Science, Technology and Innovation, Malaysia. We would like to thank Mohammed Basri Eshak for his assistance in statistical analysis.</t>
  </si>
  <si>
    <t>10.1515/popore-2017-0022</t>
  </si>
  <si>
    <t>FO3SR</t>
  </si>
  <si>
    <t>WOS:000416754400002</t>
  </si>
  <si>
    <t>Pabis, K; Sobczyk, R</t>
  </si>
  <si>
    <t>Pabis, Krzysztof; Sobczyk, Robert</t>
  </si>
  <si>
    <t>Eulalia picta Kinberg, 1866-tube builder or specialized predator?</t>
  </si>
  <si>
    <t>Antarctic; Admiralty Bay; tubes; sediments; Eteoninae; Phyllodocidae</t>
  </si>
  <si>
    <t>PARTICLE-SIZE SELECTION; PHYLLODOCIDAE POLYCHAETA; MULLER POLYCHAETA; TUBE; PHYLOGENY; VIRIDIS</t>
  </si>
  <si>
    <t>Twenty six specimens of the polychaete Eulalia picta were found in finegrained sand tubes. Material was collected in the Antarctic fjord, Admiralty Bay at the depth of about 100 m. The comparison of tube sediment with the sediment composition at the collection site demonstrated that tubes were created with a high degree of particle selection. Our findings might suggest presence of the tube-building behavior in E. picta or show that this species is a highly specialized predator crawling into the tubes of other sessile polychaetes and uses their tubes as protective cases.</t>
  </si>
  <si>
    <t>[Pabis, Krzysztof; Sobczyk, Robert] Univ Lodz, Lab Polar Biol &amp; Oceanobiol, Dept Invertebrate Zool &amp; Hydrobiol, Banacha 12-16, PL-90237 Lodz, Poland</t>
  </si>
  <si>
    <t>Pabis, K (corresponding author), Univ Lodz, Lab Polar Biol &amp; Oceanobiol, Dept Invertebrate Zool &amp; Hydrobiol, Banacha 12-16, PL-90237 Lodz, Poland.</t>
  </si>
  <si>
    <t>cataclysta@wp.pl</t>
  </si>
  <si>
    <t>Pabis, Krzysztof/O-8628-2017; Sobczyk, Robert/HKV-6691-2023</t>
  </si>
  <si>
    <t>Pabis, Krzysztof/0000-0002-9625-3453; Sobczyk, Robert/0000-0001-7425-6058</t>
  </si>
  <si>
    <t>International Polar Year related project (Structure, evolution, and dynamics of lithosphere, cryosphere and biosphere in European Sector of Arctic and in Antarctic) [PBZ-KBN-108/PO4/2004]; University of Lodz</t>
  </si>
  <si>
    <t>International Polar Year related project (Structure, evolution, and dynamics of lithosphere, cryosphere and biosphere in European Sector of Arctic and in Antarctic); University of Lodz</t>
  </si>
  <si>
    <t>Sampling campaign was supported by an International Polar Year related project (Structure, evolution, and dynamics of lithosphere, cryosphere and biosphere in European Sector of Arctic and in Antarctic No. PBZ-KBN-108/PO4/2004). This study was supported by University of Lodz internal funds. We want to thank James Blake and one anonymous reviewer for comments and critiques that helped to improve this article.</t>
  </si>
  <si>
    <t>POLISH ACAD SCIENCES</t>
  </si>
  <si>
    <t>PL DEFILAD 1, WARSZAWA, 00000, POLAND</t>
  </si>
  <si>
    <t>10.1515/popore-2017-0024</t>
  </si>
  <si>
    <t>WOS:000416754400004</t>
  </si>
  <si>
    <t>Srinivasu, U; Ravichandran, M; Han, WQ; Sivareddy, S; Rahman, H; Li, YL; Nayak, S</t>
  </si>
  <si>
    <t>Srinivasu, U.; Ravichandran, M.; Han, Weiqing; Sivareddy, S.; Rahman, H.; Li, Yuanlong; Nayak, Shailesh</t>
  </si>
  <si>
    <t>Causes for the reversal of North Indian Ocean decadal sea level trend in recent two decades</t>
  </si>
  <si>
    <t>North Indian Ocean; Sea level; Decadal change; Surface winds</t>
  </si>
  <si>
    <t>WESTERN TROPICAL PACIFIC; DATA ASSIMILATION SYSTEM; INDO-PACIFIC; WATER-INTRUSION; CLIMATE-CHANGE; VARIABILITY; EQUATORIAL; RISE; CIRCULATION; PATTERNS</t>
  </si>
  <si>
    <t>Using satellite and in-situ observations, ocean reanalysis products and model simulations, we show a distinct reversal of the North Indian Ocean (NIO, north of 5A degrees S) sea level decadal trend between 1993-2003 and 2004-3013, after the global mean sea level rise is removed. Sea level falls from 1993 to 2003 (Period I) but rises sharply from 2004 to 2013 (Period II). Steric height, which is dominated by thermosteric sea level of the upper 700 m, explains most of the observed reversal, including the spatial patterns of sea level change. The decadal change of surface turbulent heat flux acts in concert with the change of meridional heat transport at 5A degrees S, with both being driven by decadal change of surface winds over the Indian Ocean, to cause sea level fall during Period I and rise during Period II. While the effect of surface net heat flux is consistent among various data sets, the uncertainty is larger for meridional heat transport, which shows both qualitative and quantitative differences amongst different reanalyses. The effect of the Indonesian Throughflow on heat content and thus thermosteric sea level is limited to the South Indian Ocean, and has little influence on the NIO. Our new results point to the importance of surface winds in causing decadal sea level change of the NIO.</t>
  </si>
  <si>
    <t>[Srinivasu, U.; Ravichandran, M.; Sivareddy, S.; Rahman, H.] ESSO Indian Natl Ctr Ocean Informat Serv, Hyderabad 500090, Andhra Pradesh, India; [Ravichandran, M.] ESSO Natl Ctr Antarctic &amp; Ocean Res, Vasco Da Gama 403804, Goa, India; [Han, Weiqing; Li, Yuanlong] Univ Colorado, Dept Atmospher &amp; Ocean Sci, Boulder, CO 80309 USA; [Nayak, Shailesh] Minist Earth Sci, Earth Syst Sci Org ESSO, New Delhi 110003, India</t>
  </si>
  <si>
    <t>Ministry of Earth Sciences (MoES) - India; Indian National Centre for Ocean Information Services (INCOIS); Ministry of Earth Sciences (MoES) - India; National Centre for Polar and Ocean Research (NCPOR); University of Colorado System; University of Colorado Boulder; Earth System Science Organization (ESSO); Ministry of Earth Sciences (MoES) - India</t>
  </si>
  <si>
    <t>Ravichandran, M (corresponding author), ESSO Indian Natl Ctr Ocean Informat Serv, Hyderabad 500090, Andhra Pradesh, India.;Ravichandran, M (corresponding author), ESSO Natl Ctr Antarctic &amp; Ocean Res, Vasco Da Gama 403804, Goa, India.</t>
  </si>
  <si>
    <t>ravi@incois.gov.in</t>
  </si>
  <si>
    <t>Han, Weiqing/JXN-0886-2024; Nayak, Shailesh/AAC-7784-2021; Li, Yuanlong/AES-6061-2022; sanikommu, Siva Reddy/O-3350-2018; Ravichandran, M./AAM-1351-2020</t>
  </si>
  <si>
    <t>Li, Yuanlong/0000-0002-7239-5756;</t>
  </si>
  <si>
    <t>Earth System Science Organization, Ministry of Earth Sciences; government of India; National Monsoon Mission Directorate award [SSC-03-002]; ESSO-INCOIS; NSF [AGS 1446480]; NASA [OVWST NNX14AM68G]; Directorate For Geosciences; Div Atmospheric &amp; Geospace Sciences [1446480] Funding Source: National Science Foundation</t>
  </si>
  <si>
    <t>Earth System Science Organization, Ministry of Earth Sciences; government of India; National Monsoon Mission Directorate award; ESSO-INCOIS; NSF(National Science Foundation (NSF)); NASA(National Aeronautics &amp; Space Administration (NASA)); Directorate For Geosciences; Div Atmospheric &amp; Geospace Sciences(National Science Foundation (NSF)NSF - Directorate for Geosciences (GEO))</t>
  </si>
  <si>
    <t>The authors are grateful for all the organizations and persons who made the datasets used in this research freely available. We thank two anonymous reviewers to critically go through the manuscript and provide us valuable suggestions to improve the content of the manuscript. Special thanks to Drl Jerome Vialard for his valuable suggestions to improve the manuscript. AVISO monthly sea level anomaly maps are downloaded from ftp://ftp.aviso.altimetry.fr/global/delayed-time/grids/climatology/monthly_mean. NOCS v2.0 heat flux data, Ishii and Japan reanalysis data (JRA-55) are available at http://rda.ucar.edu/datasets/. EN4_v2a objective analysis data, ORAS4 reanalysis, OAFlux flux data, wind data (ERA-Interim, NCEP and CCMP), monthly HadISST are downloaded from http://apdrc.soest.hawaii.edu/. Tropflux data is available at http://www.incois.gov.in/tropflux/. ERA-Interim evaporation and precipitation data is found at http://apps.ecmwf.int/datasets/data/interim-full-mnth/. The encouragement and facilities provided by the Director, ESSO-INCOIS are gratefully acknowledged. The authors wish to acknowledge the use of the Ferret program (NOAA) for analysis and graphics in this paper. The authors gratefully acknowledge the financial support provided by the Earth System Science Organization, Ministry of Earth Sciences, and the government of India, to conduct this research. The National Monsoon Mission Directorate award number SSC-03-002 was awarded to Weiqing Han at the University of Colorado, in collaboration with ESSO-INCOIS. Weiqing Han is also partly supported by NSF AGS 1446480 and NASA OVWST NNX14AM68G. This is ESSO-INCOIS contribution No. 0275.</t>
  </si>
  <si>
    <t>10.1007/s00382-017-3551-y</t>
  </si>
  <si>
    <t>FM9IA</t>
  </si>
  <si>
    <t>WOS:000415579000015</t>
  </si>
  <si>
    <t>Cassata, WS</t>
  </si>
  <si>
    <t>Cassata, William S.</t>
  </si>
  <si>
    <t>Meteorite constraints on Martian atmospheric loss and paleoclimate</t>
  </si>
  <si>
    <t>Mars; xenon; atmospheric evolution; meteorite; mass spectrometry; noble gas</t>
  </si>
  <si>
    <t>NORTHWEST AFRICA 7034; HEAVY NOBLE-GASES; ISOTOPIC COMPOSITION; ORTHOPYROXENITE ALH84001; ANCIENT ATMOSPHERE; MASS FRACTIONATION; EARLY EVOLUTION; IMPACT EROSION; ALH 84001; MARS</t>
  </si>
  <si>
    <t>The evolution of Mars' atmosphere to its currently thin state incapable of supporting liquid water remains poorly understood and has important implications for Martian climate history. Martian meteorites contain trapped atmospheric gases that can be used to constrain both the timing and effectiveness of atmospheric escape processes. In this paper, measurements of xenon isotopes in two ancient Martian meteorites, ALH 84001 and NWA 7034, are reported. The data indicate an early episode of atmospheric escape that mass fractionated xenon isotopes culminated within a few hundred million years of planetary formation, and little change to the atmospheric xenon isotopic composition has occurred since this time. In contrast, on Earth atmospheric xenon fractionation continued for at least two billion years (Pujol et al., 2011). Such differences in atmospheric Xe fractionation between the two planets suggest that climate conditions on Mars may have differed significantly from those on Archean Earth. For example, the hydrogen escape flux may not have exceeded the threshold required for xenon escape on Mars after 4.2-4.3 Ga, which indicates that Mars may have been significantly drier than Earth after this time. (C) 2017 Elsevier B.V. All rights reserved.</t>
  </si>
  <si>
    <t>[Cassata, William S.] Lawrence Livermore Natl Lab, Nucl &amp; Chem Sci Div, 7000 East Ave, Livermore, CA 94550 USA</t>
  </si>
  <si>
    <t>United States Department of Energy (DOE); Lawrence Livermore National Laboratory</t>
  </si>
  <si>
    <t>Cassata, WS (corresponding author), Lawrence Livermore Natl Lab, Nucl &amp; Chem Sci Div, 7000 East Ave, Livermore, CA 94550 USA.</t>
  </si>
  <si>
    <t>cassata2@llnl.gov</t>
  </si>
  <si>
    <t>U.S. Department of Energy by Lawrence Livermore National Laboratory [DE-AC52-07NA27344]; NASA [NNH14AX56I]; LLNL [17-ERD-001]</t>
  </si>
  <si>
    <t>U.S. Department of Energy by Lawrence Livermore National Laboratory(United States Department of Energy (DOE)); NASA(National Aeronautics &amp; Space Administration (NASA)); LLNL</t>
  </si>
  <si>
    <t>This work performed under the auspices of the U.S. Department of Energy by Lawrence Livermore National Laboratory under Contract DE-AC52-07NA27344. Financial support was provided by the NASA Mars Fundamental Research Program (grant NNH14AX56I to W.S. Cassata) and an LLNL Laboratory Directed Research and Development project (17-ERD-001), Uncovering the Origins of the Solar System with Cosmochemical Forensics. Carl Agee (University of New Mexico) and the NASA Antarctic Meteorite Collection curators are thanked for the provision of samples. Two anonymous reviewers are thanked for their thoughtful and constructive comments.</t>
  </si>
  <si>
    <t>RADARWEG 29a, 1043 NX AMSTERDAM, NETHERLANDS</t>
  </si>
  <si>
    <t>10.1016/j.epsl.2017.09.034</t>
  </si>
  <si>
    <t>FN1VF</t>
  </si>
  <si>
    <t>WOS:000415778600028</t>
  </si>
  <si>
    <t>de Sousa, JRP; Gonçalves, VN; de Holanda, RA; Santos, DA; Bueloni, CFLG; Costa, AO; Petry, MV; Rosa, CA; Rosa, LH</t>
  </si>
  <si>
    <t>de Sousa, Jordana R. P.; Goncalves, Vivian N.; de Holanda, Rodrigo A.; Santos, Daniel A.; Bueloni, Cinthia F. L. G.; Costa, Adriana O.; Petry, Maria V.; Rosa, Carlos A.; Rosa, Luiz H.</t>
  </si>
  <si>
    <t>Pathogenic potential of environmental resident fungi from ornithogenic soils of Antarctica</t>
  </si>
  <si>
    <t>Antarctic; Birds; Fungi; Omithogenic soil; Pathogenicity</t>
  </si>
  <si>
    <t>CRYPTOCOCCUS-LAURENTII; PENICILLIUM; DIVERSITY; INFECTION; MACROALGAE; NEOFORMANS; DIMORPHISM; VIRULENCE; PATIENT</t>
  </si>
  <si>
    <t>We assessed the diversity of cultivable fungi in the ornithogenic soil nests of bird species like Phalacrocorax atriceps, Macronectes giganteus, Pygoscelis antarcticus, and Pygoscelis papua in the Antarctic islands. From 481 fungi isolated at 15 degrees C, only 50 displayed growth at 37 degrees C, and were identified as 14 species of 15 genera. Aspergillus fumigatus, Penicillium chrysogenum, and Rhodotorula mucilaginosa were the most abundant species obtained. Fifty taxa grew at 40 degrees C; displayed haemolytic and phospholipase activities; produced tiny spores, capsule, and melanin; showed growth at different pH; and showed resistance to amphotericin B. Interestingly, the minimum inhibitory concentration of amphotericin B increased by 5-10 fold for some A. fumigatus isolates after phagocytosis by amoeba. Our results show relations among fungal community compositions present in Antarctic ornithogenic soil and their pathogenic risk to humans in vitro. As the Antarctica Peninsula is a major region of the planet affected by global climate changes, our results, though preliminary, raise concerns about the dispersal of potential pathogenic microbes present in Antarctic substrates by wild birds, which can fly great distances and spread potential pathogens mainly to South America and Oceania. (C) 2017 British Mycological Society. Published by Elsevier Ltd. All rights reserved.</t>
  </si>
  <si>
    <t>[de Sousa, Jordana R. P.; Goncalves, Vivian N.; de Holanda, Rodrigo A.; Santos, Daniel A.; Rosa, Carlos A.; Rosa, Luiz H.] Univ Fed Minas Gerais, Dept Microbiol, BR-31270901 Belo Horizonte, MG, Brazil; [Bueloni, Cinthia F. L. G.] Univ Fed Minas Gerais, Fac Pharm, Belo Horizonte, MG, Brazil; [Costa, Adriana O.] Univ Fed Espirito Santo, Dept Pathol, Vitoria, ES, Brazil; [Petry, Maria V.] Univ Vale Do Rio Dos Sinos, Lab Ornithol &amp; Marine Anim, Sao Leopoldo, RS, Brazil; [de Holanda, Rodrigo A.] CEUMA Univ, Parasite Biol Lab, Maranhao, Brazil</t>
  </si>
  <si>
    <t>Universidade Federal de Minas Gerais; Universidade Federal de Minas Gerais; Universidade Federal do Espirito Santo; Universidade do Vale do Rio dos Sinos (Unisinos); Universidade Ceuma</t>
  </si>
  <si>
    <t>Rosa, LH (corresponding author), Univ Fed Minas Gerais, Dept Microbiol, BR-31270901 Belo Horizonte, MG, Brazil.</t>
  </si>
  <si>
    <t>lhrosa@icb.ufmg.br</t>
  </si>
  <si>
    <t>HOLANDA, RODRIGO/Q-8505-2019; Santos, Daniel de Assis/JXW-6936-2024; Petry, Maria Virginia/AAG-5333-2021; Costa, Adriana Oliveira/AAD-3037-2020; petry, maria/K-8410-2013</t>
  </si>
  <si>
    <t>HOLANDA, RODRIGO/0000-0002-1698-5663; Costa, Adriana Oliveira/0000-0002-1793-3013; petry, maria/0000-0002-7870-7394; Santos, Daniel Assis/0000-0002-1108-5666</t>
  </si>
  <si>
    <t>CNPqPROANTAR [407230/2013-0]; INCT Criosfera; FAPEMIG [0050-13]; CAPES [23038.003478/2013-92]; PRPq-UFMG</t>
  </si>
  <si>
    <t>CNPqPROANTAR(Conselho Nacional de Desenvolvimento Cientifico e Tecnologico (CNPQ)); INCT Criosfera; FAPEMIG(Fundacao de Amparo a Pesquisa do Estado de Minas Gerais (FAPEMIG)); CAPES(Coordenacao de Aperfeicoamento de Pessoal de Nivel Superior (CAPES)); PRPq-UFMG</t>
  </si>
  <si>
    <t>We acknowledge the financial support from CNPqPROANTAR 407230/2013-0, INCT Criosfera, FAPEMIG (0050-13), CAPES (23038.003478/2013-92), and PRPq-UFMG.</t>
  </si>
  <si>
    <t>10.1016/j.funbio.2017.09.005</t>
  </si>
  <si>
    <t>FN7IM</t>
  </si>
  <si>
    <t>WOS:000416191900001</t>
  </si>
  <si>
    <t>Sasgen, I; Martin-Espanol, A; Horvath, A; Klemann, V; Petrie, EJ; Wouters, B; Horwath, M; Pail, R; Bamber, JL; Clarke, PJ; Konrad, H; Drinkwater, MR</t>
  </si>
  <si>
    <t>Sasgen, Ingo; Martin-Espanol, Alba; Horvath, Alexander; Klemann, Volker; Petrie, Elizabeth J.; Wouters, Bert; Horwath, Martin; Pail, Roland; Bamber, Jonathan L.; Clarke, Peter J.; Konrad, Hannes; Drinkwater, Mark R.</t>
  </si>
  <si>
    <t>Joint inversion estimate of regional glacial isostatic adjustment in Antarctica considering a lateral varying Earth structure (ESA STSE Project REGINA)</t>
  </si>
  <si>
    <t>GEOPHYSICAL JOURNAL INTERNATIONAL</t>
  </si>
  <si>
    <t>Glaciology; Global change from geodesy; Gravity anomalies and Earth structure; Loading of the Earth; Antarctica; Joint inversion</t>
  </si>
  <si>
    <t>SECULAR GEOID CHANGES; ICE-SHEET; WEST ANTARCTICA; MASS-BALANCE; GRACE DATA; LATE PLEISTOCENE; UPLIFT RATES; MODEL; GRAVITY; BENEATH</t>
  </si>
  <si>
    <t>A major uncertainty in determining the mass balance of the Antarctic ice sheet from measurements of satellite gravimetry, and to a lesser extent satellite altimetry, is the poorly known correction for the ongoing deformation of the solid Earth caused by glacial isostatic adjustment (GIA). Although much progress has been made in consistently modeling the ice-sheet evolution throughout the last glacial cycle, as well as the induced bedrock deformation caused by these load changes, forward models of GIA remain ambiguous due to the lack of observational constraints on the ice sheet's past extent and thickness and mantle rheology beneath the continent. As an alternative to forward-modeling GIA, we estimate GIA from multiple space-geodetic observations: Gravity Recovery and Climate Experiment (GRACE), Envisat/ICESat and Global Positioning System (GPS). Making use of the different sensitivities of the respective satellite observations to current and past surface-mass (ice mass) change and solid Earth processes, we estimate GIA based on viscoelastic response functions to disc load forcing. We calculate and distribute the viscoelastic response functions according to estimates of the variability of lithosphere thickness and mantle viscosity in Antarctica. We compare our GIA estimate with published GIA corrections and evaluate its impact in determining the ice-mass balance in Antarctica from GRACE and satellite altimetry. Particular focus is applied to the Amundsen Sea Sector in West Antarctica, where uplift rates of several centimetres per year have been measured by GPS. We show that most of this uplift is caused by the rapid viscoelastic response to recent ice-load changes, enabled by the presence of a low-viscosity upper mantle in West Antarctica. This paper presents the second and final contributions summarizing the work carried out within a European Space Agency funded study, REGINA (www.regina-science.eu).</t>
  </si>
  <si>
    <t>[Sasgen, Ingo] Alfred Wegener Inst, Div Climate Sci, Bussestr 24, D-27570 Bremerhaven, Germany; [Martin-Espanol, Alba; Bamber, Jonathan L.] Univ Bristol, Sch Geog Sci, Univ Rd, Bristol BS8 1SS, Avon, England; [Horvath, Alexander] Tech Univ Munich, Inst Astron &amp; Phys Geodasie, Arcisstr 21, D-80333 Munich, Germany; [Klemann, Volker] GFZ German Res Ctr Geosci, Dept Geodesy, Telegrafenberg, D-14473 Potsdam, Germany; [Petrie, Elizabeth J.] Univ Glasgow, Sch Geog &amp; Earth Sci, Glasgow G12 8QQ, Lanark, Scotland; [Wouters, Bert] Univ Utrecht, Inst Marine &amp; Atmospher Res, Princetonpl 5, NL-3584 CC Utrecht, Netherlands; [Horwath, Martin] Tech Univ Dresden, Inst Planetare Geodasie, Helmholtzstr 10, D-01069 Dresden, Germany; [Clarke, Peter J.] Newcastle Univ, Sch Civil Engn &amp; Geosci, Newcastle, NSW NE1 7RU, Australia; [Konrad, Hannes] Univ Leeds, Sch Earth &amp; Environm, Leeds LS2 9JT, W Yorkshire, England; [Drinkwater, Mark R.] European Space Technol Ctr, Mission Sci Div, European Space Agcy, Keplerlaan 1, NL-2201 AZ Noordwijk, Netherlands</t>
  </si>
  <si>
    <t>Helmholtz Association; Alfred Wegener Institute, Helmholtz Centre for Polar &amp; Marine Research; University of Bristol; Technical University of Munich; Helmholtz Association; Helmholtz-Center Potsdam GFZ German Research Center for Geosciences; University of Glasgow; Utrecht University; Technische Universitat Dresden; University of Newcastle; University of Leeds; European Space Agency</t>
  </si>
  <si>
    <t>Sasgen, I (corresponding author), Alfred Wegener Inst, Div Climate Sci, Bussestr 24, D-27570 Bremerhaven, Germany.</t>
  </si>
  <si>
    <t>ingo.sasgen@awi.de</t>
  </si>
  <si>
    <t>Konrad, Hannes/H-7647-2013; Wouters, Bert/A-5301-2017; Petrie, Elizabeth J/B-8532-2008; Pail, Roland/ABE-8800-2021; Wouters, Bert/AAA-4254-2019; Clarke, Peter John/B-1783-2008; Horwath, Martin/ABH-4320-2020; Bamber, Jonathan/C-7608-2011; Pail, Roland/H-5621-2011; Konrad, Hannes/A-1813-2016; Klemann, Volker/H-3660-2013; Drinkwater, Mark/C-2478-2011</t>
  </si>
  <si>
    <t>Wouters, Bert/0000-0002-1086-2435; Clarke, Peter John/0000-0003-1276-8300; Bamber, Jonathan/0000-0002-2280-2819; Konrad, Hannes/0000-0002-5058-8637; Horvath, Alexander/0000-0002-9549-4845; Klemann, Volker/0000-0002-8342-8947; Drinkwater, Mark/0000-0002-9250-3806</t>
  </si>
  <si>
    <t>Support To Science Element (STSE) of the European Space Agency (ESA) Earth Observation Envelope Programme; German Academic Exchange Services (DAAD); DFG [SA1734/4-1]; UK NERC [NE/I027401/1, NE/I027681/1]; NERC [NE/I027401/1, NE/F01466X/1, NE/I027681/1] Funding Source: UKRI; Natural Environment Research Council [NE/I027401/1, NE/F01466X/1, NE/I027681/1] Funding Source: researchfish</t>
  </si>
  <si>
    <t>Support To Science Element (STSE) of the European Space Agency (ESA) Earth Observation Envelope Programme; German Academic Exchange Services (DAAD)(Deutscher Akademischer Austausch Dienst (DAAD)); DFG(German Research Foundation (DFG)); UK NERC(UK Research &amp; Innovation (UKRI)Natural Environment Research Council (NERC)); NERC(UK Research &amp; Innovation (UKRI)Natural Environment Research Council (NERC)); Natural Environment Research Council(UK Research &amp; Innovation (UKRI)Natural Environment Research Council (NERC))</t>
  </si>
  <si>
    <t>The www.regina-science.eu work was enabled through CryoSat+ Cryosphere study funding from the Support To Science Element (STSE) of the European Space Agency (ESA) Earth Observation Envelope Programme. IS acknowledges additional funding through the German Academic Exchange Services (DAAD) and DFG grant SA1734/4-1. JLB and AME acknowledge additional support from UK NERC grant NE/I027401/1, and PJC and EJP from NE/I027681/1. We thank Erik Ivins, Riccardo Riva and Pippa Whitehouse for providing their GIA corrections, Thomas Flament and Frederique Remy for the Envisat data and Veit Helm for providing the AWI L2 CryoSat-2 retracked and corrected elevation measurements. This work contributes to the Helmholtz Climate Initiative REKLIM (Regional Climate Change), a joint research project of the Helmholtz Association of German Research Centres (HGF).</t>
  </si>
  <si>
    <t>0956-540X</t>
  </si>
  <si>
    <t>1365-246X</t>
  </si>
  <si>
    <t>GEOPHYS J INT</t>
  </si>
  <si>
    <t>Geophys. J. Int.</t>
  </si>
  <si>
    <t>10.1093/gji/ggx368</t>
  </si>
  <si>
    <t>FO1HE</t>
  </si>
  <si>
    <t>WOS:000416507600017</t>
  </si>
  <si>
    <t>Budhavant, KB; Rao, PSP; Safai, PD</t>
  </si>
  <si>
    <t>Budhavant, K. B.; Rao, P. S. P.; Safai, P. D.</t>
  </si>
  <si>
    <t>Size distribution and chemical composition of summer aerosols over Southern Ocean and the Antarctic region</t>
  </si>
  <si>
    <t>JOURNAL OF ATMOSPHERIC CHEMISTRY</t>
  </si>
  <si>
    <t>Particulatematter; Mass size distribution; Chemical composition; Marine aerosols; Long-range transport; Non Sea-salt sulfate</t>
  </si>
  <si>
    <t>SEA-SALT; BOUNDARY-LAYER; COASTAL ANTARCTICA; CHEMISTRY; POLE; PARTICLES; SNOW; CONSTITUENTS; ATMOSPHERE; SULFUR</t>
  </si>
  <si>
    <t>The size distribution of atmospheric aerosols together with their composition, sources and sinks, is a key element in understanding aerosol effects on the Earth's climate. Aerosol particle size distribution and chemical composition were measured over the Southern Ocean and at Antarctic region during December 2009-March 2010. Aerosol samples were collected using multi-stage low volume Air Sampler, and an aerosol size spectrometer was employed to monitor PM mass concentration continuously. The mean mass concentrations for PM10, PM2.5 and PM1 were 1.5, 1.0 and 0.6 mu g/m(3), respectively at the Bharati station and were almost 2.5 times higher at the Maitri station. The mass size distribution of the aerosols measured by using a low volume air sampler exhibited a bimodal feature with a peak each in the size range of 0.4 to 0.7 mu m and 3 to 5 mu m. The difference in concentrations between the two locations for fine particles was comparatively lower than that for simultaneously measured coarse particles. Aerosol samples were analyzed for various water-soluble ionic constituents e.g. Na+, K+, Ca2+, Mg2+, NH4+, Cl-, SO42- and NO3-. Sea-salt aerosols contributed to 86% of the measured mass over the Southern Ocean, 80% over Bharati and 76% at Maitri. The Southern Ocean being the most significant source of the particles during summer time, controls the aerosols at Bharati and Maitri sites. The present study will be helpful in simulating atmospheric processes responsible for aerosol characterization over coastal Antarctica and understanding its environmental implications related to radiation budget and climate over this region.</t>
  </si>
  <si>
    <t>[Budhavant, K. B.] Maldives Climate Observ Hanimaadhoo, H Dh Hanimaadhoo 2020, Maldives; [Rao, P. S. P.; Safai, P. D.] Indian Inst Trop Meteorol, Pune 411008, Maharashtra, India</t>
  </si>
  <si>
    <t>Ministry of Earth Sciences (MoES) - India; Indian Institute of Tropical Meteorology (IITM)</t>
  </si>
  <si>
    <t>Budhavant, KB (corresponding author), Maldives Climate Observ Hanimaadhoo, H Dh Hanimaadhoo 2020, Maldives.</t>
  </si>
  <si>
    <t>kbbudhavant@gmail.com</t>
  </si>
  <si>
    <t>Safai, P.D./AAL-9301-2021; BUDHAVANT, KRISHNAKANT/I-6766-2015</t>
  </si>
  <si>
    <t>BUDHAVANT, KRISHNAKANT/0000-0003-2753-3192</t>
  </si>
  <si>
    <t>National Centre for Antarctic and Ocean Research (NCAOR); Ministry of Earth Sciences (MoES)</t>
  </si>
  <si>
    <t>Authors are grateful to the Director, IITM, Pune, India for the support and encouragement given to undertake this work. Thanks are also due to the National Centre for Antarctic and Ocean Research (NCAOR) and Ministry of Earth Sciences (MoES) for giving opportunity to participate in the 29th Indian Antarctic Expedition and for the financial support.</t>
  </si>
  <si>
    <t>0167-7764</t>
  </si>
  <si>
    <t>1573-0662</t>
  </si>
  <si>
    <t>J ATMOS CHEM</t>
  </si>
  <si>
    <t>J. Atmos. Chem.</t>
  </si>
  <si>
    <t>10.1007/s10874-016-9356-2</t>
  </si>
  <si>
    <t>FN6XJ</t>
  </si>
  <si>
    <t>WOS:000416159800005</t>
  </si>
  <si>
    <t>Golikov, AV; Sabirov, RM; Lubin, PA</t>
  </si>
  <si>
    <t>Golikov, Alexey V.; Sabirov, Rushan M.; Lubin, Pavel A.</t>
  </si>
  <si>
    <t>First assessment of biomass and abundance of cephalopods Rossia palpebrosa and Gonatus fabricii in the Barents Sea</t>
  </si>
  <si>
    <t>JOURNAL OF THE MARINE BIOLOGICAL ASSOCIATION OF THE UNITED KINGDOM</t>
  </si>
  <si>
    <t>Biomass assessment; abundance assessment; Cephalopoda; Rossia palpebrosa; Gonatus fabricii; Barents Sea</t>
  </si>
  <si>
    <t>SQUID TODAROPSIS-EBLANAE; NORWEGIAN SEA; CLIMATE; SUMMER; MICROSTRUCTURE; OMMASTREPHIDAE; OEGOPSIDA; PREDATORS; FISHERIES; ATLANTIC</t>
  </si>
  <si>
    <t>Studies on the quantitative distribution of cephalopods in the Arctic are limited, and almost completely absent for the Barents Sea. It is known that the most abundant cephalopods in the Arctic are Rossia palpebrosa and Gonatus fabricii. Their biomass and abundance have been assessed for the first time in the Barents Sea and adjacent waters. The maximum biomass of R. palpebrosa in the Barents Sea was 6.216-6.454 thousand tonnes with an abundance of 521.5 million specimens. Increased densities of biomass were annually registered in the north-eastern parts of the Barents Sea. The maximum biomass of G. fabricii in the Barents Sea was 24.797 thousand tonnes with an abundance of 1.705 billion specimens. The areas with increased density of biomass (higher than 100 kg km(-2)) and abundance (more than 10,000 specimens km(-2)) were concentrated in deep-water troughs in the marginal parts of the Barents Sea and in adjacent deep-water areas. The biomass and abundance of R. palpebrosa and G. fabricii in the Barents Sea were much lower than those of major taxa of invertebrates and fish and than those of cephalopods in other parts of the World Ocean. It has been suggested that the importance of cephalopods in the Arctic ecosystems, at least in terms of quantitative distribution, could be somewhat lower than in the Antarctic or the tropics. Despite the impact of ongoing warming of the Arctic on the distribution of cephalopods being described repeatedly already, no impact of the current year's climate on the studied species was found. The only exception was the abundance of R. palpebrosa, which correlated with the current year's climate conditions.</t>
  </si>
  <si>
    <t>[Golikov, Alexey V.; Sabirov, Rushan M.] Kazan Fed Univ, Dept Zool, Kazan 420008, Russia; [Lubin, Pavel A.] Polar Inst Marine Fisheries &amp; Oceanog, Lab Coastal Res, Murmansk 183038, Russia; [Lubin, Pavel A.] Tatarstan Acad Sci, Inst Ecol &amp; Subsurface Explorat, Lab Hydrobiol, Kazan, Russia</t>
  </si>
  <si>
    <t>Kazan Federal University</t>
  </si>
  <si>
    <t>Golikov, AV (corresponding author), Kazan Fed Univ, Dept Zool, Kazan 420008, Russia.</t>
  </si>
  <si>
    <t>golikov_ksu@mail.ru</t>
  </si>
  <si>
    <t>Golikov, Alexey/T-3504-2019; Golikov, Alexey V./N-6800-2013; Sabirov, Rushan Mirzovich/N-6605-2013</t>
  </si>
  <si>
    <t>Golikov, Alexey/0000-0002-1596-2857;</t>
  </si>
  <si>
    <t>Norwegian-Russian Programme of the Barents Sea ecosystem survey</t>
  </si>
  <si>
    <t>This research was partly supported by the Norwegian-Russian Programme of the Barents Sea ecosystem survey.</t>
  </si>
  <si>
    <t>0025-3154</t>
  </si>
  <si>
    <t>1469-7769</t>
  </si>
  <si>
    <t>J MAR BIOL ASSOC UK</t>
  </si>
  <si>
    <t>J. Mar. Biol. Assoc. U.K.</t>
  </si>
  <si>
    <t>10.1017/S0025315416001004</t>
  </si>
  <si>
    <t>FN5BX</t>
  </si>
  <si>
    <t>WOS:000416022600006</t>
  </si>
  <si>
    <t>Wermter, FC; Mitschke, N; Bock, C; Dreher, W</t>
  </si>
  <si>
    <t>Wermter, Felizitas C.; Mitschke, Nico; Bock, Christian; Dreher, Wolfgang</t>
  </si>
  <si>
    <t>Temperature dependence of 1H NMR chemical shifts and its influence on estimated metabolite concentrations</t>
  </si>
  <si>
    <t>MAGNETIC RESONANCE MATERIALS IN PHYSICS BIOLOGY AND MEDICINE</t>
  </si>
  <si>
    <t>NMR spectroscopy; Spectrum analysis; Brain metabolites; Polar organisms</t>
  </si>
  <si>
    <t>BRAIN IN-VIVO; MAGNETIC-RESONANCE; RAT-BRAIN; NEUROCHEMICAL PROFILE; SPECTROSCOPY; H-1; QUANTIFICATION; SIGNALS; QUANTITATION; SPECTRA</t>
  </si>
  <si>
    <t>Temperature dependent chemical shifts of important brain metabolites measured by localised H-1 MRS were investigated to test how the use of incorrect prior knowledge on chemical shifts impairs the quantification of metabolite concentrations. Phantom measurements on solutions containing 11 metabolites were performed on a 7 T scanner between 1 and 43 A degrees C. The temperature dependence of the chemical shift differences was fitted by a linear model. Spectra were simulated for different temperatures and analysed by the AQSES program (jMRUI 5.2) using model functions with chemical shift values for 37 A degrees C. Large differences in the temperature dependence of the chemical shift differences were determined with a maximum slope of about +/- 7.5 x 10(-4) ppm/K. For 32-40 A degrees C, only minor quantification errors resulted from using incorrect chemical shifts, with the exception of Cr and PCr. For 1-10 A degrees C considerable quantification errors occurred if the temperature dependence of the chemical shifts was neglected. If H-1 MRS measurements are not performed at 37 A degrees C, for which the published chemical shift values have been determined, the temperature dependence of chemical shifts should be considered to avoid systematic quantification errors, particularly for measurements on animal models at lower temperatures.</t>
  </si>
  <si>
    <t>[Wermter, Felizitas C.; Mitschke, Nico; Dreher, Wolfgang] Univ Bremen, Dept Chem, Vivo MR Grp, D-28359 Bremen, Germany; [Wermter, Felizitas C.; Bock, Christian] Helmholtz Ctr Polar &amp; Marine Res, Alfred Wegener Inst, Integrat Ecophysiol, D-27570 Bremerhaven, Germany</t>
  </si>
  <si>
    <t>University of Bremen; Helmholtz Association; Alfred Wegener Institute, Helmholtz Centre for Polar &amp; Marine Research</t>
  </si>
  <si>
    <t>Dreher, W (corresponding author), Univ Bremen, Dept Chem, Vivo MR Grp, D-28359 Bremen, Germany.</t>
  </si>
  <si>
    <t>wdreher@uni-bremen.de</t>
  </si>
  <si>
    <t>Mitschke, Nico/JOZ-1614-2023; Bock, Christian/B-4421-2017</t>
  </si>
  <si>
    <t>Mitschke, Nico/0000-0002-1043-7199; Bock, Christian/0000-0003-0052-3090; Wermter, Felizitas Charlotte/0000-0002-7933-8447</t>
  </si>
  <si>
    <t>Deutsche Forschungsgemeinschaft (DFG) [SPP 1158, DR298/13-1, BO2467/4-1]</t>
  </si>
  <si>
    <t>Deutsche Forschungsgemeinschaft (DFG)(German Research Foundation (DFG))</t>
  </si>
  <si>
    <t>We thank Dr. Peter Erhard for helpful comments on the manuscript. This work was supported by the Deutsche Forschungsgemeinschaft (DFG) in the framework of the priority programme 'Antarctic Research with comparative investigations in Arctic ice areas' (SPP 1158) by grants DR298/13-1 and BO2467/4-1.</t>
  </si>
  <si>
    <t>0968-5243</t>
  </si>
  <si>
    <t>1352-8661</t>
  </si>
  <si>
    <t>MAGN RESON MATER PHY</t>
  </si>
  <si>
    <t>Magn. Reson. Mat. Phys. Biol. Med.</t>
  </si>
  <si>
    <t>10.1007/s10334-017-0642-z</t>
  </si>
  <si>
    <t>Radiology, Nuclear Medicine &amp; Medical Imaging</t>
  </si>
  <si>
    <t>FN8FV</t>
  </si>
  <si>
    <t>WOS:000416258200007</t>
  </si>
  <si>
    <t>Wilkinson, J; Beegle-Krause, CJ; Evers, KU; Hughes, N; Lewis, A; Reed, M; Wadhams, P</t>
  </si>
  <si>
    <t>Wilkinson, Jeremy; Beegle-Krause, C. J.; Evers, Karl-Ulrich; Hughes, Nick; Lewis, Alun; Reed, Mark; Wadhams, Peter</t>
  </si>
  <si>
    <t>Oil spill response capabilities and technologies for ice-covered Arctic marine waters: A review of recent developments and established practices</t>
  </si>
  <si>
    <t>AMBIO</t>
  </si>
  <si>
    <t>Arctic; Oil spill response; Sea ice</t>
  </si>
  <si>
    <t>SEA-ICE; BEHAVIOR; COUNTERMEASURES; BIODEGRADATION; FATE</t>
  </si>
  <si>
    <t>Renewed political and commercial interest in the resources of the Arctic, the reduction in the extent and thickness of sea ice, and the recent failings that led to the Deepwater Horizon oil spill, have prompted industry and its regulatory agencies, governments, local communities and NGOs to look at all aspects of Arctic oil spill countermeasures with fresh eyes. This paper provides an overview of present oil spill response capabilities and technologies for ice-covered waters, as well as under potential future conditions driven by a changing climate. Though not an exhaustive review, we provide the key research results for oil spill response from knowledge accumulated over many decades, including significant review papers that have been prepared as well as results from recent laboratory tests, field programmes and modelling work. The three main areas covered by the review are as follows: oil weathering and modelling; oil detection and monitoring; and oil spill response techniques.</t>
  </si>
  <si>
    <t>[Wilkinson, Jeremy] British Antarctic Survey, Madingley Rd, Cambridge CB3 0ET, England; [Beegle-Krause, C. J.; Reed, Mark] SINTEF Ocean AS, Postboks Box 4762, N-7465 Trondheim, Norway; [Evers, Karl-Ulrich] Hamburg Schiffbau Versuchsanstalt GmbH, Hamburg Ship Model Basin HSVA, Bramfelder Str 164, D-22305 Hamburg, Germany; [Hughes, Nick] Norwegian Meteorol Inst, Serv, Oslo, Norway; [Hughes, Nick] POB 6314,Kirkegardsv 60, N-9293 Tromso, Norway; [Lewis, Alun] SINTEF, BP Res Ctr, WSL, Trondheim, Norway; [Lewis, Alun] AEA Technol, Carlsbad, CA USA; [Lewis, Alun] 121 Laleham Rd, Staines Upon Thames TW18 2EG, Middx, England; [Reed, Mark] Hogasen 6, N-7560 Vikhammer, Norway; [Wadhams, Peter] DAMTP, Ctr Math Sci, Wilberforce Rd, Cambridge CB3 0WA, England</t>
  </si>
  <si>
    <t>UK Research &amp; Innovation (UKRI); Natural Environment Research Council (NERC); NERC British Antarctic Survey; SINTEF; Norwegian Meteorological Institute; SINTEF; University of Cambridge</t>
  </si>
  <si>
    <t>Wilkinson, J (corresponding author), British Antarctic Survey, Madingley Rd, Cambridge CB3 0ET, England.</t>
  </si>
  <si>
    <t>jpw28@bas.ac.uk; CJ.Beegle-Krause@sintef.no; Evers@hsva.de; nick.hughes@met.no; alun.lewis4@btinternet.com; mark.reed@ntebb.no; pw11@cam.ac.uk</t>
  </si>
  <si>
    <t>Hughes, Nicholas/AAI-1595-2021</t>
  </si>
  <si>
    <t>Hughes, Nicholas/0000-0002-3510-0656</t>
  </si>
  <si>
    <t>European Commission part of the Ocean of Tomorrow 7th Framework Program of the European Union [265863]; NERC [bas0100033] Funding Source: UKRI; Natural Environment Research Council [bas0100033] Funding Source: researchfish</t>
  </si>
  <si>
    <t>European Commission part of the Ocean of Tomorrow 7th Framework Program of the European Union; NERC(UK Research &amp; Innovation (UKRI)Natural Environment Research Council (NERC)); Natural Environment Research Council(UK Research &amp; Innovation (UKRI)Natural Environment Research Council (NERC))</t>
  </si>
  <si>
    <t>We are grateful to the European Commission for supporting the Arctic Climate Change, Economy and Society research project ACCESS (Contract No. 265863) part of the Ocean of Tomorrow 7th Framework Program of the European Union.</t>
  </si>
  <si>
    <t>0044-7447</t>
  </si>
  <si>
    <t>1654-7209</t>
  </si>
  <si>
    <t>Ambio</t>
  </si>
  <si>
    <t>10.1007/s13280-017-0958-y</t>
  </si>
  <si>
    <t>FM6EQ</t>
  </si>
  <si>
    <t>WOS:000415142800008</t>
  </si>
  <si>
    <t>Chown, SL</t>
  </si>
  <si>
    <t>Chown, Steven L.</t>
  </si>
  <si>
    <t>The Scientific Committee on Antarctic Research-60 Years of Growing Significance</t>
  </si>
  <si>
    <t>10.1017/S0954102017000426</t>
  </si>
  <si>
    <t>WOS:000423172800001</t>
  </si>
  <si>
    <t>Ashford, J; Dinniman, M; Brooks, C</t>
  </si>
  <si>
    <t>Ashford, Julian; Dinniman, Michael; Brooks, Cassandra</t>
  </si>
  <si>
    <t>Physical-biological interactions influencing large toothfish over the Ross Sea shelf</t>
  </si>
  <si>
    <t>Circumpolar Deep Water intrusions; life history connectivity; physical structuring; probability-based sampling; transport pathways; vertical distribution</t>
  </si>
  <si>
    <t>PLEURAGRAMMA-ANTARCTICUM PISCES; LIFE-HISTORY CONNECTIVITY; DISSOSTICHUS-MAWSONI; POPULATION-STRUCTURE; SPATIAL-DISTRIBUTION; SCOTIA SEA; DEEP-WATER; OCEAN; VARIABILITY; CIRCULATION</t>
  </si>
  <si>
    <t>We add comments to a recent series of publications in peer-reviewed journals concerning the distribution of large Antarctic toothfish (Dissostichus mawsoni) found over the inner shelf of the Ross Sea. We note that earlier fish ecologists advanced innovative hypotheses invoking physical-biological interactions with life history, and that these, far from being disproved, have been relegated by more immediately pressing management concerns. We argue that, despite the considerable advances achieved by research groups working on D. mawsoni, an understanding of distribution and abundance is incomplete without reference to the physical structure that supports their life history. We briefly consider hypotheses highlighted by the recent literature in the context of major features of the shelf circulation in the Ross Sea, in particular intrusions of modified Circumpolar Deep Water along trough systems. We suggest physical-biological interactions that may be involved and call for improvements in the monitoring programme that can help test between the competing hypotheses.</t>
  </si>
  <si>
    <t>[Ashford, Julian] Old Dominion Univ, Ctr Quantitat Fisheries Ecol, 800 West 46th St, Norfolk, VA 23508 USA; [Dinniman, Michael] Old Dominion Univ, Ctr Coastal Phys Oceanog, 411 Monarch Way, Norfolk, VA 23508 USA; [Brooks, Cassandra] Stanford Univ, Palo Alto, CA 94305 USA</t>
  </si>
  <si>
    <t>Old Dominion University; Old Dominion University; Stanford University</t>
  </si>
  <si>
    <t>Ashford, J (corresponding author), Old Dominion Univ, Ctr Quantitat Fisheries Ecol, 800 West 46th St, Norfolk, VA 23508 USA.</t>
  </si>
  <si>
    <t>jashford@odu.edu</t>
  </si>
  <si>
    <t>Dinniman, Michael/0000-0001-7519-9278; Brooks, Cassandra/0000-0002-1397-0394</t>
  </si>
  <si>
    <t>10.1017/S0954102017000359</t>
  </si>
  <si>
    <t>WOS:000423172800002</t>
  </si>
  <si>
    <t>Krüger, L; Paiva, VH; Petry, MV; Ramos, JA</t>
  </si>
  <si>
    <t>Kruger, Lucas; Paiva, Vitor H.; Petry, Maria V.; Ramos, Jaime A.</t>
  </si>
  <si>
    <t>Seabird breeding population size on the Antarctic Peninsula related to fisheries activities in non-breeding ranges off South America</t>
  </si>
  <si>
    <t>demersal fisheries; Macronectes giganteus; non-breeding ecology; southern giant petrel; squid fisheries</t>
  </si>
  <si>
    <t>GIANT PETREL; ATLANTIC-OCEAN; JUNK-FOOD; GIGANTEUS; PATAGONIA</t>
  </si>
  <si>
    <t>Population growth of the southern giant petrel Macronectes giganteus from South America has been linked with an increase in fishing activities. It was demonstrated recently that a population from Elephant Island, Antarctic Peninsula, largely overlaps its non-breeding distribution with zones of high fishing intensity off South America. This study investigated the assumption that the increase in this population since the 1980s is related to an increase in fisheries off South America. Our results show that the population size is proportional to the increase in demersal and squid fisheries. These fisheries produce a considerable amount of discards, which can be used by non-breeding southern giant petrels as a food source during unfavourable conditions in winter. This may enhance the adult survival rates with potential carry-over effects on population size. Our study shows that we need to further understand the effects of fishery discards/offal on scavenging seabirds of the Southern Ocean, and highlights the importance of understanding the carry-over effects of seabird-fisheries interactions during the non-breeding phase in population dynamics.</t>
  </si>
  <si>
    <t>[Kruger, Lucas; Paiva, Vitor H.; Ramos, Jaime A.] Univ Coimbra, Dept Life Sci, MARE Marine &amp; Environm Sci Ctr, Coimbra, Portugal; [Petry, Maria V.] Univ Vale Rio dos Sinos, Lab Ornitol &amp; Anim Marinhos, Sao Leopoldo, RS, Brazil; [Kruger, Lucas; Petry, Maria V.] Univ Fed Rio de Janeiro, INCT APA, Rio De Janeiro, RJ, Brazil</t>
  </si>
  <si>
    <t>Universidade de Coimbra; Universidade do Vale do Rio dos Sinos (Unisinos); Universidade Federal do Rio de Janeiro</t>
  </si>
  <si>
    <t>Krüger, L (corresponding author), Univ Coimbra, Dept Life Sci, MARE Marine &amp; Environm Sci Ctr, Coimbra, Portugal.</t>
  </si>
  <si>
    <t>Ramos, Jaime A./B-6616-2018; Petry, Maria Virginia/AAG-5333-2021; Paiva, Vitor H./J-1092-2019; Paiva, Vitor Hugo/GRX-9179-2022; Krüger, Lucas/O-8912-2015; petry, maria/K-8410-2013</t>
  </si>
  <si>
    <t>Ramos, Jaime A./0000-0002-9533-987X; Paiva, Vitor H./0000-0001-6368-9579; Krüger, Lucas/0000-0003-4637-5302; petry, maria/0000-0002-7870-7394</t>
  </si>
  <si>
    <t>CNPq [245540/2012-1, 574018/2008-5]; FCT [SFRH/BPD/85024/2012, MARE-UID/MAR/04292/2013]; FAPERJ [E-16/170.023/2008]; Brazilian Ministry of Science, Technology and Innovation (MCTI); Brazilian Ministry of Environment (MMA); Inter-Ministry Commission for Sea Resources (CIRM)</t>
  </si>
  <si>
    <t>CNPq(Conselho Nacional de Desenvolvimento Cientifico e Tecnologico (CNPQ)); FCT(Fundacao para a Ciencia e a Tecnologia (FCT)); FAPERJ(Fundacao Carlos Chagas Filho de Amparo a Pesquisa do Estado do Rio De Janeiro (FAPERJ)); Brazilian Ministry of Science, Technology and Innovation (MCTI); Brazilian Ministry of Environment (MMA); Inter-Ministry Commission for Sea Resources (CIRM)</t>
  </si>
  <si>
    <t>LK acknowledges CNPq for his PhD scholarship (245540/2012-1). VHP acknowledges the support given by FCT (SFRH/BPD/85024/2012). We acknowledge the Brazilian Navy for field research support in Antarctica, the National Institute of Science and Technology Antarctic Environmental Research (INCT-APA), CNPq (574018/2008-5) and FAPERJ (E-16/170.023/2008). We acknowledge the support of the Brazilian Ministries of Science, Technology and Innovation (MCTI), Environment (MMA), and Inter-Ministry Commission for Sea Resources (CIRM). This study benefited from the MARE strategic programme, financed by FCT (MARE-UID/MAR/04292/2013). We thank Jessica Hey for the English review. We also thank the reviewers for their constructive comments.</t>
  </si>
  <si>
    <t>10.1017/S0954102017000207</t>
  </si>
  <si>
    <t>WOS:000423172800003</t>
  </si>
  <si>
    <t>Gorman, KB; Talbot, SL; Sonsthagen, SA; Sage, GK; Gravely, MC; Fraser, WR; Williams, TD</t>
  </si>
  <si>
    <t>Gorman, Kristen B.; Talbot, Sandra L.; Sonsthagen, Sarah A.; Sage, George K.; Gravely, Meg C.; Fraser, William R.; Williams, Tony D.</t>
  </si>
  <si>
    <t>Population genetic structure and gene flow of Adelie penguins (Pygoscelis adeliae) breeding throughout the western Antarctic Peninsula</t>
  </si>
  <si>
    <t>climate warming; microsatellite; mitochondrial DNA; population delineation; sea ice</t>
  </si>
  <si>
    <t>MAXIMUM-LIKELIHOOD-ESTIMATION; CLIMATE-CHANGE; MITOCHONDRIAL-DNA; FLIPPER BANDS; LATE-HOLOCENE; SEA-ICE; GROWTH; DIFFERENTIATION; VARIABILITY; DISPERSAL</t>
  </si>
  <si>
    <t>Adelie penguins (Pygoscelis adeliae) are responding to ocean-climate variability throughout the marine ecosystem of the western Antarctic Peninsula (WAP) where some breeding colonies have declined by 80%. Nuclear and mitochondrial DNA (mtDNA) markers were used to understand historical population genetic structure and gene flow given relatively recent and continuing reductions in sea ice habitats and changes in numbers of breeding adults at colonies throughout the WAP. Genetic diversity, spatial genetic structure, genetic signatures of fluctuations in population demography and gene flow were assessed in four regional Adelie penguin colonies. The analyses indicated little genetic structure overall based on bi-parentally inherited microsatellite markers (F-ST = -0.006-0.004). No significant variance was observed in overall haplotype frequency (mtDNA Phi(ST) = 0.017 ;P = 0.112). Some comparisons with Charcot Island were significant, suggestive of female-biased philopatry. Estimates of gene flow based on a two-population coalescent model were asymmetrical from the species' regional core to its northern range. Breeding Adelie penguins of the WAP are a panmictic population and hold adequate genetic diversity and dispersal capacity to be resilient to environmental change.</t>
  </si>
  <si>
    <t>[Gorman, Kristen B.; Williams, Tony D.] Simon Fraser Univ, Dept Biol Sci, Burnaby, BC V5A 1S6, Canada; [Gorman, Kristen B.; Fraser, William R.] Polar Oceans Res Grp, Sheridan, MT 59749 USA; [Talbot, Sandra L.; Sonsthagen, Sarah A.; Sage, George K.; Gravely, Meg C.] US Geol Survey, Alaska Sci Ctr, Anchorage, AK 99508 USA; [Gorman, Kristen B.] Prince William Sound Sci Ctr, Cordova, AK 99574 USA</t>
  </si>
  <si>
    <t>Simon Fraser University; United States Department of the Interior; United States Geological Survey</t>
  </si>
  <si>
    <t>Gorman, KB (corresponding author), Simon Fraser Univ, Dept Biol Sci, Burnaby, BC V5A 1S6, Canada.;Gorman, KB (corresponding author), Polar Oceans Res Grp, Sheridan, MT 59749 USA.;Gorman, KB (corresponding author), Prince William Sound Sci Ctr, Cordova, AK 99574 USA.</t>
  </si>
  <si>
    <t>kgorman@pwssc.org</t>
  </si>
  <si>
    <t>Gorman, Kristen B./0000-0002-0258-9264; Sonsthagen, Sarah/0000-0001-6215-5874</t>
  </si>
  <si>
    <t>Antarctic Science Bursary award; National Science Foundation (NSF), Office of Polar Programs (OPP) [0217282, 0823101]; NSF-OPP [0741351]; Detroit Zoological Society; SFU; Glen Geen Graduate Scholarship in Marine Biology; Canada Natural Sciences and Engineering Research Council Discovery Grants; Directorate For Geosciences; Office of Polar Programs (OPP) [0217282] Funding Source: National Science Foundation; Office of Polar Programs (OPP); Directorate For Geosciences [1440435, 0823101] Funding Source: National Science Foundation</t>
  </si>
  <si>
    <t>Antarctic Science Bursary award; National Science Foundation (NSF), Office of Polar Programs (OPP)(National Science Foundation (NSF)); NSF-OPP(National Science Foundation (NSF)NSF - Directorate for Geosciences (GEO)); Detroit Zoological Society; SFU; Glen Geen Graduate Scholarship in Marine Biology; Canada Natural Sciences and Engineering Research Council Discovery Grants; Directorate For Geosciences; Office of Polar Programs (OPP)(National Science Foundation (NSF)NSF - Directorate for Geosciences (GEO)); Office of Polar Programs (OPP); Directorate For Geosciences(National Science Foundation (NSF)NSF - Directorate for Geosciences (GEO))</t>
  </si>
  <si>
    <t>We thank three anonymous reviewers and Professor D. Walton (editor) for comments that greatly improved the manuscript. This work was made possible through an Antarctic Science Bursary award to KBG. Fieldwork was conducted in accordance with Antarctic Conservation Act permits to WRF, in addition to Canadian Committee on Animal Care guidelines (SFU Animal Care Permit 890B-08 to KBG and TDW). J. Blum provided invaluable help in the field. D. Patterson-Fraser provided critical logistical support. H. Lucas, R. Smaniotto, T. Morgan, K. Yeager, S. Farry and J. Mannas assisted with fieldwork. Research was conducted as part of the PAL-LTER programme (http://pal.lternet.edu) supported by grants #0217282 and #0823101 through the National Science Foundation (NSF), Office of Polar Programs (OPP) through subawards to WRF. Supplemental funds for this project were received by a separate grant #0741351 to WRF, also funded by NSF-OPP. Additional funding was provided by the Detroit Zoological Society. KBG was partially supported by SFU Graduate Fellowships and the Glen Geen Graduate Scholarship in Marine Biology, in addition to Canada Natural Sciences and Engineering Research Council Discovery Grants to TDW. Raytheon Polar Services Company and Edison Chouest Offshore provided logistical support. Any use of trade names is for descriptive purposes only and does not imply endorsement by the US Government.</t>
  </si>
  <si>
    <t>10.1017/S0954102017000293</t>
  </si>
  <si>
    <t>WOS:000423172800004</t>
  </si>
  <si>
    <t>Auscavitch, SR; Waller, RG</t>
  </si>
  <si>
    <t>Auscavitch, Steven R.; Waller, Rhian G.</t>
  </si>
  <si>
    <t>Biogeographical patterns among deep sea megabenthic communities across the Drake Passage</t>
  </si>
  <si>
    <t>biogeography; cold-water corals; seamounts; Southern Ocean; sponges</t>
  </si>
  <si>
    <t>SOUTHERN-OCEAN BENTHOS; BOUVET ISLAND; BIODIVERSITY; SPECIATION; DISPERSAL; PARADIGMS; DIVERSITY; ATLANTIC; INSIGHTS; ECOLOGY</t>
  </si>
  <si>
    <t>Biogeographical patterns among deep sea benthic communities in the Drake Passage remain poorly understood as a consequence of poor sampling resolution and the spatial remoteness of many sea floor features. Hard-bottom features, including at least 20 seamounts, remain uncharacterized with respect to their benthic megafaunal community assemblages. Here, we present community assemblage patterns from several locations across the Drake Passage to better understand the faunal relationships between deep sea floor communities in the region. Towed camera surveys were conducted on nine topographical features ranging from shelf environments on the southern Chilean Margin, the western Antarctic Peninsula shelf and seamounts in the central Drake Passage. These are the first quantitative measurements of megafaunal abundance at two seamount complexes in the central Drake Passage and multivariate analyses are used to examine the factors influencing species distributions. Three biogeographical groupings were identified based on species assemblages and environmental variables specific to major water mass boundaries in the region: sub-Antarctic Mode Water (318-523 m), Antarctic Intermediate Water (504-1128 m) and Circumpolar Deep Water (1837-3034 m). Further examination of megafaunal associations between sea floor structures may provide clues as to how sub-Antarctic communities are connected throughout the greater Southern Ocean.</t>
  </si>
  <si>
    <t>[Auscavitch, Steven R.; Waller, Rhian G.] Univ Maine, Darling Marine Ctr, Walpole, ME 04573 USA</t>
  </si>
  <si>
    <t>University of Maine System; University of Maine Orono</t>
  </si>
  <si>
    <t>Auscavitch, SR (corresponding author), Univ Maine, Darling Marine Ctr, Walpole, ME 04573 USA.</t>
  </si>
  <si>
    <t>steven.auscavitch@temple.edu</t>
  </si>
  <si>
    <t>Waller, Rhian G/C-9000-2009</t>
  </si>
  <si>
    <t>Auscavitch, Steven/0000-0001-5777-4814</t>
  </si>
  <si>
    <t>NSF Office of Polar Program [OPP #1127582, OPP #0636787]</t>
  </si>
  <si>
    <t>NSF Office of Polar Program(National Science Foundation (NSF))</t>
  </si>
  <si>
    <t>We would like to thank the efforts of the science party and crew of the RV Nathaniel B. Palmer on cruises NBP11-03 and NBP08-05. Also, a special thanks to K. Scanlon and S. Hoy for helping to prepare seafloor mapping products, as well as D. Villeneuve for processing sea floor imagery. Valuable species identification assistance was provided by L. Allcock, K. Eckelbarger, L. Grange, E. Rodriguez, M. Taylor and L. Watling. Finally, we would like to thank three anonymous reviewers for comments and suggestions that greatly improved the quality of the final manuscript. Funding for this project was awarded to Rhian Waller and Laura Robinson under NSF Office of Polar Program grants OPP #0636787 (Robinson &amp; Waller) and OPP #1127582 (Waller &amp; Robinson).</t>
  </si>
  <si>
    <t>10.1017/S0954102017000256</t>
  </si>
  <si>
    <t>WOS:000423172800007</t>
  </si>
  <si>
    <t>Li, XW; Wang, XD; Wang, C; Zhang, L</t>
  </si>
  <si>
    <t>Li, Xinwu; Wang, Xingdong; Wang, Cheng; Zhang, Lu</t>
  </si>
  <si>
    <t>Antarctic snow melt detection based on the synergy of SSM/I and QuikSCAT</t>
  </si>
  <si>
    <t>microwave radiometer; microwave scatterometer; physical model; polar regions; synergistic algorithm</t>
  </si>
  <si>
    <t>GREENLAND ICE-SHEET; PASSIVE MICROWAVE MEASUREMENTS; SCATTEROMETER DATA; SATELLITE DATA; DURATION; VARIABILITY; REGIONS; PERIOD; SEASON; EXTENT</t>
  </si>
  <si>
    <t>Microwave radiometer SSM/I (Special Sensor Microwave Imager) data and scatterometer QuikSCAT (Quick Scatterometer) data have been widely used for near-surface snow melt detection based on their sensitivity to liquid water present in snow. The SSM/I data have high reliability and the QuikSCAT data have high spatial resolution. In order to improve the accuracy of Antarctic near-surface snow melt detection, we propose a new method based on the synergy of SSM/I and QuikSCAT data, i.e. the snow melt physical model incorporates the complementary advantages of both datasets. Based on comparisons with temperature data from three automatic weather stations, the proposed algorithm improved the accuracy of snow melt detection. The algorithm could also be applied to other regions, which would provide further evidence to support its use and additional data to document changes in the Antarctic due to global climate change.</t>
  </si>
  <si>
    <t>[Li, Xinwu; Wang, Xingdong; Wang, Cheng; Zhang, Lu] Chinese Acad Sci, Inst Remote Sensing &amp; Digital Earth, 9 Dengzhuang South Rd, Beijing 100094, Peoples R China; [Wang, Xingdong] Henan Univ Technol, Coll Informat Sci &amp; Engn, 1000 Lianhua Rd, Zhengzhou 450001, Henan, Peoples R China; [Wang, Xingdong] Fujian Normal Univ, Minist Educ, Fujian Prov Key Lab Photon Technol, Key Lab OptoElect Sci &amp; Technol Med, Fuzhou 350007, Fujian, Peoples R China</t>
  </si>
  <si>
    <t>Chinese Academy of Sciences; The Institute of Remote Sensing &amp; Digital Earth, CAS; Henan University of Technology; Fujian Normal University</t>
  </si>
  <si>
    <t>Wang, XD (corresponding author), Chinese Acad Sci, Inst Remote Sensing &amp; Digital Earth, 9 Dengzhuang South Rd, Beijing 100094, Peoples R China.;Wang, XD (corresponding author), Henan Univ Technol, Coll Informat Sci &amp; Engn, 1000 Lianhua Rd, Zhengzhou 450001, Henan, Peoples R China.;Wang, XD (corresponding author), Fujian Normal Univ, Minist Educ, Fujian Prov Key Lab Photon Technol, Key Lab OptoElect Sci &amp; Technol Med, Fuzhou 350007, Fujian, Peoples R China.</t>
  </si>
  <si>
    <t>Wang, Chengyi/AAZ-2450-2021; Lei, Ming/JAD-1050-2023; zhang, lu/GRO-2969-2022</t>
  </si>
  <si>
    <t>National Natural Science Foundation of China [41606209]; National Key Research and Development Program of China [2016YFB0501501]; Fujian Provincial Key Laboratory of Photonics Technology, Key Laboratory of Optoelectronic Science and Technology for Medicine of Ministry of Education, Fujian Normal University, China [JYG1707]; Polar Science Strategic Research Foundation of China [20150312]; Fundamental Research Funds for the Henan Provincial Colleges and Universities [2015QNJH16]; science and technology project of Zhengzhou Science and Technology Bureau [20150251]; high-level talent scientific research fund item of Henan University of Technology [150525]</t>
  </si>
  <si>
    <t>National Natural Science Foundation of China(National Natural Science Foundation of China (NSFC)); National Key Research and Development Program of China; Fujian Provincial Key Laboratory of Photonics Technology, Key Laboratory of Optoelectronic Science and Technology for Medicine of Ministry of Education, Fujian Normal University, China; Polar Science Strategic Research Foundation of China; Fundamental Research Funds for the Henan Provincial Colleges and Universities; science and technology project of Zhengzhou Science and Technology Bureau; high-level talent scientific research fund item of Henan University of Technology</t>
  </si>
  <si>
    <t>This research was supported by the National Natural Science Foundation of China (No. 41606209); the National Key Research and Development Program of China (No. 2016YFB0501501), Fujian Provincial Key Laboratory of Photonics Technology, Key Laboratory of Optoelectronic Science and Technology for Medicine of Ministry of Education, Fujian Normal University, China (No. JYG1707); Polar Science Strategic Research Foundation of China (No. 20150312); the Fundamental Research Funds for the Henan Provincial Colleges and Universities (No. 2015QNJH16); the science and technology project of Zhengzhou Science and Technology Bureau (No. 20150251); and high-level talent scientific research fund item of Henan University of Technology (No. 150525). We thank the Editor and the anonymous reviewers for their time and effort, which significantly improved this manuscript.</t>
  </si>
  <si>
    <t>10.1017/S0954102017000268</t>
  </si>
  <si>
    <t>WOS:000423172800010</t>
  </si>
  <si>
    <t>Xu, HG; Zhao, M; Zheng, KK; Wei, YL; Yan, L; Liang, MQ</t>
  </si>
  <si>
    <t>Xu, H. G.; Zhao, M.; Zheng, K. K.; Wei, Y. L.; Yan, L.; Liang, M. Q.</t>
  </si>
  <si>
    <t>Antarctic krill (Euphausia superba) meal in the diets improved the reproductive performance of tongue sole (Cynoglossus semilaevis) broodstock</t>
  </si>
  <si>
    <t>AQUACULTURE NUTRITION</t>
  </si>
  <si>
    <t>broodstock diet; Cynoglossus semilaevis; egg quality; krill meal; larval quality; spawning performance</t>
  </si>
  <si>
    <t>SALMON SALMO-SALAR; FATTY-ACID-COMPOSITION; YELLOWFIN SEA BREAM; VITAMIN-A ACTIVITY; COD GADUS-MORHUA; SPAWNING PERFORMANCE; ATLANTIC SALMON; EGG QUALITY; FISH-MEAL; LARVAL QUALITY</t>
  </si>
  <si>
    <t>A three-month feeding trial was conducted to investigate the effects of dietary krill meal on the reproductive performance of tongue sole broodstock. Three diets were formulated to contain different levels of krill meal, 0 (Diet K-0), 10 (K-100) and 200 (K-200) g kg(-1) dry matter, replacing the corresponding contents of protein and lipid from fishmeal and fish oil. Each diet was assigned to triplicate tanks. Compared with K-0, both K-100 and K-200 increased the egg properties such as buoyant eggs rate, egg diameter, oil droplet diameter and SOD activity of the fertilized egg. However, the maturation rate, serum estradiol content, the relative fecundity and hatching rate were improved only by K-100. The krill meal supplementation increased the concentrations of astaxanthin and n-3 fatty acids in eggs, but decreased the n-6 fatty acid concentrations. Both K-100 and K-200 increased the survival activity index, but the larval deformity rate was decreased only by K-100. At 15 DPH, the larval length and the digestive enzyme activities were significantly higher in group K-200 compared with groups K-0 and K-100. In conclusion, dietary supplementation of krill meal, at the level of 100 or 200 g kg(-1) dry matter in exchange of fishmeal and fish oil had the considerable positive effects on C.semilaevis reproduction.</t>
  </si>
  <si>
    <t>[Xu, H. G.; Zhao, M.; Zheng, K. K.; Wei, Y. L.; Liang, M. Q.] Chinese Acad Fishery Sci, Yellow Sea Fisheries Res Inst, Qingdao, Peoples R China; [Xu, H. G.; Zheng, K. K.; Liang, M. Q.] Qingdao Natl Lab Marine Sci &amp; Technol, Lab Marine Fisheries Sci &amp; Food Prod Proc, Qingdao, Peoples R China; [Zhao, M.; Yan, L.] Newhope Liuhe Co Ltd, Beijing, Peoples R China</t>
  </si>
  <si>
    <t>Chinese Academy of Fishery Sciences; Yellow Sea Fisheries Research Institute, CAFS; Laoshan Laboratory</t>
  </si>
  <si>
    <t>Liang, MQ (corresponding author), Chinese Acad Fishery Sci, Yellow Sea Fisheries Res Inst, Qingdao, Peoples R China.</t>
  </si>
  <si>
    <t>liangmq@ysfri.ac.cn</t>
  </si>
  <si>
    <t>Wei, Yuliang/AAI-9936-2020; Xu, Houguo/AAF-3014-2019</t>
  </si>
  <si>
    <t>Xu, Houguo/0000-0002-1000-9928</t>
  </si>
  <si>
    <t>Modern Agro-industry Technology Research System of China Government [CARS-50-G08]; National Natural Science Foundation of China [31402309]</t>
  </si>
  <si>
    <t>Modern Agro-industry Technology Research System of China Government; National Natural Science Foundation of China(National Natural Science Foundation of China (NSFC))</t>
  </si>
  <si>
    <t>Modern Agro-industry Technology Research System of China Government, Grant/Award Number: CARS-50-G08; National Natural Science Foundation of China, Grant/Award Number: 31402309.</t>
  </si>
  <si>
    <t>1353-5773</t>
  </si>
  <si>
    <t>1365-2095</t>
  </si>
  <si>
    <t>AQUACULT NUTR</t>
  </si>
  <si>
    <t>Aquac. Nutr.</t>
  </si>
  <si>
    <t>10.1111/anu.12503</t>
  </si>
  <si>
    <t>FM4IQ</t>
  </si>
  <si>
    <t>WOS:000414979400010</t>
  </si>
  <si>
    <t>Loring, PH; Ronconi, RA; Welch, LJ; Taylor, PD; Mallory, ML</t>
  </si>
  <si>
    <t>Loring, Pamela H.; Ronconi, Robert A.; Welch, Linda J.; Taylor, Philip D.; Mallory, Mark L.</t>
  </si>
  <si>
    <t>Postbreeding dispersal and staging of Common and Arctic Terns throughout the western North Atlantic</t>
  </si>
  <si>
    <t>AVIAN CONSERVATION AND ECOLOGY</t>
  </si>
  <si>
    <t>Arctic Tern; automated radio telemetry; Common Tern; dispersal; seabird; staging; Sterna hirundo; Sterna paradisaea; very high frequency (VHF) tags</t>
  </si>
  <si>
    <t>ROSEATE TERNS; HABITAT USE; MIGRATION; TRACKING; SEABIRD; ISLAND; POPULATIONS; ECOLOGY</t>
  </si>
  <si>
    <t>In the western North Atlantic, Common (Sterna hirundo) and Arctic (S. paradisaea) Terns are sympatric at breeding colonies but show divergent migration strategies to coastal areas of South America and pelagic regions of the Antarctic, respectively. During 2013, we studied postbreeding movements of adult Common (n = 130) and Arctic (n = 52) Terns from four breeding colonies in the eastern USA and Canada using digital very high frequency (VHF) transmitters and an array of 62 automated radio telemetry towers. Relative to hatch dates at respective colonies, Arctic Terns departed breeding sites an average of eight days later than Common Terns. Common Terns were detected during the postbreeding period by coastal towers upward of 850 km south of their original nesting sites. The telemetry array detected postbreeding movements of Arctic Terns from the Petit Manan Island colony in the Gulf of Maine as they traveled eastward past Nova Scotia, Canada, mostly during the night. Nantucket Sound, Massachusetts, USA was identified as an important staging area for Common Terns from all colonies, whereby 26% of 53 tagged Common Terns from colonies in the Gulf of Maine and Canada were detected for up to three weeks. Common Terns typically arrived at Nantucket Sound within 2 h of sunset, 2 to 10 days after their last detection at Gulf of Maine and Canadian colonies, suggesting rapid postbreeding dispersal. Postbreeding dispersal of Arctic Terns was poorly documented with the telemetry array, suggesting that this species is not using coastal sites for staging, and is instead departing directly from colonies to offshore staging areas prior to long-distance migrations. We conclude that digital VHF telemetry is a useful method for monitoring regional movements of Common Terns, but additional offshore receiving stations are needed to effectively monitor movements of Arctic Terns away from their nesting colonies.</t>
  </si>
  <si>
    <t>[Loring, Pamela H.] Univ Massachusetts Amherst, Amherst, MA 01003 USA; [Loring, Pamela H.] US Fish &amp; Wildlife Serv, Div Migratory Birds, Washington, DC USA; [Ronconi, Robert A.; Taylor, Philip D.; Mallory, Mark L.] Acadia Univ, Wolfville, NS, Canada; [Ronconi, Robert A.] Canadian Wildlife Serv, Environm &amp; Climate Change Canada, Sackville, NB, Canada; [Welch, Linda J.] US Fish &amp; Wildlife Serv, Maine Coastal Isl NWR, Washington, DC USA</t>
  </si>
  <si>
    <t>University of Massachusetts System; University of Massachusetts Amherst; United States Department of the Interior; US Fish &amp; Wildlife Service; Acadia University; Environment &amp; Climate Change Canada; Canadian Wildlife Service; United States Department of the Interior; US Fish &amp; Wildlife Service</t>
  </si>
  <si>
    <t>Loring, PH (corresponding author), 160 Holdsworth Way, Amherst, MA 01003 USA.</t>
  </si>
  <si>
    <t>ploring@eco.umass.edu</t>
  </si>
  <si>
    <t>Mallory, Mark L/A-1952-2017</t>
  </si>
  <si>
    <t>U.S. Department of the Interior, Bureau of Ocean Energy Management [M13PG00012]; U.S. Department of the Interior, Fish and Wildlife Service; U.S. Fish and Wildlife Service Division of Migratory Birds, Northeast Region; National Science Foundation IGERT Offshore Wind Energy Program; Encana Corporation Research and Development Fund; Natural Sciences and Engineering Research Council (NSERC) Collaborative Research and Development grant; Canadian Wildlife Federation; Environment Canada</t>
  </si>
  <si>
    <t>U.S. Department of the Interior, Bureau of Ocean Energy Management; U.S. Department of the Interior, Fish and Wildlife Service(US Fish &amp; Wildlife Service); U.S. Fish and Wildlife Service Division of Migratory Birds, Northeast Region; National Science Foundation IGERT Offshore Wind Energy Program; Encana Corporation Research and Development Fund; Natural Sciences and Engineering Research Council (NSERC) Collaborative Research and Development grant(Natural Sciences and Engineering Research Council of Canada (NSERC)); Canadian Wildlife Federation; Environment Canada(CGIAR)</t>
  </si>
  <si>
    <t>This study was funded in part by the U.S. Department of the Interior, Bureau of Ocean Energy Management through Interagency Agreement M13PG00012 with the U.S. Department of the Interior, Fish and Wildlife Service. Work in Nantucket Sound was also funded in part by the U.S. Fish and Wildlife Service Division of Migratory Birds, Northeast Region; and the National Science Foundation IGERT Offshore Wind Energy Program with logistical support from Eastern Massachusetts National Wildlife Refuge Complex, the Nantucket Conservation Foundation, the Nantucket Island Land Bank, and the University of Rhode Island. Work on Country Island and Sable Island was funded by Encana Corporation Research and Development Fund, Natural Sciences and Engineering Research Council (NSERC) Collaborative Research and Development grant, Canadian Wildlife Federation, and Environment Canada, with in-kind support from Department of Fisheries and Oceans and the Meteorological Service of Canada. The manuscript benefited from the extensive comments of several anonymous referees. For advice, assistance, and support from all projects we thank the following individuals: Karen Beattie, Matt Boarman, John Brzustowski, Zoe Crysler, Danielle Fife, Curt Griffin, Sarah Gutowski, Kate Iaquinto, Scott Johnston, Brian Lang, Stephanie Koch, Peter Paton, Blair Perkins, Ingrid Pollet, Caleb Spiegel, Eric Savetsky, Paul Sievert, Jessica Stephens, Brett Still, and the field crew at Country Island. The findings and conclusions in this article are those of the author(s) and do not necessarily represent the views of the U.S. Fish and Wildlife Service.</t>
  </si>
  <si>
    <t>1712-6568</t>
  </si>
  <si>
    <t>AVIAN CONSERV ECOL</t>
  </si>
  <si>
    <t>Avian Conserv. Ecol.</t>
  </si>
  <si>
    <t>10.5751/ACE-01086-120220</t>
  </si>
  <si>
    <t>Biodiversity Conservation; Ecology; Ornithology</t>
  </si>
  <si>
    <t>FR8TJ</t>
  </si>
  <si>
    <t>WOS:000419347000011</t>
  </si>
  <si>
    <t>Schwartz, TM; Fosdick, JC; Graham, SA</t>
  </si>
  <si>
    <t>Schwartz, Theresa M.; Fosdick, Julie C.; Graham, Stephan A.</t>
  </si>
  <si>
    <t>Using detrital zircon U-Pb ages to calculate Late Cretaceous sedimentation rates in the Magallanes-Austral basin, Patagonia</t>
  </si>
  <si>
    <t>BASIN RESEARCH</t>
  </si>
  <si>
    <t>TRES PASOS FORMATION; SOUTHERNMOST SOUTH-AMERICA; CERRO-TORO FORMATION; FORELAND-BASIN; BACK-ARC; HOLOCENE PROGRADATION; STRATIGRAPHIC RECORD; ANTARCTIC PENINSULA; PROVENANCE ANALYSIS; ANDES OROGENY</t>
  </si>
  <si>
    <t>Determining both short- and long-term sedimentation rates is becoming increasingly important in geomorphic (exhumation and sediment flux), structural (subsidence/flexure) and natural resource (predictive modelling) studies. Determining sedimentation rates for ancient sedimentary sequences is often hampered by poor understanding of stratigraphic architecture, long-term variability in large-scale sediment dispersal patterns and inconsistent availability of absolute age data. Uranium-Lead (U-Pb) detrital zircon (DZ) geochronology is not only a popular method to determine the provenance of siliciclastic sedimentary rocks but also helps delimit the age of sedimentary sequences, especially in basins associated with protracted volcanism. This study assesses the reliability of U-Pb DZ ages as proxies for depositional ages of Upper Cretaceous strata in the Magallanes-Austral retroarc foreland basin of Patagonia. Progressive younging of maximum depositional ages (MDAs) calculated from young zircon populations in the Upper Cretaceous Dorotea Formation suggests that the MDAs are potential proxies for absolute age, and constrain the age of the Dorotea Formation to be ca. 82-69 Ma. Even if the MDAs do not truly represent ages of contemporaneous volcanic eruptions in the arc, they may still indicate progressive-but-lagged delivery of increasingly younger volcanogenic zircon to the basin. In this case, MDAs may still be a means to determine long-term (1-2Myr) average sedimentation rates. Burial history models built using the MDAs reveal high aggradation rates during an initial, deep-marine phase of the basin. As the basin shoaled to shelfal depths, aggradation rates decreased significantly and were outpaced by progradation of the deposystem. This transition is likely linked to eastward propagation of the Magallanes fold-thrust belt during Campanian-Maastrichtian time, and demonstrates the influence of predecessor basin history on foreland basin dynamics.</t>
  </si>
  <si>
    <t>[Schwartz, Theresa M.] Allegheny Coll, Dept Geol, 520 North Main St, Meadville, PA 16335 USA; [Fosdick, Julie C.] Indiana Univ, Dept Geol Sci, Bloomington, IN 47405 USA; [Graham, Stephan A.] Stanford Univ, Dept Geol Sci, Stanford, CA 94305 USA</t>
  </si>
  <si>
    <t>Allegheny College; Indiana University System; Indiana University Bloomington; Stanford University</t>
  </si>
  <si>
    <t>Schwartz, TM (corresponding author), Allegheny Coll, Dept Geol, 520 North Main St, Meadville, PA 16335 USA.</t>
  </si>
  <si>
    <t>tschwartz@allegheny.edu</t>
  </si>
  <si>
    <t>Schwartz, Theresa/0000-0001-6606-4072</t>
  </si>
  <si>
    <t>Stanford Project on Deep-water Depositional Systems (SPODDS); NSF; NSF [EAR-1032156]; Directorate For Geosciences; Division Of Earth Sciences [1338583] Funding Source: National Science Foundation</t>
  </si>
  <si>
    <t>Stanford Project on Deep-water Depositional Systems (SPODDS); NSF(National Science Foundation (NSF)); NSF(National Science Foundation (NSF)); Directorate For Geosciences; Division Of Earth Sciences(National Science Foundation (NSF)NSF - Directorate for Geosciences (GEO))</t>
  </si>
  <si>
    <t>This project was supported by the Stanford Project on Deep-water Depositional Systems (SPODDS). Author TMS gratefully acknowledges support from the NSF Graduate Research Fellowship. The Arizona LaserChron Center (supported by NSF EAR-1032156) provided valuable analytical expertise and guidance. New fossil data were provided by Marcelo Leppe, Enrique Bostelmann and their students. We thank Matt Malkowski, Brian Romans and Steve Hubbard for valuable insight. This manuscript benefitted greatly from reviews by M.G. Fellin, K. Surpless and editor S. Castelltort.</t>
  </si>
  <si>
    <t>0950-091X</t>
  </si>
  <si>
    <t>1365-2117</t>
  </si>
  <si>
    <t>BASIN RES</t>
  </si>
  <si>
    <t>Basin Res.</t>
  </si>
  <si>
    <t>10.1111/bre.12198</t>
  </si>
  <si>
    <t>FL6FK</t>
  </si>
  <si>
    <t>WOS:000414340400002</t>
  </si>
  <si>
    <t>Fasanella, M; Premoli, AC; Urdampilleta, JD; González, ML; Chiapella, JO</t>
  </si>
  <si>
    <t>Fasanella, Mariana; Premoli, Andrea C.; Urdampilleta, Juan D.; Laura Gonzalez, Maria; Chiapella, Jorge O.</t>
  </si>
  <si>
    <t>How did a grass reach Antarctica? The Patagonian connection of Deschampsia antarctica (Poaceae)</t>
  </si>
  <si>
    <t>BOTANICAL JOURNAL OF THE LINNEAN SOCIETY</t>
  </si>
  <si>
    <t>Antarctic hair grass; chloroplast DNA; DIYABC; ITS; long-distance dispersal; Patagonia; Pleistocene</t>
  </si>
  <si>
    <t>LAST GLACIAL MAXIMUM; KING-GEORGE-ISLAND; COLOBANTHUS-QUITENSIS; SOUTHERN-HEMISPHERE; VASCULAR PLANTS; POPULATION-STRUCTURE; NONCODING REGIONS; GENETIC DIVERSITY; HISTORY; PHYLOGEOGRAPHY</t>
  </si>
  <si>
    <t>Deschampsia antarctica is the only grass naturally occurring in Antarctica, and it is also indigenous to southern South America. We aimed to evaluate patterns of within-population genetic diversity and between the focal areas Patagonia and Antarctica by using 144 sequences of nuclear internal transcribed spacer and non-coding plastid regions. We analysed phylogenetic relationships between these two main areas and performed demographic and landscape analysis. To test the divergence time between Antarctic and Patagonian populations we used approximate Bayesian computation. We found 17 nuclear and eight plastid haplotypes. For both molecular markers, Patagonia was the most genetically variable area in the range of D. antarctica. The divergence time between populations from Antarctica and Patagonia was dated to the mid to late Pleistocene. The large number of private haplotypes found in Patagonia and the great genetic variability support the hypothesis of a South American origin of the Antarctic populations of D. antarctica. Finally, we suggest that D. antarctica probably survived the Last Glacial Maximum and possibly earlier glaciations in ice-free refugia in Patagonia and Antarctica. Dispersal to Antarctica possibly occurred in the mid to late Pleistocene through bird-aided long-distance transport from South America.</t>
  </si>
  <si>
    <t>[Fasanella, Mariana; Premoli, Andrea C.] Univ Nacl Comahue, CONICET, INIBIOMA, Lab Ecotono, Pasaje Gutierrez 1125, RA-8400 San Carlos De Bariloche, Rio Negro, Argentina; [Urdampilleta, Juan D.; Laura Gonzalez, Maria; Chiapella, Jorge O.] Univ Nacl Cordoba, CONICET, IMBIV, Inst Multidisciplinario Biol Vegetal, CC 495, Cordoba, Argentina; [Chiapella, Jorge O.] Univ Vienna, Fac Life Sci, Dept Bot &amp; Biodivers Res, Rennweg 14, A-1030 Vienna, Austria</t>
  </si>
  <si>
    <t>Consejo Nacional de Investigaciones Cientificas y Tecnicas (CONICET); Universidad Nacional del Comahue; Consejo Nacional de Investigaciones Cientificas y Tecnicas (CONICET); National University of Cordoba; University of Vienna</t>
  </si>
  <si>
    <t>Fasanella, M (corresponding author), Univ Nacl Comahue, CONICET, INIBIOMA, Lab Ecotono, Pasaje Gutierrez 1125, RA-8400 San Carlos De Bariloche, Rio Negro, Argentina.</t>
  </si>
  <si>
    <t>marianfasanella@gmail.com</t>
  </si>
  <si>
    <t>Chiapella, Jorge O./AAI-2433-2021; PREMOLI, ANDREA C./JFL-0693-2023</t>
  </si>
  <si>
    <t>Chiapella, Jorge O./0000-0003-1686-1211; Urdampilleta, Juan Domingo/0000-0001-9922-2866</t>
  </si>
  <si>
    <t>ANPCyT-DNA [PICTO 2010-0095]</t>
  </si>
  <si>
    <t>ANPCyT-DNA</t>
  </si>
  <si>
    <t>This work was funded by project PICTO 2010-0095 (ANPCyT-DNA). The authors thank N. Coria of the Instituto Nacional del Antartico (IAA), the Direccion Nacional del Antartico (DNA) and the personnel of the Carlini Station for logistic support during fieldwork in Antarctica. We thank A. Passo and J. M. Rodriguez for helping with sample collection, P. Mathiasen for helping with analysis and Figure 4 and J. Kuhl (University of Idaho) and W. Till (University of Vienna) for reading the manuscript and making valuable suggestions.</t>
  </si>
  <si>
    <t>0024-4074</t>
  </si>
  <si>
    <t>1095-8339</t>
  </si>
  <si>
    <t>BOT J LINN SOC</t>
  </si>
  <si>
    <t>Bot. J. Linnean Soc.</t>
  </si>
  <si>
    <t>10.1093/botlinnean/box070</t>
  </si>
  <si>
    <t>FT6DI</t>
  </si>
  <si>
    <t>WOS:000423242900005</t>
  </si>
  <si>
    <t>Toro, R; Araya, C; Labra, F; Morales, L; Morales, RGE; Leiva, MA</t>
  </si>
  <si>
    <t>Toro A, Richard; Araya, Consuelo; Labra O, Felipe; Morales, Luis; Morales, Raul G. E.; Leiva G, Manuel A.</t>
  </si>
  <si>
    <t>Trend and recovery of the total ozone column in South America and Antarctica</t>
  </si>
  <si>
    <t>Total ozone column; Long-term trend analysis; Theil-Sen estimator; Decadal variation; Multiple linear regression</t>
  </si>
  <si>
    <t>QUASI-BIENNIAL OSCILLATION; PUNTA-ARENAS; INTERANNUAL VARIABILITY; ATMOSPHERIC DYNAMICS; EXTRATROPICAL OZONE; EXTREME EVENTS; SUNSPOT CYCLE; CHEMISTRY; DEPLETION; AROSA</t>
  </si>
  <si>
    <t>South America is one of the most vulnerable areas to stratospheric ozone depletion; consequently, an increased amount of UV radiation reaches the Earth's surface in this region. In this study, we analyzed the long-term trend in the total ozone column (TOC) over the southern part of the South American continent from 1980 to 2009. The database used was obtained by combining several satellite measurements of the TOC on a 1A degrees (latitude) x 1.25A degrees (longitude) grid. Analysis of the long-term trend was performed by applying the Theil-Sen estimator and the Mann-Kendall significance test to the deseasonalized time series. The long-term trend was also analyzed over several highly populated urban zones in the study area. Finally, multiple linear regression (MLR) modeling was used to identify and quantify the drivers of interannual variability in the TOC over the study area with a pixel-by-pixel approach. The results showed a decrease in the TOC ranging from -0.3 to -4% dec(-1) from 1980 to 2009. On a decadal timescale, there is significant variability in this trend, and a decrease of more than -10% dec(-1) was found at high latitudes (1980-1989). However, the trends obtained over much of the study area were not statistically significant. Considering the period from 1980 to 1995, we found a decrease in the TOC of -2.0 +/- 0.6% dec(-1) at latitudes below 40A degrees S and -6.9 +/- 2.0% dec(-1) at latitudes above 40A degrees S, for a 99.9% confidence level over most of the study area. Analysis of the period from 1996 to 2009 showed a statistically significant increase of 2.3 +/- 0.1% dec(-1) at high latitudes (&gt; 60A degrees S), confirming the initial TOC recovery in the Antarctic. Despite evidence for initial recovery of the TOC in some parts of the study area between 1996 and 2009, the long-term increase from September to November is not yet statistically significant. In addition, large parts of the study area and most of the urban areas continue to show a decreasing trend in the TOC. The MLR results show that at high latitudes, the main driver of interannual variability in the TOC is the total effective amount of halogens, followed by the eddy heat flux.</t>
  </si>
  <si>
    <t>[Toro A, Richard; Araya, Consuelo; Morales, Raul G. E.; Leiva G, Manuel A.] Univ Chile, Dept Chem, Fac Sci, Las Palmeras 3425,PO 7800003, Santiago, Chile; [Toro A, Richard; Araya, Consuelo; Morales, Raul G. E.; Leiva G, Manuel A.] Univ Chile, Ctr Environm Sci, Fac Sci, Las Palmeras 3425,PO 7800003, Santiago, Chile; [Labra O, Felipe; Morales, Luis] Univ Chile, Fac Agr Sci, Av Santa Rosa 11315,PO 8820808, Santiago, Chile</t>
  </si>
  <si>
    <t>Universidad de Chile; Universidad de Chile; Universidad de Chile</t>
  </si>
  <si>
    <t>Leiva, MA (corresponding author), Univ Chile, Dept Chem, Fac Sci, Las Palmeras 3425,PO 7800003, Santiago, Chile.;Leiva, MA (corresponding author), Univ Chile, Ctr Environm Sci, Fac Sci, Las Palmeras 3425,PO 7800003, Santiago, Chile.</t>
  </si>
  <si>
    <t>manleiva@uchile.cl</t>
  </si>
  <si>
    <t>Leiva, Manuel A/E-7069-2012; Morales-Salinas, Luis/B-5545-2014; Leiva, Manuel/HSE-3703-2023; Leiva, Manuel/AAV-7772-2020; Toro Araya, Richard E./J-7586-2018</t>
  </si>
  <si>
    <t>Leiva, Manuel A/0000-0001-8891-0399; Leiva, Manuel/0000-0001-8891-0399; Toro Araya, Richard E./0000-0002-4741-0504; Labra-Oyanedel, Felipe/0009-0008-4631-5549</t>
  </si>
  <si>
    <t>National Fund for Scientific and Technological Research (FONDECYT, in Spanish) [3140474]; Vicerrectoria de Investigacion y Desarrollo, Universidad de Chile (ENLACE-FONDECYT/VID); Research Support Program, Facultad de Ciencias, Universidad de Chile (PAIFAC)</t>
  </si>
  <si>
    <t>National Fund for Scientific and Technological Research (FONDECYT, in Spanish); Vicerrectoria de Investigacion y Desarrollo, Universidad de Chile (ENLACE-FONDECYT/VID); Research Support Program, Facultad de Ciencias, Universidad de Chile (PAIFAC)</t>
  </si>
  <si>
    <t>We acknowledge financial support from postdoctoral project No. 3140474, awarded by the National Fund for Scientific and Technological Research (FONDECYT, in Spanish), as well as partial financial support from the Vicerrectoria de Investigacion y Desarrollo, Universidad de Chile (ENLACE-FONDECYT/VID-2015) and Research Support Program, Facultad de Ciencias, Universidad de Chile (PAIFAC/2015). Finally, we thank Greg Bodeker of Bodeker Scientific for providing the combined total ozone column database and at Climate Prediction Center (CPC) of the National Oceanic and Atmospheric Administration (NOAA) for providing the eddy heat flux dataset.</t>
  </si>
  <si>
    <t>10.1007/s00382-017-3540-1</t>
  </si>
  <si>
    <t>WOS:000415579000006</t>
  </si>
  <si>
    <t>Wan, XM; Xiang, XR; Tang, SS; Yu, DH; Huang, H; Hu, Y</t>
  </si>
  <si>
    <t>Wan, Xiaomei; Xiang, Xinran; Tang, Susu; Yu, Dinghua; Huang, He; Hu, Yi</t>
  </si>
  <si>
    <t>Immobilization of Candida antarctic lipase B on MWNTs modified by ionic liquids with different functional groups</t>
  </si>
  <si>
    <t>Candida antarctic lipase B; Ionic liquids; Carbon nanotubes; Modification; Enzyme immobilization</t>
  </si>
  <si>
    <t>MULTIWALLED CARBON NANOTUBES; BURKHOLDERIA-CEPACIA LIPASE; MESOPOROUS SILICA; ENZYME IMMOBILIZATION; SBA-15; STABILITY</t>
  </si>
  <si>
    <t>Multiwalled carbon nanotubes (MWNTs) were modified by imidazole-based ionic liquids with different kinds of functional groups such as alkyl, carboxyl, amino and hydroxyl. The supports were used to immobilize Candida antarctic lipase B (CALB) and the influence of different functional groups of ionic liquids on enzymatic properties was investigated by the hydrolysis reaction of triacetin. The results revealed that the functionalization process did not destroy the structural integrity of MWNTs, and the enzymatic properities of CALB which immobilized on the MWNTs modified by ionic liquids with different kinds of functional groups were all improved. The hydroxyl functionalized ionic liquids which exhibited the best enzymatic properities was selected to investigate the effects of different carbon chain length on the enzymatic properties of immobilized CALB. Among them, CALB which immobilized on MWNTs modified by hydroxyl functionalized ionic liquid with suitable chain length (MWNTs-IL(8C)-OH-CALB) had the highest specific activity, with a specific activity of 18.11 times that of MWNTs-CALB. Furthermore, it also presented best thermal stability and reusability. The residual activity of MWNTs-IL(8C)-OH-CALB held over 64.01% of the initial activity after being incubated for 20 min at 70 C, and the residual activity was 85.56% after 4 cycles of use. (C) 2017 Elsevier B.V. All rights reserved.</t>
  </si>
  <si>
    <t>[Wan, Xiaomei; Xiang, Xinran; Tang, Susu; Yu, Dinghua; Huang, He; Hu, Yi] Nanjing Tech Univ, Sch Pharmaceut Sci, State Key Lab Mat Oriented Chem Engn, Nanjing 210009, Jiangsu, Peoples R China</t>
  </si>
  <si>
    <t>Hu, Y (corresponding author), Nanjing Tech Univ, 5 Xinmofan Rd, Nanjing 210009, Jiangsu, Peoples R China.</t>
  </si>
  <si>
    <t>Yu, Dinghua/0000-0002-2929-0385</t>
  </si>
  <si>
    <t>National Natural Science Foundation of China [21676143, 21406114]; Natural Science Foundation of Jiangsu Higher Education Institutions of China [14KJB530002]; Qing Lan Project; Program for Innovation Research Team in University of Jiangsu Province; Self-Owned Research Project from Key Laboratory of Material Oriented Chemical Engineering [ZK201603]</t>
  </si>
  <si>
    <t>National Natural Science Foundation of China(National Natural Science Foundation of China (NSFC)); Natural Science Foundation of Jiangsu Higher Education Institutions of China; Qing Lan Project(Jiangsu Polytech Institute); Program for Innovation Research Team in University of Jiangsu Province; Self-Owned Research Project from Key Laboratory of Material Oriented Chemical Engineering</t>
  </si>
  <si>
    <t>This work was financially supported by the National Natural Science Foundation of China (No. 21676143, No. 21406114), the Natural Science Foundation of Jiangsu Higher Education Institutions of China (14KJB530002), Qing Lan Project, Program for Innovation Research Team in University of Jiangsu Province, the Self-Owned Research Project from Key Laboratory of Material Oriented Chemical Engineering (Grant No. ZK201603).</t>
  </si>
  <si>
    <t>10.1016/j.colsurfb.2017.09.037</t>
  </si>
  <si>
    <t>FR3PL</t>
  </si>
  <si>
    <t>WOS:000418978500050</t>
  </si>
  <si>
    <t>Lee, JH; Suryaningtyas, IT; Yoon, TH; Shim, JM; Park, H; Kim, HW</t>
  </si>
  <si>
    <t>Lee, Ji-Hyun; Suryaningtyas, Indyaswan T.; Yoon, Tae-Ho; Shim, Jeong Min; Park, Hyun; Kim, Hyun-Woo</t>
  </si>
  <si>
    <t>Transcriptomic analysis of the hepatopancreas induced by eyestalk ablation in shrimp, Litopenaeus vannamei</t>
  </si>
  <si>
    <t>COMPARATIVE BIOCHEMISTRY AND PHYSIOLOGY D-GENOMICS &amp; PROTEOMICS</t>
  </si>
  <si>
    <t>Metabolism; Litopenaeus vannamei; Transcriptome; Shrimp; Molting</t>
  </si>
  <si>
    <t>PACIFIC WHITE SHRIMP; PANDALOPSIS-JAPONICA CLONING; INDUCED OVARIAN DEVELOPMENT; HYPERGLYCEMIC HORMONE CHH; MOLT-INHIBITING HORMONE; KURUMA PRAWN; TREHALOSE METABOLISM; SIGNALING PATHWAY; ANTARCTIC MIDGE; RNA-SEQ</t>
  </si>
  <si>
    <t>Although eyestalk ablation (ESA) is currently considered the most effective method to facilitate molting and maturation, its physiological responses are still not clearly explained in decapod crustaceans. In this study, we analyzed the hepatopancreatic transcriptomes of Litopenaeus vannamei after ESA using the Illumina Miseq platform. After screening 53,029 contigs with high cutoff values (fold change &gt; |10|; P-value &lt; 0.05; RPKM &gt; 1), we were able to identify 105 differentially expressed genes (DEGs), of which 100 were up-regulated and five were down-regulated. Kyoto Encyclopedia of Genes and Genomes (KEGG) pathway analysis showed that many DEGs were involved in the synthetic pathways for glycerol and trehalose, which are known to function as the major protectants under conditions of low temperature and osmotic stress in arthropods. Additional analysis of the other DEGs enabled us to classify them in four categories: immunity; cellular trafficking; transcriptional regulation; molting and maturation. Many DEGs were involved in immunity and stress responses, in particular the proPO activation system, which is the major immune and wound-healing system in arthropods. In addition to immunity and stress responses, we were also able to identify DEGs involved in molting and maturation processes (e.g., group I chitinase), as well as those involved in hormone metabolism and trafficking. Collectively, based on the transcriptomic analysis, ESA causes not only stress and immune responses, but also molting and maturation in L. vannamei. The DEGs identified in this study could be useful markers to understand the physiological responses that ESA induces in shrimp, such as molting, maturation, and immunity.</t>
  </si>
  <si>
    <t>[Lee, Ji-Hyun; Yoon, Tae-Ho; Kim, Hyun-Woo] Pukyong Natl Univ, Interdisciplinary Program Biomed Mech &amp; Elect Eng, Busan 608737, South Korea; [Suryaningtyas, Indyaswan T.; Kim, Hyun-Woo] Pukyong Natl Univ, Dept Marine Biol, Busan 608737, South Korea; [Shim, Jeong Min] Natl Inst Fisheries Res, East Sea Fisheries Res Inst, Kangnung 46083, South Korea; [Park, Hyun] Korea Ocean Res &amp; Dev Inst, Korea Polar Res Inst, Incheon, South Korea</t>
  </si>
  <si>
    <t>Pukyong National University; Pukyong National University; Korea Polar Research Institute (KOPRI); Korea Institute of Ocean Science &amp; Technology (KIOST)</t>
  </si>
  <si>
    <t>Kim, HW (corresponding author), Pukyong Natl Univ, Dept Marine Biol, Busan 608737, South Korea.</t>
  </si>
  <si>
    <t>kimhw@pknu.ac.kr</t>
  </si>
  <si>
    <t>Kim, Hyun-Woo/AFN-9184-2022</t>
  </si>
  <si>
    <t>Kim, Hyun-Woo/0000-0003-1357-5893; Park, Hyun/0000-0002-8055-2010</t>
  </si>
  <si>
    <t>Ministry of Oceans and Fisheries, Korea; National Institute of Fisheries Science [R2016031]</t>
  </si>
  <si>
    <t>Ministry of Oceans and Fisheries, Korea; National Institute of Fisheries Science</t>
  </si>
  <si>
    <t>This research was a part of the project titled 'Walleye Pollock stock management based on Marine Information &amp; Communication Technology', funded by the Ministry of Oceans and Fisheries, Korea. and a grant from the National Institute of Fisheries Science (R2016031).</t>
  </si>
  <si>
    <t>1744-117X</t>
  </si>
  <si>
    <t>1878-0407</t>
  </si>
  <si>
    <t>COMP BIOCHEM PHYS D</t>
  </si>
  <si>
    <t>Comp. Biochem. Physiol. D-Genomics Proteomics</t>
  </si>
  <si>
    <t>10.1016/j.cbd.2017.08.004</t>
  </si>
  <si>
    <t>Biochemistry &amp; Molecular Biology; Genetics &amp; Heredity</t>
  </si>
  <si>
    <t>FM2LB</t>
  </si>
  <si>
    <t>WOS:000414815200011</t>
  </si>
  <si>
    <t>Favier, V; Krinner, G; Amory, C; Gallée, H; Beaumet, J; Agosta, C</t>
  </si>
  <si>
    <t>Favier, Vincent; Krinner, Gerhard; Amory, Charles; Gallee, Hubert; Beaumet, Julien; Agosta, Cecile</t>
  </si>
  <si>
    <t>Antarctica-Regional Climate and Surface Mass Budget</t>
  </si>
  <si>
    <t>CURRENT CLIMATE CHANGE REPORTS</t>
  </si>
  <si>
    <t>Surface mass balance; Antarctica; Climate change; Regional modeling</t>
  </si>
  <si>
    <t>SEA-ICE EXTENT; DRONNING MAUD LAND; ADELIE LAND; SNOW ACCUMULATION; SOUTHERN-OCEAN; WEST ANTARCTICA; ATMOSPHERIC CIRCULATION; 20TH-CENTURY INCREASE; EAST ANTARCTICA; DEEP CONVECTION</t>
  </si>
  <si>
    <t>We review recent literature on atmospheric, surface ocean and sea-ice observations and modeling results in the Antarctic sector and relate the observed climatic trends with the potential changes in the surface mass balance (SMB) of the ice sheet since 1900. Estimates of regional scale SMB distribution and trends remain subject to large uncertainties. Approaches combining and comparing multiple satellite and model-based assessments of ice sheet mass balance aim at reducing these knowledge gaps. During the last decades, significant changes in atmospheric circulation occurred around Antarctica, due to the exceptional positive trend in the Southern Annular Mode and to the climate variability observed in the tropical Pacific at the end of the twentieth century. Even though climate over the East Antarctic Ice-Sheet remained quite stable, a warming and precipitation increase was observed over the West Antarctic Ice-Sheet and over the West Antarctic Peninsula (AP) during the twentieth century. However, the high regional climate variability overwhelms climate changes associated to human drivers of global temperature changes, as reflected by a slight recent decadal cooling trend over the AP. Climate models still fail to accurately reproduce the multi-decadal SMB trends at a regional scale, and progress has to be achieved in reproducing atmospheric circulation changes related to complex ocean/ice/atmosphere interactions. Complex processes are also still insufficiently considered, such as (1) specific polar atmospheric processes (clouds, drifting snow, and stable boundary layer physics), (2) surface firn physics involved in the surface drag variations, or in firn air depletion and albedo feedbacks. Finally, progress in reducing the uncertainties relative to projections of the future SMB of Antarctica will largely depend on climate model capability to correctly consider teleconnections with low and mid-latitudes, and on the ability to correct them for biases, taking into account the coupling between ocean, ice, and atmosphere in high southern latitudes.</t>
  </si>
  <si>
    <t>[Favier, Vincent; Krinner, Gerhard; Gallee, Hubert; Beaumet, Julien] UGA CNRS IRD G INP, Inst Geosci Environm, CS 40 700, F-38058 Grenoble 9, France; [Amory, Charles; Agosta, Cecile] Univ Liege, Dept Geog, Liege, Belgium</t>
  </si>
  <si>
    <t>Communaute Universite Grenoble Alpes; Universite Grenoble Alpes (UGA); University of Liege</t>
  </si>
  <si>
    <t>Favier, V (corresponding author), UGA CNRS IRD G INP, Inst Geosci Environm, CS 40 700, F-38058 Grenoble 9, France.</t>
  </si>
  <si>
    <t>Vincent.favier@univ-grenoble-alpes.fr; gerhard.krimier@univ-grenoble-alpes.fr; charles.ammy@ulg.ac.be; Hubert.gallee@univ-grenoble-alpes.fr; Julien.beaumet@univ-grenoble-alpes.fr; cecile.agosta@ulg.ac.be</t>
  </si>
  <si>
    <t>Agosta, Cécile/HLQ-5577-2023; Krinner, Gerhard/A-6450-2011; Agosta, Cécile/B-9625-2013; Krinner, Gerhard/AAB-8837-2022; Favier, Vincent/T-1936-2017</t>
  </si>
  <si>
    <t>Agosta, Cécile/0000-0003-4091-1653; Krinner, Gerhard/0000-0002-2959-5920; Favier, Vincent/0000-0001-6024-9498; Amory, Charles/0000-0002-5906-4303</t>
  </si>
  <si>
    <t>Agence Nationale de la Recherche [ANR-14-CE01-0001, ANR-16-CE01-0011]; Institut Paul-Emile Victor (IPEV); Agence Nationale de la Recherche (ANR) [ANR-16-CE01-0011, ANR-14-CE01-0001] Funding Source: Agence Nationale de la Recherche (ANR)</t>
  </si>
  <si>
    <t>Agence Nationale de la Recherche(Agence Nationale de la Recherche (ANR)); Institut Paul-Emile Victor (IPEV); Agence Nationale de la Recherche (ANR)(Agence Nationale de la Recherche (ANR))</t>
  </si>
  <si>
    <t>The authors acknowledge the support from Agence Nationale de la Recherche scientific for the scientific traverses in Antarctica and the associated research on climate and surface mass balance (projects ANR-14-CE01-0001 (ASUMA) and ANR-16-CE01-0011 (EAIIST)), and the support from Institut Paul-Emile Victor (IPEV) for the surface mass balance observatory in Antarctica (GLACIOCLIM-SAMBA). We also thank the two anonymous reviewers for their relevant comments.</t>
  </si>
  <si>
    <t>2198-6061</t>
  </si>
  <si>
    <t>CURR CLIM CHANGE REP</t>
  </si>
  <si>
    <t>Curr. Clim. Chang. Rep.</t>
  </si>
  <si>
    <t>10.1007/s40641-017-0072-z</t>
  </si>
  <si>
    <t>VI1KV</t>
  </si>
  <si>
    <t>WOS:000461109800012</t>
  </si>
  <si>
    <t>Asay-Davis, XS; Jourdain, NC; Nakayama, Y</t>
  </si>
  <si>
    <t>Asay-Davis, Xylar S.; Jourdain, Nicolas C.; Nakayama, Yoshihiro</t>
  </si>
  <si>
    <t>Developments in Simulating and Parameterizing Interactions Between the Southern Ocean and the Antarctic Ice Sheet</t>
  </si>
  <si>
    <t>Antarctica; Ice shelves; Ice sheet-ocean interactions; Ocean modeling; Marine ice sheet modeling; Icebergs</t>
  </si>
  <si>
    <t>Recent advances in both ocean modeling and melt parameterization in ice-sheet models point the way toward coupled ice sheet-ocean modeling, which is needed to quantify Antarctic mass loss and the resulting sea-level rise. The latest Antarctic ocean modeling shows that complex interactions between the atmosphere, sea ice, icebergs, bathymetric features, and ocean circulation on many scales determine which water masses reach ice-shelf cavities and how much heat is available to melt ice. Meanwhile, parameterizations of basal melting in standalone ice-sheet models have evolved from simplified, depth-dependent functions to more sophisticated models, accounting for ice-shelf basal topography, and the evolution of the sub-ice-shelf buoyant flow. The focus of recent work has been on better understanding processes or adding new model capabilities, but a broader community effort is needed in validating models against observations and producing melt-rate projections. Given time, community efforts in coupled ice sheet-ocean modeling, already underway, will tackle the considerable challenges involved in building, initializing, constraining, and performing projections with coupled models, leading to reduced uncertainties in Antarctica's contribution to future sea-level rise.</t>
  </si>
  <si>
    <t>[Asay-Davis, Xylar S.] Potsdam Inst Climate Impact Res PIK, POB 601203, D-14412 Potsdam, Germany; [Asay-Davis, Xylar S.] Los Alamos Natl Latoratory, T-3,MS-B216,POB 1663, Los Alamos, NM 87545 USA; [Jourdain, Nicolas C.] UGA CNRS IRD G INP, Inst Geosci Environm, CS 40700, F-38058 Grenoble 9, France; [Nakayama, Yoshihiro] CALTECH, Jet Prop Lab, 4800 Oak Grove Dr, Pasadena, CA 91109 USA</t>
  </si>
  <si>
    <t>Potsdam Institut fur Klimafolgenforschung; United States Department of Energy (DOE); Los Alamos National Laboratory; Communaute Universite Grenoble Alpes; Universite Grenoble Alpes (UGA); National Aeronautics &amp; Space Administration (NASA); NASA Jet Propulsion Laboratory (JPL); California Institute of Technology</t>
  </si>
  <si>
    <t>Asay-Davis, XS (corresponding author), Potsdam Inst Climate Impact Res PIK, POB 601203, D-14412 Potsdam, Germany.;Asay-Davis, XS (corresponding author), Los Alamos Natl Latoratory, T-3,MS-B216,POB 1663, Los Alamos, NM 87545 USA.</t>
  </si>
  <si>
    <t>xylar@lanl.gov; nicolas.jourdain@univ-grenoble-alpes.fr; Yoshihiro.Nakayama@jpl.nasa.gov</t>
  </si>
  <si>
    <t>Nakayama, Yoshihiro/R-4325-2019; Jourdain, Nicolas/B-6899-2015</t>
  </si>
  <si>
    <t>Nakayama, Yoshihiro/0000-0001-6543-529X; Jourdain, Nicolas/0000-0002-1372-2235; Asay-Davis, Xylar/0000-0002-1990-892X</t>
  </si>
  <si>
    <t>US Department of Energy, Office of Science, and Office of Biological and Environmental Research [DE-SC0013038]; CNRS; French National Research Agency (ANR) through the TROIS-AS project [ANR-15-CE01-0005-01]; Office of Science of the US Department of Energy [DE-AC02-05CH11231]; NASA Cryosphere program; NASA Modeling, Analysis, and Prediction program; Labex OSUG@2020 [ANR10 LABX56]; U.S. Department of Energy (DOE) [DE-SC0013038] Funding Source: U.S. Department of Energy (DOE)</t>
  </si>
  <si>
    <t>US Department of Energy, Office of Science, and Office of Biological and Environmental Research(United States Department of Energy (DOE)); CNRS(Centre National de la Recherche Scientifique (CNRS)); French National Research Agency (ANR) through the TROIS-AS project(Agence Nationale de la Recherche (ANR)); Office of Science of the US Department of Energy(United States Department of Energy (DOE)); NASA Cryosphere program; NASA Modeling, Analysis, and Prediction program(National Aeronautics &amp; Space Administration (NASA)); Labex OSUG@2020; U.S. Department of Energy (DOE)(United States Department of Energy (DOE))</t>
  </si>
  <si>
    <t>XAD is supported by the US Department of Energy, Office of Science, and Office of Biological and Environmental Research under award no. DE-SC0013038. NJ is funded by CNRS and the French National Research Agency (ANR) through the TROIS-AS (ANR-15-CE01-0005-01) project. NJ is involved in Labex OSUG@2020 (ANR10 LABX56) and is an Associate Investigator of the ARC Centre of Excellence for Climate System Science. YN is supported by an appointment to the NASA Postdoctoral Program; the NASA Cryosphere program; and the NASA Modeling, Analysis, and Prediction program. POPSICLES simulations presented in Fig. 2 used computing resources of the National Energy Research Scientific Computing Center (NERSC; supported by the Office of Science of the US Department of Energy under Contract DE-AC02-05CH11231).</t>
  </si>
  <si>
    <t>10.1007/s40641-017-0071-0</t>
  </si>
  <si>
    <t>WOS:000461109800013</t>
  </si>
  <si>
    <t>Kopp, RE; DeConto, RM; Bader, DA; Hay, CC; Horton, RM; Kulp, S; Oppenheimer, M; Pollard, D; Strauss, BH</t>
  </si>
  <si>
    <t>Kopp, Robert E.; DeConto, Robert M.; Bader, Daniel A.; Hay, Carling C.; Horton, Radley M.; Kulp, Scott; Oppenheimer, Michael; Pollard, David; Strauss, Benjamin H.</t>
  </si>
  <si>
    <t>Evolving Understanding of Antarctic Ice-Sheet Physics and Ambiguity in Probabilistic Sea-Level Projections</t>
  </si>
  <si>
    <t>EARTHS FUTURE</t>
  </si>
  <si>
    <t>sea level rise; ice sheet; coastal flooding; deep uncertainty; ambiguity</t>
  </si>
  <si>
    <t>OUTLET GLACIERS; CLIMATE; RISE; DYNAMICS; RETREAT; UNCERTAINTY; IMPACT; DRIVEN; CMIP5</t>
  </si>
  <si>
    <t>Mechanisms such as ice-shelf hydrofracturing and ice-cliff collapse may rapidly increase discharge from marine-based ice sheets. Here, we link a probabilistic framework for sea-level projections to a small ensemble of Antarctic ice-sheet (AIS) simulations incorporating these physical processes to explore their influence on global-mean sea-level (GMSL) and relative sea-level (RSL). We compare the new projections to past results using expert assessment and structured expert elicitation about AIS changes. Under high greenhouse gas emissions (Representative Concentration Pathway [RCP] 8.5), median projected 21st century GMSL rise increases from 79 to 146 cm. Without protective measures, revised median RSL projections would by 2100 submerge land currently home to 153 million people, an increase of 44 million. The use of a physical model, rather than simple parameterizations assuming constant acceleration of ice loss, increases forcing sensitivity: overlap between the central 90% of simulations for 2100 for RCP 8.5 (93-243 cm) and RCP 2.6 (26-98 cm) is minimal. By 2300, the gap between median GMSL estimates for RCP 8.5 and RCP 2.6 reaches &gt;10 m, with median RSL projections for RCP 8.5 jeopardizing land now occupied by 950 million people (versus 167 million for RCP 2.6). The minimal correlation between the contribution of AIS to GMSL by 2050 and that in 2100 and beyond implies current sea-level observations cannot exclude future extreme outcomes. The sensitivity of post-2050 projections to deeply uncertain physics highlights the need for robust decision and adaptive management frameworks.</t>
  </si>
  <si>
    <t>[Kopp, Robert E.; Hay, Carling C.] Rutgers State Univ, Dept Earth &amp; Planetary Sci, New Brunswick, NJ 08901 USA; [Kopp, Robert E.; Hay, Carling C.] Rutgers State Univ, Inst Earth Ocean &amp; Atmospher Sci, New Brunswick, NJ 08901 USA; [DeConto, Robert M.] Univ Massachusetts, Dept Geosci, Amherst, MA 01003 USA; [Bader, Daniel A.; Horton, Radley M.] Columbia Univ, Ctr Climate Syst Res, New York, NY USA; [Hay, Carling C.] Harvard Univ, Dept Earth &amp; Planetary Sci, 20 Oxford St, Cambridge, MA 02138 USA; [Hay, Carling C.] Boston Coll, Dept Earth &amp; Environm Sci, Boston, MA USA; [Horton, Radley M.] Lamont Doherty Earth Observ, Palisades, NY USA; [Kulp, Scott; Strauss, Benjamin H.] Climate Cent, Princeton, NJ USA; [Oppenheimer, Michael] Princeton Univ, Woodrow Wilson Sch Publ &amp; Int Affairs, Dept Geosci, Princeton, NJ 08544 USA; [Pollard, David] Penn State Univ, Earth &amp; Environm Syst Inst, University Pk, PA 16802 USA</t>
  </si>
  <si>
    <t>Rutgers University System; Rutgers University New Brunswick; Rutgers University System; Rutgers University New Brunswick; University of Massachusetts System; University of Massachusetts Amherst; Columbia University; Harvard University; Boston College; Columbia University; Princeton University; Pennsylvania Commonwealth System of Higher Education (PCSHE); Pennsylvania State University; Pennsylvania State University - University Park</t>
  </si>
  <si>
    <t>Kopp, RE (corresponding author), Rutgers State Univ, Dept Earth &amp; Planetary Sci, New Brunswick, NJ 08901 USA.;Kopp, RE (corresponding author), Rutgers State Univ, Inst Earth Ocean &amp; Atmospher Sci, New Brunswick, NJ 08901 USA.</t>
  </si>
  <si>
    <t>robert.kopp@rutgers.edu</t>
  </si>
  <si>
    <t>Kopp, Robert E/B-8822-2008; IPO, PAGES/JXY-7546-2024</t>
  </si>
  <si>
    <t>Oppenheimer, Michael/0000-0002-9708-5914; Bader, Daniel/0000-0002-1327-8381; Strauss, Benjamin/0000-0002-6856-6575; Horton, Radley/0000-0002-5574-9962; Kopp, Robert/0000-0003-4016-9428</t>
  </si>
  <si>
    <t>Rhodium Group as part of the Climate Impact Lab consortium; National Science Foundation [ICER-1663807, OCE-1202632 PlioMAX, AGS 1203910/1203792, ICER-1664013/1663693]; Directorate For Geosciences; Division Of Earth Sciences [1440015] Funding Source: National Science Foundation</t>
  </si>
  <si>
    <t>Rhodium Group as part of the Climate Impact Lab consortium; National Science Foundation(National Science Foundation (NSF)); Directorate For Geosciences; Division Of Earth Sciences(National Science Foundation (NSF)NSF - Directorate for Geosciences (GEO))</t>
  </si>
  <si>
    <t>R.E.K. was supported in part by a grant from Rhodium Group (for whom he has previously worked as a consultant), as part of the Climate Impact Lab consortium, and in part by a grant from the National Science Foundation (ICER-1663807). R.M.D. and D.P were supported by grants from the National Science Foundation (OCE-1202632 PlioMAX, AGS 1203910/1203792, and ICER-1664013/1663693). This paper is a contribution to PALSEA2 (Palaeo-Constraints on Sea-Level Rise), which is a working group of Past Global Changes/IMAGES (International Marine Past Global Change Study) and an International Focus Group of the International Union for Quaternary Research. We thank Climate Ready Boston for inspiring this paper. We acknowledge the World Climate Research Programme's Working Group on Coupled Modeling, which is responsible for CMIP, and we thank the climate modeling groups (listed in Supporting Information S1)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Code for generating sea-level projections is available in the ProjectSL (https://github.com/bobkopp/ProjectSL) and LocalizeSL (https://github.com/bobkopp/LocalizeSL) repositories on Github.</t>
  </si>
  <si>
    <t>2328-4277</t>
  </si>
  <si>
    <t>Earth Future</t>
  </si>
  <si>
    <t>10.1002/2017EF000663</t>
  </si>
  <si>
    <t>Environmental Sciences; Geosciences, Multidisciplinary; Meteorology &amp; Atmospheric Sciences</t>
  </si>
  <si>
    <t>Environmental Sciences &amp; Ecology; Geology; Meteorology &amp; Atmospheric Sciences</t>
  </si>
  <si>
    <t>FS8SH</t>
  </si>
  <si>
    <t>WOS:000422682700004</t>
  </si>
  <si>
    <t>Tolar, BB; Wallsgrove, NJ; Popp, BN; Hollibaugh, JT</t>
  </si>
  <si>
    <t>Tolar, Bradley B.; Wallsgrove, Natalie J.; Popp, Brian N.; Hollibaugh, James T.</t>
  </si>
  <si>
    <t>Oxidation of urea-derived nitrogen by thaumarchaeota-dominated marine nitrifying communities</t>
  </si>
  <si>
    <t>ENVIRONMENTAL MICROBIOLOGY</t>
  </si>
  <si>
    <t>AMMONIA-OXIDIZING ARCHAEA; ARCTIC-OCEAN; NITRIFICATION; DIVERSITY; BACTERIA; PACIFIC; WATERS; PH; ACIDIFICATION; ASSEMBLAGES</t>
  </si>
  <si>
    <t>Urea nitrogen has been proposed to contribute significantly to nitrification by marine thaumarchaeotes. These inferences are based on distributions of thaumarchaeote urease genes rather than activity measurements. We found that ammonia oxidation rates were always higher than oxidation rates of urea-derived N in samples from coastal Georgia, USA (means +/- SEM: 382 +/- 35 versus 73 +/- 24 nmolL(-1)d(-1), Mann-Whitney U-test p&lt;0.0001), and the South Atlantic Bight (20 +/- 8.8 versus 2.2 +/- 1.7 nmolL(-1)d(-1), p=0.026) but not the Gulf of Alaska (8.8 +/- 4.0 versus 1.5 +/- 0.6, p&gt;0.05). Urea-derived N was relatively more important in samples from Antarctic continental shelf waters, though the difference was not statistically significant (19.4 +/- 4.8 versus 12.0 +/- 2.7 nmolL(-1)d(-1), p&gt;0.05). We found only weak correlations between oxidation rates of urea-derived N and the abundance or transcription of putative Thaumarchaeota ureC genes. Dependence on urea-derived N does not appear to be directly related to pH or ammonium concentrations. Competition experiments and release of (NH3)-N-15 suggest that urea is hydrolyzed to ammonia intracellularly, then a portion is lost to the dissolved pool. The contribution of urea-derived N to nitrification appears to be minor in temperate coastal waters, but may represent a significant portion of the nitrification flux in Antarctic coastal waters.</t>
  </si>
  <si>
    <t>[Tolar, Bradley B.; Hollibaugh, James T.] Univ Georgia, Dept Marine Sci, Athens, GA 30602 USA; [Tolar, Bradley B.] Univ Georgia, Dept Microbiol, Athens, GA 30602 USA; [Wallsgrove, Natalie J.; Popp, Brian N.] Univ Hawaii, Dept Geol &amp; Geophys, Honolulu, HI 96822 USA; [Tolar, Bradley B.] Stanford Univ, Dept Earth Syst Sci, Stanford, CA 94305 USA</t>
  </si>
  <si>
    <t>University System of Georgia; University of Georgia; University System of Georgia; University of Georgia; University of Hawaii System; Stanford University</t>
  </si>
  <si>
    <t>Hollibaugh, JT (corresponding author), Univ Georgia, Dept Marine Sci, Athens, GA 30602 USA.</t>
  </si>
  <si>
    <t>aquadoc@uga.edu</t>
  </si>
  <si>
    <t>Popp, Brian/0000-0001-7021-5478; Tolar, Bradley/0000-0003-0493-1470</t>
  </si>
  <si>
    <t>NSF [ANT 08-23101, OCE 11-53930, OCE 12-34388]; U.S. National Science Foundation [ANT 08-38996, OCE 06-20959, OCE 10-29742, OCE 11-29260]; Division Of Ocean Sciences; Directorate For Geosciences [1237140] Funding Source: National Science Foundation; Division Of Ocean Sciences; Directorate For Geosciences [1335838] Funding Source: National Science Foundation</t>
  </si>
  <si>
    <t>NSF(National Science Foundation (NSF)); U.S. National Science Foundation(National Science Foundation (NSF)); Division Of Ocean Sciences; Directorate For Geosciences(National Science Foundation (NSF)NSF - Directorate for Geosciences (GEO)); Division Of Ocean Sciences; Directorate For Geosciences(National Science Foundation (NSF)NSF - Directorate for Geosciences (GEO))</t>
  </si>
  <si>
    <t>We would like to thank the captains and crews of the R/V Savannah (SAV-11-10 and SAV-11-30), the R/V Melville (MV1310) and the ARSV Laurence M. Gould (LMG11-01), and the staff at the UGA Marine Institute on Sapelo Island for their roles in the sampling programs that led to these experiments. We would also like to thank PAL-LTER personnel and the project PI H. Ducklow (funded by NSF ANT 08-23101), as well as support staff from Raytheon Polar services for their assistance on cruise LMG 11-01. We thank D. Hansell and W. Miller for the ability to participate in MV1310 (funded by NSF OCE 11-53930 and OCE 12-34388). We would like to thank L. Aluwihare, L. Powers, F. Cao and Q. Liu for assistance in the field; C. Ka'apu-Lyons, A. Bratcher and E. Malagon for assistance with sample analysis; and S. Sharma for re-BLASTing the SIMO metatranscriptomes for us. Finally, this manuscript benefited greatly from constructive comments by reviewers of earlier versions and we would like to thank them for their contribution to it. This work was funded by grants from the U.S. National Science Foundation: ANT 08-38996, OCE 06-20959 and OCE 10-29742 (J.T.H.); and OCE 11-29260 (B.N.P.). This is UGAMI Contribution 1049 and SOEST contribution 9663.</t>
  </si>
  <si>
    <t>1462-2912</t>
  </si>
  <si>
    <t>1462-2920</t>
  </si>
  <si>
    <t>ENVIRON MICROBIOL</t>
  </si>
  <si>
    <t>Environ. Microbiol.</t>
  </si>
  <si>
    <t>10.1111/1462-2920.13457</t>
  </si>
  <si>
    <t>FQ4UD</t>
  </si>
  <si>
    <t>WOS:000418352800005</t>
  </si>
  <si>
    <t>Ooi, MC; Goulden, EF; Smith, GG; Nowak, BF; Bridle, AR</t>
  </si>
  <si>
    <t>Ooi, Mei C.; Goulden, Evan F.; Smith, Gregory G.; Nowak, Barbara F.; Bridle, Andrew R.</t>
  </si>
  <si>
    <t>Developmental and gut-related changes to microbiomes of the cultured juvenile spiny lobster Panulirus ornatus</t>
  </si>
  <si>
    <t>cultured spiny lobster; gut microbiome; developmental stage; gut region; Tenericutes; Proteobacteria</t>
  </si>
  <si>
    <t>PACIFIC WHITE SHRIMP; BACTERIAL COMMUNITIES; LITOPENAEUS-VANNAMEI; DIVERSITY; SEQUENCE; TRACT; PRAWN; DIETS; FISH</t>
  </si>
  <si>
    <t>With recent technologies making it possible for commercial scale closed life-cycle aquaculture production of spiny lobster (Panulirus ornatus) comes a strong impetus to further understand aspects of lobster health. The gut microbiome plays a crucial role in host health, affecting growth, digestion, immune responses and pathogen resistance. Herein we characterise and compare gut microbiomes across different developmental stages (6-7 days post-emergence [dpe], 52 dpe and 13 months post-emergence [mpe]) and gut regions (foregut, midgut and hindgut) of cultured P. ornatus juveniles. Gut samples were analysed using 16S rRNA next-generation sequencing. Core gut microbiomes of P. ornatus comprised the phyla Tenericutes and Proteobacteria. Within class Gammaproteobacteria, families Pseudoalteromonadaceae and Vibrionaceae were dominant members across the majority of the gut microbiomes. Characterisation of bacterial communities from 13 mpe lobsters indicated that the hindgut microbiome was more diverse and compositionally dissimilar to the foregut and midgut. The bacterial composition of the hindgut was more similar among younger juveniles (6-7 dpe and 52 dpe) compared to 13 mpe lobsters. This is the first study to explore gut microbiomes of spiny lobster juveniles. We demonstrate that the composition of the gut microbiome was shaped by gut region, whereas the structure of the hindgut microbiome was influenced by developmental stage.</t>
  </si>
  <si>
    <t>[Ooi, Mei C.; Goulden, Evan F.; Smith, Gregory G.; Nowak, Barbara F.; Bridle, Andrew R.] Univ Tasmania, Inst Marine &amp; Antarctic Studies, Locked Bag 1370, Launceston, Tas 7250, Australia</t>
  </si>
  <si>
    <t>Ooi, MC (corresponding author), Univ Tasmania, Inst Marine &amp; Antarctic Studies, Locked Bag 1370, Launceston, Tas 7250, Australia.</t>
  </si>
  <si>
    <t>Mei.Ooi@utas.edu.au</t>
  </si>
  <si>
    <t>Bridle, Andrew R/B-4117-2013; Nowak, Barbara/J-7261-2014; Goulden, Evan/H-9691-2014; Mei-Chen, Ooi/F-5436-2015; Smith, Gregory/C-9263-2013</t>
  </si>
  <si>
    <t>Nowak, Barbara/0000-0002-0347-643X; Bridle, Andrew/0000-0002-5788-1297; Goulden, Evan/0000-0003-3991-5403; Mei-Chen, Ooi/0000-0002-8703-8460; Smith, Gregory/0000-0002-8677-1230</t>
  </si>
  <si>
    <t>Australian Research Council Research Hub for Commercial Development of Rock Lobster Culture Systems [IH120100032]</t>
  </si>
  <si>
    <t>Australian Research Council Research Hub for Commercial Development of Rock Lobster Culture Systems</t>
  </si>
  <si>
    <t>This study was supported by the Australian Research Council Research Hub for Commercial Development of Rock Lobster Culture Systems (IH120100032).</t>
  </si>
  <si>
    <t>fix159</t>
  </si>
  <si>
    <t>10.1093/femsec/fix159</t>
  </si>
  <si>
    <t>FS0JR</t>
  </si>
  <si>
    <t>WOS:000419460700018</t>
  </si>
  <si>
    <t>Bednarek-Ochyra, H; Plásek, V</t>
  </si>
  <si>
    <t>Bednarek-Ochyra, Halina; Plasek, Vitezslav</t>
  </si>
  <si>
    <t>Occurrence of Racomitrium pruinosum (Grimmiaceae, Bryophyta) in New Guinea, with a review of Gondwanan mosses in the tropics</t>
  </si>
  <si>
    <t>HERZOGIA</t>
  </si>
  <si>
    <t>Alpine zone; Australia; biodiversity; cool-adapted mosses; Musci; New Zealand; phytogeography; South Africa; South America; Tasmania</t>
  </si>
  <si>
    <t>PAPUA-NEW-GUINEA; DICRANELLA-HOOKERI DICRANACEAE; ANTARCTIC SOUTH-GEORGIA; SUB-SAHARAN AFRICA; HUON PENINSULA; NEW-ZEALAND; MOLECULAR CIRCUMSCRIPTION; TAXONOMIC STATUS; FLORA; MUSCI</t>
  </si>
  <si>
    <t>Occurrence of Racomitrium pruinosum, an austral temperate amphipacific species, in the tropics is confirmed. The species was collected at altimontane elevations of 4270-4400 ma.s.l. in the alpine zone on Mount Wilhelm and Mount Giluwe in the Bismarck Range in Papua New Guinea. The diagnostic characters that distinguish it from the similar R. lanuginosum are discussed and illustrated and its global distribution is reviewed and mapped. Southern cool-adapted moss species penetrating into the tropical mountains are briefly considered.</t>
  </si>
  <si>
    <t>[Bednarek-Ochyra, Halina] Polish Acad Sci, Dept Bryol, Wladyslaw Szafer Inst Bot, Ul Lubicz 46, PL-31512 Krakow, Poland; [Plasek, Vitezslav] Univ Ostrava, Dept Biol &amp; Ecol, Chittussiho 10, Ostrava 71000, Czech Republic</t>
  </si>
  <si>
    <t>Polish Academy of Sciences; W. Szafer Institute of Botany of the Polish Academy of Sciences; University of Ostrava</t>
  </si>
  <si>
    <t>Bednarek-Ochyra, H (corresponding author), Polish Acad Sci, Dept Bryol, Wladyslaw Szafer Inst Bot, Ul Lubicz 46, PL-31512 Krakow, Poland.</t>
  </si>
  <si>
    <t>h.bednarek@botany.pl; vitezslav.plasek@osu.cz</t>
  </si>
  <si>
    <t>Plasek, Vitezslav/D-8242-2014; Bednarek-Ochyra, Halina/K-7507-2012</t>
  </si>
  <si>
    <t>Plasek, Vitezslav/0000-0002-4664-2135;</t>
  </si>
  <si>
    <t>W. Szafer Institute of Botany of the Polish Academy of Sciences; V. Plasek is part of research projects of the Institute of Environmental Technologies [CZ. 1.05/2.1.00/03.0100]; National Feasibility Programme I of the Czech Republic [LO1208]</t>
  </si>
  <si>
    <t>W. Szafer Institute of Botany of the Polish Academy of Sciences; V. Plasek is part of research projects of the Institute of Environmental Technologies; National Feasibility Programme I of the Czech Republic</t>
  </si>
  <si>
    <t>The work of H. Bednarek-Ochyra was financially supported through the statutory fund of the W. Szafer Institute of Botany of the Polish Academy of Sciences and the work of V. Plasek is part of research projects of the Institute of Environmental Technologies, reg. No. CZ. 1.05/2.1.00/03.0100 and the National Feasibility Programme I of the Czech Republic Project LO1208. The authors are indebted to the Curators of the herbaria at AD and BM for kindly allowing them to study the specimens. Thanks are due to Rod D. Seppelt, Arundel, Australia, for checking the English and valuable comment, Frank Muller, Dresden, for valuable suggestions, Hans-Joachim Zundorf, Jena and Peter Erzberger, Berlin, for translating the German abstract and title and Katarzyna Bilyk, Krakow, for generating the distribution map.</t>
  </si>
  <si>
    <t>BLAM E V</t>
  </si>
  <si>
    <t>HALLE</t>
  </si>
  <si>
    <t>BRYOLOGISCH-LICHENOLOGISCHE ARBEITSGEMEINSCHAFT MITTELEUROPA EV, UNIV HALLE-WITTENBERG, NEUWERK 21, HALLE, D-06108, GERMANY</t>
  </si>
  <si>
    <t>0018-0971</t>
  </si>
  <si>
    <t>Herzogia</t>
  </si>
  <si>
    <t>10.13158/heia.30.2.2017.412</t>
  </si>
  <si>
    <t>FP7XM</t>
  </si>
  <si>
    <t>WOS:000417853400008</t>
  </si>
  <si>
    <t>Farias, DR; Hurd, CL; Eriksen, RS; Simioni, C; Schmidt, E; Bouzon, ZL; Macleod, CK</t>
  </si>
  <si>
    <t>Farias, D. R.; Hurd, C. L.; Eriksen, R. S.; Simioni, C.; Schmidt, E.; Bouzon, Z. L.; Macleod, C. K.</t>
  </si>
  <si>
    <t>In situ assessment of Ulva australis as a monitoring and management tool for metal pollution</t>
  </si>
  <si>
    <t>JOURNAL OF APPLIED PHYCOLOGY</t>
  </si>
  <si>
    <t>22nd International Seaweed Symposium (ISS)</t>
  </si>
  <si>
    <t>JUN 19-24, 2016</t>
  </si>
  <si>
    <t>Copenhagen, DENMARK</t>
  </si>
  <si>
    <t>Chlorophyta; Bioaccumulation; Photosynthetic performance; Physiological performance; Ultrastructure; Zinc</t>
  </si>
  <si>
    <t>CELLULAR ARCHITECTURE; ASCOPHYLLUM-NODOSUM; HEAVY-METALS; WASTE-WATER; GREEN; BIOREMEDIATION; SALINITY; SEAWEED; COPPER; ACCUMULATION</t>
  </si>
  <si>
    <t>We investigated physiological responses of Ulva australis to metals and their implications for biomonitoring and management tool. To determine the capacity of Ulva to accumulate metals over the short-term, we undertook an in situ experiment where we transplanted thalli to sites with different levels of metal pollution. After 12 days, arsenic, copper, lead, and zinc accumulation was observed. Zinc was significantly greater (p = 0.001) at the most polluted site and was highly correlated (r = 0.87) with seawater total Zn concentration. We also assessed whether metal exposure can compromise U. australis performance by evaluating physiological responses and changes in thalli ultrastructure. We observed an increase in electron-dense bodies in the cell walls and vacuoles, which clearly indicates metal accumulation. However, there was no change in physiological performance (i.e. growth rate, F-v/F-m, rETR(max), or in photosynthetic pigments content) between the control and transplanted thalli (p &gt; 0.05). Bioaccumulation capacity of U. australis was assessed by deploying thalli at a highly polluted site for 45 days, where zinc in Ulva markedly increased over time and was highly correlated with the environmental concentrations (total Zn in seawater, r = 0.85). The metal uptake rate increased steadily over time, confirming that Ulva is clearly capable of bioaccumulation. However, visual examination of the thalli suggested degradation over time, which might limit deployment time (20 days). Clearly, U. australis has potential as a biomonitor/management tool, particularly for zinc, but the results suggest it may be a useful tool for removing metals from the environment.</t>
  </si>
  <si>
    <t>[Farias, D. R.; Macleod, C. K.] Univ Tasmania, IMAS FAC, Hobart, Tas 7053, Australia; [Hurd, C. L.] Univ Tasmania, IMAS, 20 Castray Esplanade, Hobart, Tas 7004, Australia; [Eriksen, R. S.] UTAS, Antarctic Climate &amp; Ecosyst CRC, Private Bag 80, Hobart, Tas 7001, Australia; [Eriksen, R. S.] CSIRO Oceans &amp; Atmosphere, Hobart, Tas 7004, Australia; [Simioni, C.; Schmidt, E.; Bouzon, Z. L.] Univ Fed Santa Catarina, Dept Cell Biol Embryol &amp; Genet, Plant Cell Biol Lab, CP 476, BR-88049900 Florianopolis, SC, Brazil</t>
  </si>
  <si>
    <t>University of Tasmania; University of Tasmania; University of Tasmania; Commonwealth Scientific &amp; Industrial Research Organisation (CSIRO); Universidade Federal de Santa Catarina (UFSC)</t>
  </si>
  <si>
    <t>Farias, DR (corresponding author), Univ Tasmania, IMAS FAC, Hobart, Tas 7053, Australia.</t>
  </si>
  <si>
    <t>D.FariasAqueveque@utas.edu.au</t>
  </si>
  <si>
    <t>, 叶叶叶/ABE-1619-2020; Farias, Daniela R/HOF-3829-2023; bouzon, zenilda laurita/I-6673-2012; Hurd, Catriona/J-2411-2013; Macleod, Catriona/J-7176-2014; Eriksen, Ruth/J-7760-2014</t>
  </si>
  <si>
    <t>Hurd, Catriona/0000-0001-9965-4917; Macleod, Catriona/0000-0002-0539-6361; Eriksen, Ruth/0000-0002-5184-2465</t>
  </si>
  <si>
    <t>Storm Bay project (FRDC project) [2014/031]; Holsworth Wildlife Research Endowment-Equity Trustees Charitable Foundation</t>
  </si>
  <si>
    <t>Storm Bay project (FRDC project); Holsworth Wildlife Research Endowment-Equity Trustees Charitable Foundation</t>
  </si>
  <si>
    <t>The authors would like to acknowledge the Derwent Estuary Program (DEP) and Storm Bay project (FRDC project 2014/031) for providing the environmental data to the Central Laboratory of Electron Microscopy, Federal University of Santa Catarina, Florianopolis, Santa Catarina, Brazil (LCME-UFSC) for the use of their transmission electron microscope and to the Prince of Wales Bay Marina (POW) for their facilities. Special thanks are given to Lisette Robertson for her valuable support in the laboratory and to Travis Baulch and Luis Henriquez for their support on the field. This research was funded by The Holsworth Wildlife Research Endowment-Equity Trustees Charitable Foundation.</t>
  </si>
  <si>
    <t>0921-8971</t>
  </si>
  <si>
    <t>1573-5176</t>
  </si>
  <si>
    <t>J APPL PHYCOL</t>
  </si>
  <si>
    <t>J. Appl. Phycol.</t>
  </si>
  <si>
    <t>10.1007/s10811-017-1073-y</t>
  </si>
  <si>
    <t>FK2FW</t>
  </si>
  <si>
    <t>WOS:000413299100034</t>
  </si>
  <si>
    <t>Marambio, J; Rodriguez, JP; Mendez, F; Ocaranza, P; Rosenfeld, S; Ojeda, J; Rautenberger, R; Bischof, K; Terrados, J; Mansilla, A</t>
  </si>
  <si>
    <t>Marambio, J.; Rodriguez, J. P.; Mendez, F.; Ocaranza, P.; Rosenfeld, S.; Ojeda, J.; Rautenberger, R.; Bischof, K.; Terrados, J.; Mansilla, A.</t>
  </si>
  <si>
    <t>Photosynthetic performance and pigment composition of Macrocystis pyrifera (Laminariales, Phaeophyceae) along a gradient of depth and seasonality in the ecoregion of Magellan, Chile</t>
  </si>
  <si>
    <t>Macrocystis pyrifera; Phaeophyta; Eco-physiology; Sub-Antarctic region; Chile</t>
  </si>
  <si>
    <t>GIANT-KELP MACROCYSTIS; LIGHT-HARVESTING PIGMENTS; INTERTIDAL MACROALGAE; NATURAL PIGMENTS; ACCLIMATION; TEMPERATURE; PHOTOINHIBITION; CAROTENOIDS; ENVIRONMENT; RADIATION</t>
  </si>
  <si>
    <t>Macrocystis pyrifera (L.) C. Agardh is a species that forms extensive underwater forests along the coastline of the ecoregion of Magellan. There, this alga is exposed to marked variation in photoperiod, temperature, and irradiance, which are modulated by daily and seasonal climatic variations. This study aims to understand the ecophysiological behavior of M. pyrifera, in a natural forest localized in Puerto del Hambre, Magellan Region of Chile, along spatial (depth) and temporal (season) gradients of physical drivers by analyzing algal responses in terms of the photosynthetic pigments and fluorescence yield. In the apical, middle, and basal fronds, the following photosynthetic parameters were seasonally measured: electron transport efficiency (alpha), maximum relative rate of electron transport (rETR(max)), saturation point (E (k) ), and pigments such as chlorophyll a (Chl a), chlorophyll c (Chl c), and fucoxanthin. Both seasonal and stratified variations were observed. In autumn, alpha was decreased in the middle fronds (0.136 +/- 0.030 (mu mol photons m(-2) s(-1))(-1)) with respect to apical and basal fronds of autumn. For parameters such as E (k) , this decrease was observed relative to the depth gradient, with significant differences (p &lt; 0.05) between distinct fronds. rETR(max) was high in the apical fronds in spring, autumn, and winter. High Chl a concentration was maintained in all seasons, while the concentration of Chl c in the apical fronds tended to be lower. The concentration of fucoxanthin remained stable without significant differences between dissimilar types of fronds, for seasons (spring, summer, autumn, and winter). The Chl a/Chl c ratio increased with depth, while the Chl a/fucoxanthin ratio varies seasonally. Variations of light intensity in a natural population in a depth gradient and pigment variations in M. pyrifera with the depth stratification reveal the behavior of these algae in the ecoregion of Magellan where Chl a, through the apical fronds, could be regulating the photosynthetic activity of the plants at stratification level. Furthermore, the increase in Chl c and fucoxanthin towards the middle and basal fronds showed similar trends as those measured for alpha, thus signifying higher photosynthetic efficiency at greater depth. Overall, our results indicate marked seasonal and depth acclimation to different environmental conditions. This study is the first of its kind for the ecoregion of Magellan in which M. pyrifera represents a keystone species of utmost ecological significance.</t>
  </si>
  <si>
    <t>[Marambio, J.; Rodriguez, J. P.; Mendez, F.; Ocaranza, P.; Rosenfeld, S.; Ojeda, J.; Rautenberger, R.; Mansilla, A.] Univ Magellan, Lab Macroalgas Antarticas &amp; Subantarticas, Bulnes Ave 01855, Punta Arenas 6200000, Chile; [Marambio, J.; Rodriguez, J. P.; Mendez, F.; Rosenfeld, S.; Mansilla, A.] IEB, Las Palmeras 3425, Santiago 8320000, Chile; [Marambio, J.; Rodriguez, J. P.; Mendez, F.; Ocaranza, P.] Univ Magellan, Programa Magister Ciencias Menc Manejo &amp; Conserva, Punta Arenas 6200000, Chile; [Bischof, K.] Univ Bremen, Fac Biol Chem, Marine Bot, Leobener Str NW2, D-28359 Bremen, Germany; [Terrados, J.] CSIC, UIB, IMEDEA, Inst Mediterraneo Estudios Avanzados, Esporles, Mallorca, Spain</t>
  </si>
  <si>
    <t>University of Bremen; Consejo Superior de Investigaciones Cientificas (CSIC); ATTITUS Educacao; Universitat de les Illes Balears</t>
  </si>
  <si>
    <t>Marambio, J (corresponding author), Univ Magellan, Lab Macroalgas Antarticas &amp; Subantarticas, Bulnes Ave 01855, Punta Arenas 6200000, Chile.;Marambio, J (corresponding author), IEB, Las Palmeras 3425, Santiago 8320000, Chile.;Marambio, J (corresponding author), Univ Magellan, Programa Magister Ciencias Menc Manejo &amp; Conserva, Punta Arenas 6200000, Chile.</t>
  </si>
  <si>
    <t>johanna.marambio@yahoo.com</t>
  </si>
  <si>
    <t>Ojeda, Jaime/HHN-1455-2022; Terrados, Jorge/B-1062-2008; Provoste, Juan Pablo Rodríguez/W-2988-2019; Rautenberger, Ralf/AAD-2659-2020</t>
  </si>
  <si>
    <t>Terrados, Jorge/0000-0002-0921-721X; Rosenfeld, Sebastian/0000-0002-4363-8018; ojeda, jaime/0000-0003-3863-9750; marambio, johanna/0000-0003-1958-0351; Rautenberger, Ralf/0000-0002-1339-2838; Bischof, Kai/0000-0002-4497-1920; Mansilla, Andres/0000-0003-3505-7018</t>
  </si>
  <si>
    <t>FONDECYT [1140940]; Institute of Ecology and Biodiversity [ICM P05-002, PFB-23-2008]</t>
  </si>
  <si>
    <t>FONDECYT(Comision Nacional de Investigacion Cientifica y Tecnologica (CONICYT)CONICYT FONDECYT); Institute of Ecology and Biodiversity</t>
  </si>
  <si>
    <t>The authors wish to thank to the project FONDECYT 1140940 Macroalgal adaptive radiation: potential links to ecological niche diversity in the ecoregion of Magallanes and Chilean Antarctic. We are thankful for the graduate scholarships by the Institute of Ecology and Biodiversity granted to FM (ICM, P05-002) and JPR (ICM, P05-002) and to JM (PFB-23-2008) and SR (ICM P05-002).</t>
  </si>
  <si>
    <t>10.1007/s10811-017-1136-0</t>
  </si>
  <si>
    <t>WOS:000413299100042</t>
  </si>
  <si>
    <t>Singh, P; Singh, SM; Singh, RN; Naik, S; Roy, U; Srivastava, A; Bölter, M</t>
  </si>
  <si>
    <t>Singh, Purnima; Singh, Shiv M.; Singh, Ram N.; Naik, Simantini; Roy, Utpal; Srivastava, Alok; Boelter, Manfred</t>
  </si>
  <si>
    <t>Bacterial communities in ancient permafrost profiles of Svalbard, Arctic</t>
  </si>
  <si>
    <t>JOURNAL OF BASIC MICROBIOLOGY</t>
  </si>
  <si>
    <t>chronology; culturable bacteria; diversity; enzymes; permafrost; Svalbard</t>
  </si>
  <si>
    <t>ANTIBIOTIC-RESISTANCE GENES; SIBERIAN PERMAFROST; MICROBIAL DIVERSITY; ANTARCTIC SOILS; ACTIVE LAYER; GROWTH; MICROORGANISMS; BIODIVERSITY; RECOVERY; PHYLOGENIES</t>
  </si>
  <si>
    <t>Permafrost soils are unique habitats in polar environment and are of great ecological relevance. The present study focuses on the characterization of bacterial communities from permafrost profiles of Svalbard, Arctic. Counts of culturable bacteria range from 1.50x10(3) to 2.22x10(5) CFUg(-1), total bacterial numbers range from 1.14x10(5) to 5.52x10(5) cellsg(-1) soil. Bacterial isolates are identified through 16S rRNA gene sequencing. Arthrobacter and Pseudomonas are the most dominant genera, and A. sulfonivorans, A. bergeri, P. mandelii, and P. jessenii as the dominant species. Other species belong to genera Acinetobacter, Bacillus, Enterobacter, Nesterenkonia, Psychrobacter, Rhizobium, Rhodococcus, Sphingobacterium, Sphingopyxis, Stenotrophomonas, and Virgibacillus. To the best of our knowledge, genera Acinetobacter, Enterobacter, Nesterenkonia, Psychrobacter, Rhizobium, Sphingobacterium, Sphingopyxis, Stenotrophomonas, and Virgibacillus are the first northernmost records from Arctic permafrost. The present study fills the knowledge gap of culturable bacterial communities and their chronological characterization from permafrost soils of Ny-angstrom lesund (79 degrees N), Arctic.</t>
  </si>
  <si>
    <t>[Singh, Purnima; Roy, Utpal] BITS, Pilani KK Birla Goa Campus, Zuarinagar, Goa, India; [Singh, Shiv M.; Naik, Simantini] Minist Earth Sci, Natl Ctr Antarctic &amp; Ocean Res, Vasco Da Gama, Goa, India; [Singh, Ram N.; Srivastava, Alok] NBAIM, Kushmaur, Uttar Pradesh, India; [Boelter, Manfred] Christian Albrechts Univ Kiel, Inst Ecosyst Res, Kiel, Germany</t>
  </si>
  <si>
    <t>Birla Institute of Technology &amp; Science Pilani (BITS Pilani); Ministry of Earth Sciences (MoES) - India; National Centre for Polar and Ocean Research (NCPOR); Indian Council of Agricultural Research (ICAR); ICAR - National Bureau of Agriculturally Important Microorganisms; University of Kiel</t>
  </si>
  <si>
    <t>Singh, SM (corresponding author), Minist Earth Sci, Natl Ctr Antarctic &amp; Ocean Res, Polar Biol Lab, Vasco Da Gama 403804, Goa, India.</t>
  </si>
  <si>
    <t>smsingh@ncaor.gov.in</t>
  </si>
  <si>
    <t>Srivastava, Alok/AAZ-2855-2020; Singh, Ram Nageena/AAU-7110-2021</t>
  </si>
  <si>
    <t>Srivastava, Alok/0000-0003-0125-2528; Singh, Ram Nageena/0000-0002-3831-6487</t>
  </si>
  <si>
    <t>Ministry of Earth Sciences, Government of India; Department of Science &amp; Technology (DST), Government of India [DST [SR/WOS-A/LS-419/2013(G)]]</t>
  </si>
  <si>
    <t>Ministry of Earth Sciences, Government of India(Ministry of Earth Science (MoES), Government of India); Department of Science &amp; Technology (DST), Government of India(Department of Science &amp; Technology (India))</t>
  </si>
  <si>
    <t>Ministry of Earth Sciences, Government of India, Grant number: NCAOR-Inhouse fund; Department of Science &amp; Technology (DST), Government of India, Grant number: DST [SR/WOS-A/LS-419/2013(G)]</t>
  </si>
  <si>
    <t>0233-111X</t>
  </si>
  <si>
    <t>1521-4028</t>
  </si>
  <si>
    <t>J BASIC MICROB</t>
  </si>
  <si>
    <t>J. Basic Microbiol.</t>
  </si>
  <si>
    <t>10.1002/jobm.201700061</t>
  </si>
  <si>
    <t>FO9CI</t>
  </si>
  <si>
    <t>WOS:000417185200004</t>
  </si>
  <si>
    <t>Segawa, T; Yonezawa, T; Edwards, A; Akiyoshi, A; Tanaka, S; Uetake, J; Irvine-Fynn, T; Fukui, K; Li, ZQ; Takeuchi, N</t>
  </si>
  <si>
    <t>Segawa, Takahiro; Yonezawa, Takahiro; Edwards, Arwyn; Akiyoshi, Ayumi; Tanaka, Sota; Uetake, Jun; Irvine-Fynn, Tristram; Fukui, Kotaro; Li, Zhongqin; Takeuchi, Nozomu</t>
  </si>
  <si>
    <t>Biogeography of cryoconite forming cyanobacteria on polar and Asian glaciers</t>
  </si>
  <si>
    <t>JOURNAL OF BIOGEOGRAPHY</t>
  </si>
  <si>
    <t>cryoconite; cryosphere; cyanobacteria; dispersal; glacier; phylogeography</t>
  </si>
  <si>
    <t>BACTERIAL COMMUNITIES; DIVERSITY; ALPINE; DUST; SHAN; PCR</t>
  </si>
  <si>
    <t>AimCryoconite, a microbe-mineral aggregate found on glaciers worldwide, is formed by microbial phototrophs, principally cyanobacteria. Despite their ecological importance in supraglacial environments, the phylogeographical distributions of supraglacial cyanobacteria are poorly understood. Here, we investigate the biogeographical distribution of cyanobacteria on glaciers in the Antarctic, Arctic and Asia. LocationGlaciers in the Antarctic, Arctic and Asia. MethodsWe analysed contiguous sequences of 16S rRNA genes and 16S-23S internal transcribed spacer (ITS) regions, determined by a long read strategy and single-filament PCR analysis in 38 glacial samples. We analysed cyanobacterial distribution patterns and genetic differentiation. ResultsThe cyanobacterial 16S rRNA gene sequences were grouped into 20 operational taxonomic units (OTUs), and the six major OTUs that accounted for 88% of sequences were distributed broadly from polar to Asian glaciers, suggesting that they are cosmopolitan at the species level. However, analysis of the more variable ITS region revealed geographical differentiation at the strain level. Nineteen OTUs, including the six major OTUs, showed considerable genetic differentiation among geographical regions; at the population level, they are, thus, geographically restricted. Only one of the phylotype exhibits a population structure which does not show a relationship with geographical distribution, suggesting that is cosmopolitan, even at the strain level. Main conclusionsOur 16S rRNA gene analyses suggest a global distribution of species of cyanobacteria colonizing glacier surfaces; however, the 16S-23S ITS regions revealed that most of the phylotypes are fundamentally endemic to particular areas at the population level and indicate limited migration among regions. Our result suggests that selection pressures among geographical regions are strong driving forces shaping genetic structure in cyanobacteria.</t>
  </si>
  <si>
    <t>[Segawa, Takahiro] Univ Yamanashi, Ctr Life Sci Res, Kofu, Yamanashi, Japan; [Segawa, Takahiro; Akiyoshi, Ayumi; Uetake, Jun] Transdisciplinary Res Integrat Ctr, Tokyo, Japan; [Segawa, Takahiro; Akiyoshi, Ayumi; Uetake, Jun] Natl Inst Polar Res, Tachikawa, Tokyo, Japan; [Yonezawa, Takahiro] Fudan Univ, Sch Life Sci, Shanghai, Peoples R China; [Edwards, Arwyn] Aberystwyth Univ, IBERS, Aberystwyth, Dyfed, Wales; [Edwards, Arwyn; Irvine-Fynn, Tristram] Aberystwyth Univ, Interdisciplinary Ctr Environm Microbiol, Aberystwyth, Dyfed, Wales; [Tanaka, Sota; Takeuchi, Nozomu] Chiba Univ, Grad Sch Sci, Dept Earth Sci, Chiba, Japan; [Irvine-Fynn, Tristram] Aberystwyth Univ, Inst Geog &amp; Earth Sci, Aberystwyth, Dyfed, Wales; [Fukui, Kotaro] Tateyama Caldera Sabo Museum, Toyama, Japan; [Li, Zhongqin] Chinese Acad Sci, Tienshan Glaciol Stn, Lanzhou, Gansu, Peoples R China</t>
  </si>
  <si>
    <t>University of Yamanashi; Research Organization of Information &amp; Systems (ROIS); National Institute of Polar Research (NIPR) - Japan; Fudan University; UK Research &amp; Innovation (UKRI); Biotechnology and Biological Sciences Research Council (BBSRC); Institute of Biological, Environmental, Rural &amp; Sciences (IBERS); Aberystwyth University; Aberystwyth University; Chiba University; Aberystwyth University; Chinese Academy of Sciences</t>
  </si>
  <si>
    <t>Segawa, T (corresponding author), Univ Yamanashi, Ctr Life Sci Res, Kofu, Yamanashi, Japan.</t>
  </si>
  <si>
    <t>tsegawa@yamanashi.ac.jp</t>
  </si>
  <si>
    <t>Uetake, Jun/V-4853-2018; Takeuchi, Nozomu/Q-7869-2016; FUKUI, Kotaro/H-5600-2018</t>
  </si>
  <si>
    <t>Takeuchi, Nozomu/0000-0002-3267-5534; Segawa, Takahiro/0000-0002-3111-708X; Irvine-Fynn, Tristram/0000-0003-3157-6646; Yonezawa, Takahiro/0000-0002-0012-1887; FUKUI, Kotaro/0000-0003-2106-0232</t>
  </si>
  <si>
    <t>CAS [KJZD-EW-G03-01]; Aberystwyth University Research Fund; Great Britain Sasakawa Foundation; [17H01854]; [26281017]; [16H01772]; [26247078]; [26241020]; Grants-in-Aid for Scientific Research [26247078, 26241020, 16H01772, 17H01854] Funding Source: KAKEN</t>
  </si>
  <si>
    <t>CAS(Chinese Academy of Sciences); Aberystwyth University Research Fund; Great Britain Sasakawa Foundation; ; ; ; ; ; Grants-in-Aid for Scientific Research(Ministry of Education, Culture, Sports, Science and Technology, Japan (MEXT)Japan Society for the Promotion of ScienceGrants-in-Aid for Scientific Research (KAKENHI))</t>
  </si>
  <si>
    <t>Grants-in-Aid for Scientific Research, Grant/Award Number: 17H01854, 26281017, 16H01772, 26247078, 26241020; CAS, Grant/Award Number: KJZD-EW-G03-01; Aberystwyth University Research Fund; Great Britain Sasakawa Foundation</t>
  </si>
  <si>
    <t>0305-0270</t>
  </si>
  <si>
    <t>1365-2699</t>
  </si>
  <si>
    <t>J BIOGEOGR</t>
  </si>
  <si>
    <t>J. Biogeogr.</t>
  </si>
  <si>
    <t>10.1111/jbi.13089</t>
  </si>
  <si>
    <t>Ecology; Geography, Physical</t>
  </si>
  <si>
    <t>FN6YY</t>
  </si>
  <si>
    <t>WOS:000416164500016</t>
  </si>
  <si>
    <t>Forgati, M; Kandalski, PK; Herrerias, T; Zaleski, T; Machado, C; Souza, MRDP; Donatti, L</t>
  </si>
  <si>
    <t>Forgati, Mariana; Kandalski, Priscila Krebsbach; Herrerias, Tatiana; Zaleski, Tania; Machado, Cintia; Dmengeon Pedreiro Souza, Maria Rosa; Donatti, Lucelia</t>
  </si>
  <si>
    <t>Effects of heat stress on the renal and branchial carbohydrate metabolism and antioxidant system of Antarctic fish</t>
  </si>
  <si>
    <t>Notothenia; Energy metabolism; Oxidative stress; Temperature; Admiralty Bay</t>
  </si>
  <si>
    <t>LIMITED THERMAL TOLERANCE; OXIDATIVE STRESS; TEMPERATURE-ACCLIMATION; NOTOTHENIA-CORIICEPS; ENERGY-METABOLISM; CLIMATE-CHANGE; LIPID-PEROXIDATION; GOLDFISH TISSUES; SENSITIVE METHOD; DYNAMIC ACTION</t>
  </si>
  <si>
    <t>The objective of the present study was to assess the effect of short-term (2-144 h) heat stress (8 A degrees C) on energy production processes and antioxidant defense systems in the kidneys and gills of Notothenia rossii and Notothenia coriiceps. Heat stress affected energy metabolism and oxidative stress parameters in a time-, tissue-, and species-dependent manner, and gills were more sensitive than kidneys to heat stress. N. rossii kidneys were able to stabilize carbohydrate metabolism after 12 h of heat stress, whereas the glycogen levels in N. coriiceps kidneys fluctuated in response to varying glucose-6-phosphatase (G6Pase) levels. The gills of N. rossii were able to stabilize their energy demand and aerobic metabolism under heat stress, whereas in the gills of N. coriiceps, changes in carbohydrate metabolic pathways depended on the exposure time: initially, anaerobiosis was activated after 6 h; the energy demand, characterized by glycogen consumption, increased after 72 h, and aerobic metabolism was activated within 144 h. With regard to the antioxidant defenses of the N. rossii kidney, it was found that levels of antioxidant enzymes were reduced during the first hours of heat stress, contributing to increased lipid peroxidation, whereas N. coriiceps kidneys did not show signs of oxidative damage. The gills of N. rossii exhibited more pronounced oxidative damage in response to heat stress than those of N. coriiceps despite the presence of increasing levels of antioxidants, likely due to tissue hypoxia.</t>
  </si>
  <si>
    <t>[Forgati, Mariana; Kandalski, Priscila Krebsbach; Herrerias, Tatiana; Zaleski, Tania; Machado, Cintia; Dmengeon Pedreiro Souza, Maria Rosa; Donatti, Lucelia] Univ Fed Parana, Adapt Biol Lab, Dept Cell Biol, Av Cel Francisco H dos Santos S-N, BR-81531970 Curitiba, Parana, Brazil</t>
  </si>
  <si>
    <t>Universidade Federal do Parana</t>
  </si>
  <si>
    <t>Donatti, L (corresponding author), Univ Fed Parana, Adapt Biol Lab, Dept Cell Biol, Av Cel Francisco H dos Santos S-N, BR-81531970 Curitiba, Parana, Brazil.</t>
  </si>
  <si>
    <t>donatti@ufpr.br</t>
  </si>
  <si>
    <t>Donatti, Lucelia/E-1930-2013; HERRERIAS, TATIANA/AAJ-8083-2021; de Souza, Maria Rosa Dmengeon Pedreiro/AAG-9661-2020</t>
  </si>
  <si>
    <t>Donatti, Lucelia/0000-0002-9023-2483; de Souza, Maria Rosa Dmengeon Pedreiro/0000-0003-3745-5589; ZALESKI, TANIA/0000-0001-7426-7312; machado, cintia/0000-0002-3570-1611; Herrerias, Tatiana/0000-0002-6150-6393</t>
  </si>
  <si>
    <t>Brazilian Ministry of the Environment (MMA); Ministry of Science, Technology, and Innovation (MCTI); National Council for the Development of Scientific and Technological Research (CNPq); Brazilian Federal Agency for Support and Evaluation of Graduate Education (CAPES); Secretariat of the Inter-Ministerial Commission for the Resources of the Sea (SeCIRM); CAPES; CNPq [CAPES/PNPD 2443/2011, CNPq 52.0125/2008-8, 30.5562/2009-6, 30.5969/2012-9]; INCT-APA [CNPq 574.018/2008-5, FAPERJ E-26/170.023/2008]</t>
  </si>
  <si>
    <t>Brazilian Ministry of the Environment (MMA);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Inter-Ministerial Commission for the Resources of the Sea (SeCIRM); CAPES(Coordenacao de Aperfeicoamento de Pessoal de Nivel Superior (CAPES)); CNPq(Conselho Nacional de Desenvolvimento Cientifico e Tecnologico (CNPQ)); INCT-APA</t>
  </si>
  <si>
    <t>We are grateful to the following for their support: the Brazilian Ministry of the Environment (MMA); the Ministry of Science, Technology, and Innovation (MCTI); the National Council for the Development of Scientific and Technological Research (CNPq); the Brazilian Federal Agency for Support and Evaluation of Graduate Education (CAPES); and the Secretariat of the Inter-Ministerial Commission for the Resources of the Sea (SeCIRM). The authors would like to thank Dr. Edith Susana Elisabeth Fanta (in memoriam) and Dr. Yocie Yoneshigue Valentin, coordinator of the National Institute of Antarctic Science and Technology of Environmental Research (INCT-APA), for providing help and encouragement during the performance of the present work. This study was supported by CAPES and CNPq through the projects CAPES/PNPD 2443/2011, CNPq 52.0125/2008-8, 30.5562/2009-6, 30.5969/2012-9, and INCT-APA (CNPq 574.018/2008-5, FAPERJ E-26/170.023/2008).</t>
  </si>
  <si>
    <t>10.1007/s00360-017-1088-3</t>
  </si>
  <si>
    <t>FM3YG</t>
  </si>
  <si>
    <t>WOS:000414946400007</t>
  </si>
  <si>
    <t>Arrigo, KR; van Dijken, GL; Alderkamp, AC; Erickson, ZK; Lewis, KM; Lowry, KE; Joy-Warren, HL; Middag, R; Nash-Arrigo, JE; Selz, V; van de Poll, W</t>
  </si>
  <si>
    <t>Arrigo, Kevin R.; van Dijken, Gert L.; Alderkamp, Anne-Carlijn; Erickson, Zachary K.; Lewis, Kate M.; Lowry, Kate E.; Joy-Warren, Hannah L.; Middag, Rob; Nash-Arrigo, Janice E.; Selz, Virginia; van de Poll, Willem</t>
  </si>
  <si>
    <t>Early Spring Phytoplankton Dynamics in the Western Antarctic Peninsula</t>
  </si>
  <si>
    <t>western Antarctic Peninsula; phytoplankton; iron; nutrients; bloom</t>
  </si>
  <si>
    <t>NORTHERN MARGUERITE BAY; MELTING GLACIERS FUELS; ICE ZONE WEST; SOUTHERN-OCEAN; SEA-ICE; INTERANNUAL VARIABILITY; DRAKE PASSAGE; AMUNDSEN SEA; ROSS SEA; FRAGILARIOPSIS-CYLINDRUS</t>
  </si>
  <si>
    <t>The Palmer Long-Term Ecological Research program has sampled waters of the western Antarctic Peninsula (wAP) annually each summer since 1990. However, information about the wAP prior to the peak of the phytoplankton bloom in January is sparse. Here we present results from a spring process cruise that sampled the wAP in the early stages of phytoplankton bloom development in 2014. Sea ice concentrations were high on the shelf relative to nonshelf waters, especially toward the south. Macronutrients were high and nonlimiting to phytoplankton growth in both shelf and nonshelf waters, while dissolved iron concentrations were high only on the shelf. Phytoplankton were in good physiological condition throughout the wAP, although biomass on the shelf was uniformly low, presumably because of heavy sea ice cover. In contrast, an early stage phytoplankton bloom was observed beneath variable sea ice cover just seaward of the shelf break. Chlorophyll a concentrations in the bloom reached 2 mg m(-3) within a 100-150 km band between the SBACC and SACCF. The location of the bloom appeared to be controlled by a balance between enhanced vertical mixing at the position of the two fronts and increased stratification due to melting sea ice between them. Unlike summer, when diatoms overwhelmingly dominate the phytoplankton population of the wAP, the haptophyte Phaeocystis antarctica dominated in spring, although diatoms were common. These results suggest that factors controlling phytoplankton abundance and composition change seasonally and may differentially affect phytoplankton populations as environmental conditions within the wAP region continue to change.</t>
  </si>
  <si>
    <t>[Arrigo, Kevin R.; van Dijken, Gert L.; Alderkamp, Anne-Carlijn; Lewis, Kate M.; Lowry, Kate E.; Joy-Warren, Hannah L.; Selz, Virginia] Stanford Univ, Dept Earth Syst Sci, Stanford, CA 94305 USA; [Alderkamp, Anne-Carlijn] Foothill Coll, Dept Biol &amp; Hlth Sci, Los Altos Hills, CA USA; [Erickson, Zachary K.] CALTECH, Div Geol &amp; Planetary Sci, Pasadena, CA 91125 USA; [Middag, Rob] NIOZ Royal Netherlands Inst Sea Res, Dept Ocean Syst, Texel, Netherlands; [Middag, Rob] Univ Utrecht, Texel, Netherlands; [Middag, Rob] Univ Otago, Res Ctr Oceanog, NIWA, Dept Chem, Dunedin, New Zealand; [Nash-Arrigo, Janice E.] Palo Alto Unified Sch, Palo Alto, CA USA; [van de Poll, Willem] Univ Groningen, Dept Ocean Ecosyst Energy &amp; Sustainabil, Res Inst Groningen, Groningen, Netherlands</t>
  </si>
  <si>
    <t>Stanford University; California Institute of Technology; Utrecht University; Royal Netherlands Institute for Sea Research (NIOZ); Utrecht University; University of Otago; University of Groningen</t>
  </si>
  <si>
    <t>Arrigo, KR (corresponding author), Stanford Univ, Dept Earth Syst Sci, Stanford, CA 94305 USA.</t>
  </si>
  <si>
    <t>arrigo@stanford.edu</t>
  </si>
  <si>
    <t>Van Dijken, Gert L/C-5276-2011; Lowry, Kate E/J-9449-2019; Joy-Warren, Hannah L./HJP-5929-2023; Middag, Rob/D-6423-2013</t>
  </si>
  <si>
    <t>Lowry, Kate E/0000-0002-1604-5428; Joy-Warren, Hannah L./0000-0003-4127-7367; Erickson, Zachary/0000-0002-9936-9881; Lewis, Kate/0000-0003-2909-2570; Van Dijken, Gert/0000-0002-9587-6317; van de Poll, Willem/0000-0003-4095-4338; Middag, Rob/0000-0002-3326-530X; Arrigo, Kevin/0000-0002-7364-876X</t>
  </si>
  <si>
    <t>National Science Foundation, Office of Polar Programs [ANT-1063592]</t>
  </si>
  <si>
    <t>National Science Foundation, Office of Polar Programs(National Science Foundation (NSF))</t>
  </si>
  <si>
    <t>We thank the captain and crew of the RVIB Nathaniel B. Palmer for their assistance during the cruise. We also thank all the members of the Phantastic II research team, whose tireless work contributed greatly to this research. This work was supported by the National Science Foundation, Office of Polar Programs (ANT-1063592). Data available from the Dryad Digital Repository: https://doi.org/10.5061/dryad.8j40q.</t>
  </si>
  <si>
    <t>10.1002/2017JC013281</t>
  </si>
  <si>
    <t>WOS:000422732100003</t>
  </si>
  <si>
    <t>Hardy, RA; Nerem, RS; Wiese, DN</t>
  </si>
  <si>
    <t>Hardy, Ryan A.; Nerem, R. Steven; Wiese, David N.</t>
  </si>
  <si>
    <t>The Impact of Atmospheric Modeling Errors on GRACE Estimates of Mass Loss in Greenland and Antarctica</t>
  </si>
  <si>
    <t>ACCELERATION; REANALYSIS; VARIABILITY; PROGRAM; BALANCE</t>
  </si>
  <si>
    <t>Systematic errors in Gravity Recovery and Climate Experiment (GRACE) monthly mass estimates over the Greenland and Antarctic ice sheets can originate from low-frequency biases in the European Centre for Medium-Range Weather Forecasts (ECMWF) Operational Analysis model, the atmospheric component of the Atmospheric and Ocean Dealising Level-1B (AOD1B) product used to forward model atmospheric and ocean gravity signals in GRACE processing. These biases are revealed in differences in surface pressure between the ECMWF Operational Analysis model, state-of-the-art reanalyses, and in situ surface pressure measurements. While some of these errors are attributable to well-understood discrete model changes and have published corrections, we examine errors these corrections do not address. We compare multiple models and in situ data in Antarctica and Greenland to determine which models have the most skill relative to monthly averages of the dealiasing model. We also evaluate linear combinations of these models and synthetic pressure fields generated from direct interpolation of pressure observations. These models consistently reveal drifts in the dealiasing model that cause the acceleration of Antarctica's mass loss between April 2002 and August 2016 to be underestimated by approximately 4Gtyr(-2). We find similar results after attempting to solve the inverse problem, recovering pressure biases directly from the GRACE Jet Propulsion Laboratory RL05.1 M mascon solutions. Over Greenland, we find a 2Gt yr(-1) bias in mass trend. While our analysis focuses on errors in Release 05 of AOD1B, we also evaluate the new AOD1B RL06 product. We find that this new product mitigates some of the aforementioned biases. Plain Language Summary The Gravity Recovery and Climate Experiment (GRACE) satellites measure changes in gravity over Greenland and Antarctica, allowing estimation of recent mass loss in both ice sheets. GRACE senses gravity signals from sources of mass change other than ice, including the atmosphere. The model used to remove atmospheric signals from GRACE is operational in nature, and errors in this model can introduce biases to estimates of mass change in Greenland and Antarctica. We estimate the biases in the operational model by comparing its predictions of surface pressure (the local weight of the atmosphere) to measurements from automatic weather stations in Greenland and Antarctica. We also compare this operational model to better, more physically, and observationally consistent reanalyses. Over Antarctica, our analysis consistently reveals that the magnitude of the acceleration of ice mass loss is underestimated by approximately 4Gtyr(-2), 40% more than previous estimates. Over Greenland, we find that atmospheric errors add noise to estimates of month-to-month variation in ice mass. Finally, we demonstrate that it is possible to observe these pressure errors with GRACE, highlighting the possibility of using satellite gravity as a meteorological measurement.</t>
  </si>
  <si>
    <t>[Hardy, Ryan A.; Nerem, R. Steven] Univ Colorado, Ann &amp; HJ Smead Dept Aerosp Engn Sci, Boulder, CO 80309 USA; [Wiese, David N.] CALTECH, Jet Prop Lab, Pasadena, CA USA</t>
  </si>
  <si>
    <t>University of Colorado System; University of Colorado Boulder; California Institute of Technology; National Aeronautics &amp; Space Administration (NASA); NASA Jet Propulsion Laboratory (JPL)</t>
  </si>
  <si>
    <t>Hardy, RA (corresponding author), Univ Colorado, Ann &amp; HJ Smead Dept Aerosp Engn Sci, Boulder, CO 80309 USA.</t>
  </si>
  <si>
    <t>ryan.hardy@colorado.edu</t>
  </si>
  <si>
    <t>Wiese, David/0000-0001-7035-0514</t>
  </si>
  <si>
    <t>NASA Headquarters under the NASA Earth and Space Science Fellowship Program [NNX15AP06H]; National Science Foundation (NSF); National Aeronautics and Space Administration (NASA) under NSF [EAR-0735156]</t>
  </si>
  <si>
    <t>NASA Headquarters under the NASA Earth and Space Science Fellowship Program(National Aeronautics &amp; Space Administration (NASA)); National Science Foundation (NSF)(National Science Foundation (NSF)); National Aeronautics and Space Administration (NASA) under NSF(National Aeronautics &amp; Space Administration (NASA))</t>
  </si>
  <si>
    <t>This work was supported by NASA Headquarters under the NASA Earth and Space Science Fellowship Program (grant NNX15AP06H). A portion of this research was carried out at the Jet Propulsion Laboratory, California Institute of Technology, under a contract with the National Aeronautics and Space Administration. The data used for this paper are all available publicly and may be found through the references provided in the text. This material is based on data services provided by the UNAVCO Facility with support from the National Science Foundation (NSF) and National Aeronautics and Space Administration (NASA) under NSF Cooperative Agreement EAR-0735156. We thank Mark Seefeldt, Melissa Nigro, John Cassano, Hrishikesh Chandanpurkar, Gabriel Jorda, Erik Ivins, and Balaji Rajagopalan for helpful discussions.</t>
  </si>
  <si>
    <t>10.1002/2017JB014556</t>
  </si>
  <si>
    <t>FT4MM</t>
  </si>
  <si>
    <t>WOS:000423129200004</t>
  </si>
  <si>
    <t>Blagoveshchenskaya, NF; Borisova, TD; Yeoman, TK</t>
  </si>
  <si>
    <t>Blagoveshchenskaya, N. F.; Borisova, T. D.; Yeoman, T. K.</t>
  </si>
  <si>
    <t>Comment on Parametric Instability Induced by X-Mode Wave Heating at EISCAT by Wang et al. (2016)</t>
  </si>
  <si>
    <t>HIGH-LATITUDE IONOSPHERE; LANGMUIR TURBULENCE; RADIO-WAVES; PLASMA LINES; F-REGION; EXCITATION; TROMSO</t>
  </si>
  <si>
    <t>In their recent article Wang et al. (2016) analyzed observations from EISCAT (European Incoherent Scatter) Scientific Association Russian X-mode heating experiments and claimed to explain the potential mechanisms for the parametric decay instability (PDI) and oscillating two-stream instability (OTSI). Wang et al. (2016) claim that they cannot separate the HF-enhanced plasma and ion lines excited by O or X mode in the EISCAT UHF radar spectra. Because of this they distinguished the parametric instability excited by O-/X-mode heating waves according to their different excitation heights. Their reflection heights were determined from ionosonde records, which provide a rough measure of excitation altitudes and cannot be used for the separation of the O-and X-mode effects. The serious limitation in their analysis is the use of a 30 s integration time of the UHF radar data. There are also serious disagreements between their analysis and the real observational facts. The fact is that it is the radical difference in the behavior of the X-and O-mode plasma and ion line spectra derived with a 5 s resolution, which provides the correct separation of the X-and O-mode effects. It is not discussed and explained how the parallel component of the electric field under X-mode heating is generated. Apart from the leakage to the O mode, results by Wang et al. (2016) do not explain the potential mechanisms for PDI and OTSI and add nothing to understanding the physical factors accounting for the parametric instability generated by an X-mode HF pump wave. Plain Language Summary In their recent article Wang et al. (2016) analyzed results from EISCAT (European Incoherent Scatter) Scientific Association active experiments and claimed to explain the potential mechanisms for processes occurring in the near-Earth space environment. There are serious disagreements between their analysis and the real observational facts. We reanalyzed the observations described by Wang et al. (2016) (WANG2016) and demonstrated that their results are flawed and incorrect. We then review WANG2016 step by step to disclose the flaws and failures of their analysis of observations.</t>
  </si>
  <si>
    <t>[Blagoveshchenskaya, N. F.; Borisova, T. D.] Arctic &amp; Antarctic Res Inst, Dept Geophys, St Petersburg, Russia; [Yeoman, T. K.] Univ Leicester, Dept Phys &amp; Astron, Leicester, Leics, England</t>
  </si>
  <si>
    <t>Blagoveshchenskaya, NF (corresponding author), Arctic &amp; Antarctic Res Inst, Dept Geophys, St Petersburg, Russia.</t>
  </si>
  <si>
    <t>Yeoman, Timothy k/0000-0002-8434-4825</t>
  </si>
  <si>
    <t>Science and Technology Facilities Council [ST/H002480/1]; Arctic and Antarctic Research Institute; China (CRIRP); Finland (SA); Japan (NIPR); Japan (STEL); Norway (NFR); Sweden (VR); United Kingdom (NERC); NERC [eiscat01001] Funding Source: UKRI; STFC [ST/H002480/1, ST/N000749/1] Funding Source: UKRI; Natural Environment Research Council [eiscat01001] Funding Source: researchfish; Science and Technology Facilities Council [ST/N000749/1, ST/H002480/1] Funding Source: researchfish</t>
  </si>
  <si>
    <t>Science and Technology Facilities Council(UK Research &amp; Innovation (UKRI)Science &amp; Technology Facilities Council (STFC)); Arctic and Antarctic Research Institute; China (CRIRP); Finland (SA); Japan (NIPR); Japan (STEL); Norway (NFR)(Research Council of Norway); Sweden (VR)(Swedish Research Council); United Kingdom (NERC)(UK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</si>
  <si>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EISCAT is an international scientific association supported by research organizations in China (CRIRP), Finland (SA), Japan (NIPR and STEL), Norway (NFR), Sweden (VR), and the United Kingdom (NERC). N.B. and T.B. are supported by Arctic and Antarctic Research Institute. T.K.Y. is supported by Science and Technology Facilities Council grant ST/H002480/1. We are greatly thankful to both reviewers for useful comments. The data used in this comment are available through the EISCAT Madrigal database (http://www.eiscat.se/madrigal/).</t>
  </si>
  <si>
    <t>10.1002/2017JA023880</t>
  </si>
  <si>
    <t>WOS:000422735500039</t>
  </si>
  <si>
    <t>Parolini, C; Bjorndal, B; Busnelli, M; Manzini, S; Ganzetti, GS; Dellera, F; Ramsvik, M; Bruheim, I; Berge, RK; Chiesa, G</t>
  </si>
  <si>
    <t>Parolini, Cinzia; Bjorndal, Bodil; Busnelli, Marco; Manzini, Stefano; Ganzetti, Giulia S.; Dellera, Federica; Ramsvik, Marie; Bruheim, Inge; Berge, Rolf Kristian; Chiesa, Giulia</t>
  </si>
  <si>
    <t>Effect of Dietary Components from Antarctic Krill on Atherosclerosis in apoE-Deficient Mice</t>
  </si>
  <si>
    <t>MOLECULAR NUTRITION &amp; FOOD RESEARCH</t>
  </si>
  <si>
    <t>antarctic krill; apoE-deficient mice; atherosclerosis; krill oil; krill protein</t>
  </si>
  <si>
    <t>APOLIPOPROTEIN-E; FISH-OIL; ENDOCANNABINOID SYSTEM; NITRIC-OXIDE; FATTY-ACIDS; L-ARGININE; LESIONS; OMEGA-3-FATTY-ACIDS; CONSUMPTION; MECHANISMS</t>
  </si>
  <si>
    <t>Scope: Antarctic krill is a great source of n-3 fatty acids and high-quality proteins. Aim of the study was to evaluate the effect of Antarctic krill components on plasma lipids and atherosclerosis development. Methods and results: Sixty apoEKO mice were divided into four groups and fed Western diet (CONTROL) or Western-like diets, differing for protein or fat content. Specifically, casein or fat in CONTROL was partially replaced by krill proteins (PRO), krill oil (KRILL OIL), or both (KRILL OIL+ PRO). In KRILL OIL+ PRO and KRILL OIL, cholesterol levels were significantly lower than in CONTROL group. Atherosclerosis in aorta of PRO, KRILL OIL and KRILL OIL+ PRO was lower than in CONTROL, whereas, at the aortic sinus, atherosclerosis reduction was only observed in KRILL OIL. Liver steatosis, commonly present in CONTROL and PRO animals, was sporadic in KRILL OIL+ PRO and KRILL OIL mice. Krill oil containing diets affected the expression of genes involved in cholesterol metabolism, mainly HMG-CoA reductase. No reduced systemic inflammation was found in all groups. Conclusion: Krill oil containing diets were able to reduce cholesterol levels, inhibit plaque development and prevent liver damage. Krill proteins also reduced atherosclerosis development through mechanisms not involving lipid metabolism.</t>
  </si>
  <si>
    <t>[Parolini, Cinzia; Busnelli, Marco; Manzini, Stefano; Ganzetti, Giulia S.; Dellera, Federica; Chiesa, Giulia] Univ Milan, Dept Pharmacol &amp; Biomol Sci, Milan, Italy; [Bjorndal, Bodil; Ramsvik, Marie; Berge, Rolf Kristian] Univ Bergen, Dept Clin Sci, N-5020 Bergen, Norway; [Ramsvik, Marie; Bruheim, Inge] Rimfrost AS, N-6099 Fosnavaag, Norway</t>
  </si>
  <si>
    <t>University of Milan; University of Bergen</t>
  </si>
  <si>
    <t>Chiesa, G (corresponding author), Univ Milan, Dept Pharmacol &amp; Biomol Sci, Milan, Italy.</t>
  </si>
  <si>
    <t>giulia.chiesa@unimi.it</t>
  </si>
  <si>
    <t>Busnelli, Marco/AAO-6981-2021; Bjørndal, Bodil/ITT-0544-2023; Bjørndal, Bodil/HDN-4287-2022; Parolini, Cinzia/G-8984-2012; Chiesa, Giulia/G-8987-2012; Bjorndal, Bodil/H-6143-2017; Manzini, Stefano/H-7123-2014</t>
  </si>
  <si>
    <t>Busnelli, Marco/0000-0003-3245-2872; Parolini, Cinzia/0000-0002-5699-0918; Chiesa, Giulia/0000-0001-5553-1210; Bjorndal, Bodil/0000-0001-9718-5117; Manzini, Stefano/0000-0002-1232-2635</t>
  </si>
  <si>
    <t>Rimfrost AS, Fosnavaag, Norway; Norwegian Research Council; University of Bergen [18113]; European Community's Seventh Framework Programme (FP7) RiskyCAD [305739]; Fondazione CARIPLO [2011-0645]</t>
  </si>
  <si>
    <t>Rimfrost AS, Fosnavaag, Norway; Norwegian Research Council(Research Council of Norway); University of Bergen; European Community's Seventh Framework Programme (FP7) RiskyCAD; Fondazione CARIPLO(Fondazione Cariplo)</t>
  </si>
  <si>
    <t>This work was funded by Rimfrost AS, N-6099 Fosnavaag, Norway and the Norwegian Research Council (R.K.B.), the University of Bergen (grant number 18113) (G.C.), the European Community's Seventh Framework Programme (FP7/2012-2017) RiskyCAD, grant no. 305739 (G.C.) and by Fondazione CARIPLO (2011-0645) (G.C.). We thank Prof. Eugenio Scanziani and Dr. Lucia Minoli for their support regarding mouse liver histology.</t>
  </si>
  <si>
    <t>1613-4125</t>
  </si>
  <si>
    <t>1613-4133</t>
  </si>
  <si>
    <t>MOL NUTR FOOD RES</t>
  </si>
  <si>
    <t>Mol. Nutr. Food Res.</t>
  </si>
  <si>
    <t>10.1002/mnfr.201700098</t>
  </si>
  <si>
    <t>FP2PC</t>
  </si>
  <si>
    <t>WOS:000417459400009</t>
  </si>
  <si>
    <t>Stuart-Smith, RD; Edgar, GJ; Bates, AE</t>
  </si>
  <si>
    <t>Stuart-Smith, Rick D.; Edgar, Graham J.; Bates, Amanda E.</t>
  </si>
  <si>
    <t>Thermal limits to the geographic distributions of shallow-water marine species</t>
  </si>
  <si>
    <t>TEMPERATURE-DEPENDENT BIOGEOGRAPHY; RANGE SHIFTS; CLIMATE-CHANGE; RAPOPORTS RULE; FISH; TOLERANCE; ECOLOGY; VULNERABILITY; PERFORMANCE; EVOLUTION</t>
  </si>
  <si>
    <t>Temperature profoundly affects species' geographic ranges, but the extent to which it limits contemporary range edges has been difficult to assess from laboratory experiments of thermal tolerance. The persistence of populations depends on temperature-mediated outcomes of ecological and demographic processes across all stages of a species' life history, as well as any adaptation to local temperature regimes. We assessed the relationships between sea temperature and observed distributional ranges for 1,790 shallow-water marine species from 10 animal classes and found remarkable consistencies in trends in realized thermal limits among taxa and ocean basins, as well as general agreement with previous laboratory findings. Realized thermal niches increase from the Equator towards cold-temperate locations, despite an opposite trend in geographic range size. Species' cool distribution limits are best predicted by the magnitude of seasonality within their range, while a relatively firm thermal barrier exists on the equatorward range edge for temperate species. Our findings of consistencies in realized thermal limits indicate potential limits to adaptation among common marine species and highlight the value of realized thermal niches for predicting species' distributional dynamics in warming seas.</t>
  </si>
  <si>
    <t>[Stuart-Smith, Rick D.; Edgar, Graham J.] Univ Tasmania, Inst Marine &amp; Antarctic Studies, Hobart, Tas 7001, Australia; [Bates, Amanda E.] Univ Southampton, Natl Oceanog Ctr, Ocean &amp; Earth Sci, Southampton SO14 3ZH, Hants, England</t>
  </si>
  <si>
    <t>University of Tasmania; NERC National Oceanography Centre; University of Southampton</t>
  </si>
  <si>
    <t>Stuart-Smith, RD (corresponding author), Univ Tasmania, Inst Marine &amp; Antarctic Studies, Hobart, Tas 7001, Australia.</t>
  </si>
  <si>
    <t>rstuarts@utas.edu.au</t>
  </si>
  <si>
    <t>Stuart-Smith, Rick/I-5214-2019; Edgar, Graham/AAY-3797-2020; Stuart-Smith, Rick D/M-1829-2013; Bates, Amanda E./ABD-6874-2021</t>
  </si>
  <si>
    <t>Stuart-Smith, Rick/0000-0002-8874-0083; Edgar, Graham/0000-0003-0833-9001; Stuart-Smith, Rick D/0000-0002-8874-0083; Bates, Amanda E./0000-0002-0198-4537</t>
  </si>
  <si>
    <t>Commonwealth Environment Research Facilities Program; Marine Biodiversity Hub; Australian Government's National Environmental Science Programme; Australian Research Council; Ian Potter Foundation; Parks Australia</t>
  </si>
  <si>
    <t>Commonwealth Environment Research Facilities Program; Marine Biodiversity Hub; Australian Government's National Environmental Science Programme(Australian Government); Australian Research Council(Australian Research Council); Ian Potter Foundation; Parks Australia</t>
  </si>
  <si>
    <t>We thank the many RLS divers who participated in collection of the data used in the analyses and who provide ongoing expertise and commitment to the program, as well as A. Cooper, J. Berkhout, M. Davey, J. Hulls, E. Oh, E. Clausius and J. Stuart-Smith at the University of Tasmania. Development of the RLS was supported by the former Commonwealth Environment Research Facilities Program. Analyses were supported by the Marine Biodiversity Hub-a collaborative partnership supported through the Australian Government's National Environmental Science Programme-and the Australian Research Council. Additional funding and support for RLS field surveys was provided by grants from The Ian Potter Foundation and Parks Australia.</t>
  </si>
  <si>
    <t>10.1038/s41559-017-0353-x</t>
  </si>
  <si>
    <t>FO9FY</t>
  </si>
  <si>
    <t>WOS:000417194600012</t>
  </si>
  <si>
    <t>Meyer, B; Freier, U; Grimm, V; Groeneveld, J; Hunt, BPV; Kerwath, S; Kin, R; Klaas, C; Pakhomov, E; Meiners, KM; Melbourne-Thomas, J; Murphy, EJ; Thorpe, SE; Stammerjohn, S; Wolf-Gladrow, D; Auerswald, L; Götz, A; Halbach, L; Jarman, S; Kawaguchi, S; Krumpen, T; Nehrke, G; Ricker, R; Sumner, M; Teschke, M; Trebilco, R; Yilmaz, NI</t>
  </si>
  <si>
    <t>Meyer, Bettina; Freier, Ulrich; Grimm, Volker; Groeneveld, Juergen; Hunt, Brian P. V.; Kerwath, Sven; Kin, Rob; Klaas, Christine; Pakhomov, Evgeny; Meiners, Klaus M.; Melbourne-Thomas, Jessica; Murphy, Eugene J.; Thorpe, Sally E.; Stammerjohn, Sharon; Wolf-Gladrow, Dieter; Auerswald, Lutz; Gotz, Albrecht; Halbach, Laura; Jarman, Simon; Kawaguchi, So; Krumpen, Thomas; Nehrke, Gernot; Ricker, Robert; Sumner, Michael; Teschke, Mathias; Trebilco, Rowan; Yilmaz, Noyan I.</t>
  </si>
  <si>
    <t>The winter pack-ice zone provides a sheltered but food-poor habitat for larval Antarctic krill</t>
  </si>
  <si>
    <t>EUPHAUSIA-SUPERBA; SEA; GROWTH; WEST; OCEAN; PHYTOPLANKTON; DEMOGRAPHY; RESPONSES; DYNAMICS; BIOMASS</t>
  </si>
  <si>
    <t>A dominant Antarctic ecological paradigm suggests that winter sea ice is generally the main feeding ground for krill larvae. Observations from our winter cruise to the southwest Atlantic sector of the Southern Ocean contradict this view and present the first evidence that the pack-ice zone is a food-poor habitat for larval development. In contrast, the more open marginal ice zone provides a more favourable food environment for high larval krill growth rates. We found that complex under-ice habitats are, however, vital for larval krill when water column productivity is limited by light, by providing structures that offer protection from predators and to collect organic material released from the ice. The larvae feed on this sparse ice-associated food during the day. After sunset, they migrate into the water below the ice (upper 20 m) and drift away from the ice areas where they have previously fed. Model analyses indicate that this behaviour increases both food uptake in a patchy food environment and the likelihood of overwinter transport to areas where feeding conditions are more favourable in spring.</t>
  </si>
  <si>
    <t>[Meyer, Bettina; Freier, Ulrich; Klaas, Christine; Halbach, Laura; Teschke, Mathias] Alfred Wegener Inst, Sect Polar Biol Oceanog, Helmholtz Ctr Polar &amp; Marine Res, Dept Biosci, Bremerhaven, Germany; [Meyer, Bettina] Carl von Ossietzky Univ Oldenburg, Inst Chem &amp; Biol Marine Environm, Oldenburg, Germany; [Meyer, Bettina] Carl von Ossietzky Univ Oldenburg, Helmholtz Inst Funct Marine Biodivers, Oldenburg, Germany; [Freier, Ulrich] SC, Neuss, Germany; [Grimm, Volker] Helmholtz Ctr Environm Research UFZ, Dept Ecol Modelling, Leipzig, Germany; [Groeneveld, Juergen] Tech Univ Dresden, Inst Forest Growth &amp; Comp Sci, Tharandt, Germany; [Hunt, Brian P. V.; Pakhomov, Evgeny] Univ British Columbia, Dept Earth &amp; Ocean &amp; Atmospher Sci, Vancouver, BC, Canada; [Hunt, Brian P. V.] Hakai Inst, Heriot Bay, BC, Canada; [Hunt, Brian P. V.; Pakhomov, Evgeny] Univ British Columbia, Inst Oceans &amp; Fisheries, Vancouver, BC, Canada; [Kerwath, Sven; Auerswald, Lutz] Fisheries Res &amp; Dev, Dept Agr Forestry &amp; Fisheries, Cape Town, South Africa; [Kerwath, Sven] Univ Cape Town, Dept Biol Sci, Rondebosch, South Africa; [Kerwath, Sven; Auerswald, Lutz] Stellenbosch Univ, Dept Anim Sci, Stellenbosch, South Africa; [Kin, Rob; Meiners, Klaus M.; Melbourne-Thomas, Jessica; Jarman, Simon; Kawaguchi, So; Sumner, Michael] Australian Antarctic Div, Dept Environm &amp; Energy, Kingston, Tas, Australia; [Meiners, Klaus M.; Melbourne-Thomas, Jessica; Kawaguchi, So; Sumner, Michael; Trebilco, Rowan] Univ Tasmania, Antarctic Climate &amp; Ecosyst Cooperat Res Ctr, Hobart, Tas, Australia; [Murphy, Eugene J.; Thorpe, Sally E.] British Antarctic Survey, NERC, Cambridge, England; [Stammerjohn, Sharon] Univ Colorado, Inst Arctic &amp; Alpine Res, Boulder, CO 80309 USA; [Wolf-Gladrow, Dieter; Nehrke, Gernot] Alfred Wegener Inst, Helmholtz Ctr Polar &amp; Marine Res, Sect Marine BioGeoSci, Dept Biosiences, Bremerhaven, Germany; [Gotz, Albrecht] South African Environm Observat Network, Grahamstown, South Africa; [Gotz, Albrecht] Rhodes Univ, Dept Ichthyol &amp; Fisheries Sci, Grahamstown, South Africa; [Gotz, Albrecht] Nelson Mandela Metropolitan Univ, Zool Dept, Port Elizabeth, South Africa; [Jarman, Simon] Curtin Univ, Trace &amp; Environm DNA TrEnD Lab, Dept Environm &amp; Agr, Bentley, WA, Australia; [Krumpen, Thomas; Ricker, Robert] Alfred Wegener Inst, Helmholtz Ctr Polar &amp; Marine Res, Dept Climate Sci, Sect Sea Ice Phys, Bremerhaven, Germany; [Yilmaz, Noyan I.] Istanbul Univ, Inst Marine Sci &amp; Management, Istanbul, Turkey</t>
  </si>
  <si>
    <t>Helmholtz Association; Alfred Wegener Institute, Helmholtz Centre for Polar &amp; Marine Research; Carl von Ossietzky Universitat Oldenburg; Carl von Ossietzky Universitat Oldenburg; Helmholtz Association; Helmholtz Center for Environmental Research (UFZ); Technische Universitat Dresden; University of British Columbia; Hakai Institute; University of British Columbia; University of Cape Town; Stellenbosch University; Australian Antarctic Division; Antarctic Climate &amp; Ecosystems Cooperative Research Centre (ACE CRC); University of Tasmania; UK Research &amp; Innovation (UKRI); Natural Environment Research Council (NERC); NERC British Antarctic Survey; University of Colorado System; University of Colorado Boulder; Helmholtz Association; Alfred Wegener Institute, Helmholtz Centre for Polar &amp; Marine Research; National Research Foundation - South Africa; South African Environmental Observation Network (SAEON); Rhodes University; Nelson Mandela University; Curtin University; Helmholtz Association; Alfred Wegener Institute, Helmholtz Centre for Polar &amp; Marine Research; Istanbul University</t>
  </si>
  <si>
    <t>Meyer, B (corresponding author), Alfred Wegener Inst, Sect Polar Biol Oceanog, Helmholtz Ctr Polar &amp; Marine Res, Dept Biosci, Bremerhaven, Germany.;Meyer, B (corresponding author), Carl von Ossietzky Univ Oldenburg, Inst Chem &amp; Biol Marine Environm, Oldenburg, Germany.;Meyer, B (corresponding author), Carl von Ossietzky Univ Oldenburg, Helmholtz Inst Funct Marine Biodivers, Oldenburg, Germany.</t>
  </si>
  <si>
    <t>bettina.meyer@awi.de</t>
  </si>
  <si>
    <t>Meyer, Bettina/ABB-5311-2020; Krumpen, Thomas/D-5163-2011; Trebilco, Rowan/I-5311-2012; Ricker, Robert/Z-4214-2019; Yilmaz, Izzet Noyan N/B-4279-2013; Groeneveld, Juergen/N-2420-2016; murphy, eugene/GZL-1620-2022; Kawaguchi, So/N-1795-2017; Sumner, Michael D/J-3478-2013; Melbourne-Thomas, Jess/N-2437-2019; Jarman, Simon/H-9265-2016</t>
  </si>
  <si>
    <t>Meyer, Bettina/0000-0001-6804-9896; Krumpen, Thomas/0000-0001-6234-8756; Trebilco, Rowan/0000-0001-9712-8016; Ricker, Robert/0000-0001-6928-7757; Melbourne-Thomas, Jess/0000-0001-6585-876X; Sumner, Michael/0000-0002-2471-7511; King, Robert/0000-0002-4650-2335; Klaas, Christine/0000-0002-6679-8970; Kerwath, Sven/0000-0003-2751-5015; Jarman, Simon/0000-0002-0792-9686; Kawaguchi, So/0000-0002-2042-5095; Thorpe, Sally/0000-0002-5193-6955; Nehrke, Gernot/0000-0002-2851-3049</t>
  </si>
  <si>
    <t>PACES (Polar Regions and Coasts in a changing Earth System) programme (Topic 1, WP 5) of the Helmholtz Association; Helmholtz Virtual Institute 'PolarTime' [VH-VI-500]; Australian Government through Antarctic Science grant [4073]; Antarctic Climate and Ecosystem Cooperative Research Centre; Natural Environment Research Council under British Antarctic Survey National Capability-Ecosystems; Cnes; NERC [bas0100035] Funding Source: UKRI; Natural Environment Research Council [bas0100035] Funding Source: researchfish; Directorate For Geosciences; Office of Polar Programs (OPP) [1440435] Funding Source: National Science Foundation</t>
  </si>
  <si>
    <t>PACES (Polar Regions and Coasts in a changing Earth System) programme (Topic 1, WP 5) of the Helmholtz Association; Helmholtz Virtual Institute 'PolarTime'; Australian Government through Antarctic Science grant; Antarctic Climate and Ecosystem Cooperative Research Centre; Natural Environment Research Council under British Antarctic Survey National Capability-Ecosystems; Cnes(Centre National D'etudes Spatiales);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</si>
  <si>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We thank the captain and crew of RV Polarstern expedition WISKY (ANTXXIX-7) as well as our helicopter teams for their excellent support with work at sea, R. Schlicht for statistical consultation and B. Raymond for technical contribution to present results. This work was funded by the PACES (Polar Regions and Coasts in a changing Earth System) programme (Topic 1, WP 5) of the Helmholtz Association. Additional funds were made available via the Helmholtz Virtual Institute 'PolarTime' (VH-VI-500: Biological timing in a changing marine environment-clocks and rhythms in polar pelagic organisms) and the Australian Government through Antarctic Science grant #4073 and the Antarctic Climate and Ecosystem Cooperative Research Centre. S.E.T. and E.J.M. were funded by the Natural Environment Research Council under British Antarctic Survey National Capability-Ecosystems. The surface velocity data were produced by Ssalto/Duacs and distributed by Aviso, with support from Cnes (http:/www.aviso.allimetry.fr/duacs/). TerraSAR-X images used to identify sampling sites were provided by German Space Agency (DLR) via the proposal Investigation of the role of sea ice and snow properties on Antarctic krill distribution and condition in winter/spring. We thank T Busche (DLR) and E. Schwarz (DLR) for organizing near-real time image delivery on board of Polarstern.</t>
  </si>
  <si>
    <t>10.1038/s41559-017-0368-3</t>
  </si>
  <si>
    <t>WOS:000417194600013</t>
  </si>
  <si>
    <t>Brune, S; Williams, SE; Müller, RD</t>
  </si>
  <si>
    <t>Brune, Sascha; Williams, Simon E.; Mueller, R. Dietmar</t>
  </si>
  <si>
    <t>Potential links between continental rifting, CO2 degassing and climate change through time</t>
  </si>
  <si>
    <t>NATURE GEOSCIENCE</t>
  </si>
  <si>
    <t>CARBON-CYCLE; ANTARCTIC GLACIATION; TECTONIC CONTROLS; PLATE KINEMATICS; ATMOSPHERIC CO2; BREAK-UP; FLUXES; GONDWANA; AFRICAN; MODEL</t>
  </si>
  <si>
    <t>The concentration of CO2 in the atmosphere is a key influence on Earth's climate. Today, significant quantities of CO2 are emitted at continental rifts, suggesting that the spatial and temporal extent of rift systems may have influenced deep carbon fluxes and thus climate change throughout geological time. Here we test this hypothesis by conducting a worldwide census of continental rift lengths over the last 200 million years. We estimate tectonic CO2 release rates through time and show that along the extensive Mesozoic and Cenozoic rift systems, rift-related CO2 degassing rates reached more than 300% of present-day values. Using a numerical carbon cycle model, we find that two prominent periods of enhanced rifting 160 to 100 million years ago and after 55 million years ago coincided with greenhouse climate episodes, during which atmospheric CO2 concentrations were more than three times higher than today. We therefore propose that continental fragmentation and long-term climate change could plausibly be linked via massive CO2 degassing in rift systems.</t>
  </si>
  <si>
    <t>[Brune, Sascha] GFZ German Res Ctr Geosci, Potsdam, Germany; [Brune, Sascha] Univ Potsdam, Inst Earth &amp; Environm Sci, Potsdam, Germany; [Williams, Simon E.; Mueller, R. Dietmar] Univ Sydney, Sch Geosci, EarthByte Grp, Sydney, NSW 2006, Australia; [Mueller, R. Dietmar] Univ Sydney, Sydney Informat Hub, Sydney, NSW, Australia</t>
  </si>
  <si>
    <t>Helmholtz Association; Helmholtz-Center Potsdam GFZ German Research Center for Geosciences; University of Potsdam; University of Sydney; University of Sydney</t>
  </si>
  <si>
    <t>Brune, S (corresponding author), GFZ German Res Ctr Geosci, Potsdam, Germany.;Brune, S (corresponding author), Univ Potsdam, Inst Earth &amp; Environm Sci, Potsdam, Germany.</t>
  </si>
  <si>
    <t>brune@gfz-potsdam.de</t>
  </si>
  <si>
    <t>Müller, Dietmar/L-1200-2019</t>
  </si>
  <si>
    <t>Müller, Dietmar/0000-0002-3334-5764; Brune, Sascha/0000-0003-4985-1810; Williams, Simon/0000-0003-4670-8883</t>
  </si>
  <si>
    <t>German Academic Exchange Service (DAAD) [57319603]; Helmholtz Young Investigators Group CRYSTALS [VH-NG-1132]; Australian Research Council [IH130200012]</t>
  </si>
  <si>
    <t>German Academic Exchange Service (DAAD)(Deutscher Akademischer Austausch Dienst (DAAD)); Helmholtz Young Investigators Group CRYSTALS; Australian Research Council(Australian Research Council)</t>
  </si>
  <si>
    <t>We thank D. Royer for publicly sharing the R script of GEOCARBSULF and R. Ernst for kindly providing the data on large igneous provinces. This research has been funded by the German Academic Exchange Service (DAAD), Project 57319603. S.B. was supported through the Helmholtz Young Investigators Group CRYSTALS (VH-NG-1132). S.E.W. and R.D.M were supported by Australian Research Council grant IH130200012.</t>
  </si>
  <si>
    <t>1752-0894</t>
  </si>
  <si>
    <t>1752-0908</t>
  </si>
  <si>
    <t>NAT GEOSCI</t>
  </si>
  <si>
    <t>Nat. Geosci.</t>
  </si>
  <si>
    <t>10.1038/s41561-017-0003-6</t>
  </si>
  <si>
    <t>FO4ZJ</t>
  </si>
  <si>
    <t>WOS:000416858000017</t>
  </si>
  <si>
    <t>Smith, WO; Delizo, LM; Herbolsheimer, C; Spencer, E</t>
  </si>
  <si>
    <t>Smith, Walker O.; Delizo, Liza M.; Herbolsheimer, Courtney; Spencer, Erin</t>
  </si>
  <si>
    <t>Distribution and abundance of mesozooplankton in the Ross Sea, Antarctica</t>
  </si>
  <si>
    <t>Mesozooplankton; Biomass; Abundance; Ross Sea; Chlorophyll; Biogenic silica</t>
  </si>
  <si>
    <t>ZOOPLANKTON FECAL PELLETS; SOUTHERN-OCEAN; MCMURDO SOUND; SEASONAL PATTERNS; BLOOM DYNAMICS; BIOMASS; CARBON; ICE; PHAEOCYSTIS; SUMMER</t>
  </si>
  <si>
    <t>Zooplankton (meso- and macrozooplankton) distributions and biomass are poorly known in the Ross Sea despite their importance in energy transfer within food webs and biogeochemical cycles. Mesozooplankton abundance and biomass on the continental shelf are spatially variable and span two orders of magnitude during austral summer. Selected sub-regions (near the shelf break or ice shelf) show similar variability, suggesting that other processes, either oceanographic or biological, influence zooplankton on smaller scales. Biomass at one location (76.5A degrees S, 172A degrees E) was consistently elevated throughout January, although the causes of this hotspot were unclear. At a station near the ice shelf, abundance and biomass of the pteropod Limacina antarctica was very high. Zooplankton biomass at this location was sevenfold greater than any other station, and while the high biomass was driven by pteropod contributions, copepods were also abundant. Copepods dominated the mesozooplankton composition at all other stations, comprising 90 and 78% on average of the total abundance and biomass. Zooplankton biomass comprised on average 3.96% of the total particulate carbon (0-200 m) and was weakly correlated with chlorophyll and biogenic silica. We suggest that summer zooplankton growth and biomass, while linked to organic matter concentrations, are regulated by other factors (e.g., predation by crystal krill and Antarctic silverfish), as both grazers may be responsible for significant losses. Our data indicate that, contrary to other suggestions, summer zooplankton biomass and abundance in the Ross Sea are similar to those in other Antarctic coastal regions.</t>
  </si>
  <si>
    <t>[Smith, Walker O.; Delizo, Liza M.; Herbolsheimer, Courtney; Spencer, Erin] Coll William &amp; Mary, Virginia Inst Marine Sci, Gloucester Pt, VA 23062 USA; [Spencer, Erin] Ocean Conservancy, 1300 19th St NW, Washington, DC 20036 USA</t>
  </si>
  <si>
    <t>William &amp; Mary; Virginia Institute of Marine Science</t>
  </si>
  <si>
    <t>Smith, WO (corresponding author), Coll William &amp; Mary, Virginia Inst Marine Sci, Gloucester Pt, VA 23062 USA.</t>
  </si>
  <si>
    <t>wos@vims.edu; delizo@vims.edu; courtherb@gmail.com; etspencer@email.wm.edu</t>
  </si>
  <si>
    <t>Spencer, Erin/0000-0002-6664-2255</t>
  </si>
  <si>
    <t>National Science Foundation [ANT-0944254, ANT-1443258]</t>
  </si>
  <si>
    <t>This research was supported by grants from the National Science Foundation (ANT-0944254 and ANT-1443258). We thank all of our PRISM colleagues who assisted in sampling: H. Doan, S. Charles, P. St. Laurent, and A. Mosby. Dr. J. Stone provided assistance with the Zooscan, and J. Cope confirmed many of our zooplankton identifications. This is VIMS contribution number 3642.</t>
  </si>
  <si>
    <t>10.1007/s00300-017-2149-5</t>
  </si>
  <si>
    <t>WOS:000418386500003</t>
  </si>
  <si>
    <t>Hirose, D; Hobara, S; Tanabe, Y; Uchida, M; Kudoh, S; Osono, T</t>
  </si>
  <si>
    <t>Hirose, Dai; Hobara, Satoru; Tanabe, Yukiko; Uchida, Masaki; Kudoh, Sakae; Osono, Takashi</t>
  </si>
  <si>
    <t>Abundance, richness, and succession of microfungi in relation to chemical changes in Antarctic moss profiles</t>
  </si>
  <si>
    <t>Continental Antarctica; Bryophyte; Bryum pseudotriquetrum; Decomposition; Hyphal length; Phoma herbarum</t>
  </si>
  <si>
    <t>ENDOPHYTIC FUNGI; LEAF-LITTER; LIGNIN DECOMPOSITION; COLD ADAPTATION; DIVERSITY; NITROGEN; LEAVES; IDENTIFICATION; COLONIZATION; BRYOPHYTES</t>
  </si>
  <si>
    <t>Little is known in continental Antarctic about patterns of abundance, diversity, and succession of microfungi within moss profiles consisting of live, senescent, and dead tissues in different stages of decomposition. In the present study, vertical patterns of the abundance and diversity of microfungi and their relationship with chemical compositions were examined within moss colonies collected from coastal outcrops in the Lutzow-Holm Bay area (Queen Maud Land), East continental Antarctica. Total and darkly pigmented hyphal length, the richness of molecular operational taxonomic units (MOTUs) of microfungi, and the occurrence of Phoma herbarum and Pseudogymnoascus pannorum increased with the depth of moss profiles. The content of organic chemical components and nitrogen in moss tissues decreased, whereas ash content increased with the depth of moss profiles. Relative amount of recalcitrant compounds and total carbohydrates did not significantly differ among the vertical layers. The downward increase of the microfungal richness and occurrence in the Antarctic moss profiles without MOTU replacement was consistent with the directional-nonreplacement model of succession, indicative of the high environmental resistance, which represents the sum of the adverse factors hindering the success of species establishment. This contrasted with the fungal succession in arctic moss profiles, which accorded with the directional-replacement model, in which species replacement took place due to modification of habitat and competition. More hostile environmental conditions than those in the Arctic characterized the fungal succession and limited the fungal decomposition of moss in continental Antarctica.</t>
  </si>
  <si>
    <t>[Hirose, Dai] Nihon Univ, Fac Pharm, Funabashi, Chiba 2748555, Japan; [Hobara, Satoru] Rakuno Gakuen Univ, Dept Environm Symbiot Sci, Ebetsu, Hokkaido 0698501, Japan; [Tanabe, Yukiko; Uchida, Masaki; Kudoh, Sakae] Natl Inst Polar Res, Tokyo 1738515, Japan; [Osono, Takashi] Doshisha Univ, Dept Environm Syst Sci, Fac Sci &amp; Engn, Kyoto 6100394, Japan</t>
  </si>
  <si>
    <t>Nihon University; Rakuno Gakuen University; Research Organization of Information &amp; Systems (ROIS); National Institute of Polar Research (NIPR) - Japan; Doshisha University</t>
  </si>
  <si>
    <t>Osono, T (corresponding author), Doshisha Univ, Dept Environm Syst Sci, Fac Sci &amp; Engn, Kyoto 6100394, Japan.</t>
  </si>
  <si>
    <t>tosono@mail.doshisha.ac.jp</t>
  </si>
  <si>
    <t>Osono, Takashi/N-9580-2014</t>
  </si>
  <si>
    <t>National Institute of Polar Research [26-28]; Japan Society for the Promotion of Science KAKENHI Grant [70370096]; Grants-in-Aid for Scientific Research [16H05885, 15K07480] Funding Source: KAKEN</t>
  </si>
  <si>
    <t>National Institute of Polar Research(National Institute of Polar Research (NIPR) - Japan); Japan Society for the Promotion of Science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</si>
  <si>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Dr. Y. Motoyoshi and members of JARE-51 for their assistance during the expedition; Dr. H. Kanda and Dr. A.S. Mori for useful discussions; Dr. K. Kato for helpful identification of moss species; and Dr. Elizabeth Nakajima for critical reading of the manuscript. This study was partially supported by the National Institute of Polar Research through General Collaboration Projects No. 26-28 to T.O. and by a Japan Society for the Promotion of Science KAKENHI Grant (No. 70370096 to M.U.).</t>
  </si>
  <si>
    <t>10.1007/s00300-017-2157-5</t>
  </si>
  <si>
    <t>WOS:000418386500011</t>
  </si>
  <si>
    <t>Shiramizu, K; Doi, K; Aoyama, Y</t>
  </si>
  <si>
    <t>Shiramizu, Kaoru; Doi, Koichiro; Aoyama, Yuichi</t>
  </si>
  <si>
    <t>Generation of a high-accuracy regional DEM based on ALOS/PRISM imagery of East Antarctica</t>
  </si>
  <si>
    <t>Digital Elevation Model; GNSS survey; DInSAR; Antarctica</t>
  </si>
  <si>
    <t>ALOS PRISM; GLACIER</t>
  </si>
  <si>
    <t>A digital elevation model (DEM) is used to estimate ice-flow velocities for an ice sheet and glaciers via Differential Interferometric Synthetic Aperture Radar (DInSAR) processing. The accuracy of DInSAR-derived displacement estimates depends upon the accuracy of the DEM. Therefore, we used stereo optical images, obtained with a panchromatic remote-sensing instrument for stereo mapping (PRISM) sensor mounted onboard the Advanced Land Observing Satellite (ALOS), to produce a new DEM (PRISM-DEM) of part of the coastal region of Lutzow-Holm Bay in Dronning Maud Land, East Antarctica. We verified the accuracy of the PRISM-DEM by comparing ellipsoidal heights with those of existing DEMs and values obtained by satellite laser altimetry (ICESat/GLAS) and Global Navigation Satellite System surveying. The accuracy of the PRISM-DEM is estimated to be 2.80 m over ice sheet, 4.86 m over individual glaciers, and 6.63 m over rock outcrops. By comparison, the estimated accuracy of the ASTER-GDEM, widely used in polar regions, is 33.45 m over ice sheet, 14.61 m over glaciers, and 19.95 m over rock outcrops. For displacement measurements made along the radar line-of-sight by DInSAR, in conjunction with ALOS/PALSAR data, the accuracy of the PRISM-DEM and ASTER-GDEM correspond to estimation errors of &lt; 6.3 mm and &lt; 31.8 mm, respectively.</t>
  </si>
  <si>
    <t>[Shiramizu, Kaoru; Doi, Koichiro; Aoyama, Yuichi] Grad Univ Adv Studies SOKENDAI, Sch Multidisciplinary Sci, Dept Polar Sci, 10-3 Midori Cho, Tachikawa, Tokyo 1908518, Japan; [Doi, Koichiro; Aoyama, Yuichi] Res Org Informat &amp; Syst, Natl Inst Polar Res, 10-3 Midori Cho, Tachikawa, Tokyo 1908518, Japan</t>
  </si>
  <si>
    <t>Graduate University for Advanced Studies - Japan; Research Organization of Information &amp; Systems (ROIS); National Institute of Polar Research (NIPR) - Japan</t>
  </si>
  <si>
    <t>Shiramizu, K (corresponding author), Grad Univ Adv Studies SOKENDAI, Sch Multidisciplinary Sci, Dept Polar Sci, 10-3 Midori Cho, Tachikawa, Tokyo 1908518, Japan.</t>
  </si>
  <si>
    <t>shiramizu.kaoru@nipr.ac.jp</t>
  </si>
  <si>
    <t>National Institute of Polar Science (NIPR); Ministry of Education, Culture, Sports, Science and Technology; Grants-in-Aid for Scientific Research [17H06322] Funding Source: KAKEN</t>
  </si>
  <si>
    <t>National Institute of Polar Science (NIPR);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</si>
  <si>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The ASTER-GDEM data used in this study were provided by the Ministry of Economy, Trade and Industry (METI) of Japan, and by the National Aeronautics and Space Administration (NASA). ALOS/PRISM data were provided within the framework of JAXA's ALOS-2 RA-4 (PI No. 1496). This work was part of the Science Program of the Japanese Antarctic Research Expedition (JARE), supported by the National Institute of Polar Science (NIPR) and the Ministry of Education, Culture, Sports, Science and Technology.</t>
  </si>
  <si>
    <t>10.1016/j.polar.2017.10.002</t>
  </si>
  <si>
    <t>WOS:000417043600004</t>
  </si>
  <si>
    <t>Yogabaanu, U; Weber, JFF; Convey, P; Rizman-Idid, M; Alias, SA</t>
  </si>
  <si>
    <t>Yogabaanu, U.; Weber, Jean-Frederic Faizal; Convey, Peter; Rizman-Idid, Mohammed; Alias, Siti Aisyah</t>
  </si>
  <si>
    <t>Antimicrobial properties and the influence of temperature on secondary metabolite production in cold environment soil fungi</t>
  </si>
  <si>
    <t>Fungal metabolites; Penicillium flavigenum; Pseudogymnoascus sp.; Temperature influence</t>
  </si>
  <si>
    <t>CLIMATE-CHANGE; DIVERSITY; MARITIME; POLAR; ANTIBIOTICS; ECOSYSTEMS; STRESS; ICE</t>
  </si>
  <si>
    <t>The Arctic and Antarctic share environmental extremes. To survive in such environments, microbes such as soil fungi need to compete with or protect themselves effectively from other soil microbiota and to obtain the often scarce nutrients available, and many use secondary metabolites to facilitate this. We therefore (i) screened for antimicrobial properties of cold-environment Arctic and Antarctic soil fungi, and (ii) identified changes in the secreted secondary metabolite profiles of a subset of these strains in response to temperature variation. A total of 40 polar soil fungal strains from King George Island, maritime Antarctic and Hornsund, Svalbard, High Arctic, were obtained from the Malaysian National Antarctic Research Centre culture collections. The plug assay technique was used to screen for antimicrobial potential against Gram-positive and Gram-negative human pathogenic bacteria (Bacillus subtilis, B. cereus, Pseudomonas aeruginosa, Enterococcus faecalis and Escherichia coli). About 45% of the tested fungal strains showed antimicrobial activity against at least one tested microorganism. Three fungal isolates showed good bioactivity and were subjected to secondary metabolite profiling at different temperatures (4, 10, 15 and 28 degrees C). We observed a range of responses in fungal metabolite production when incubated at varying temperatures, confirming an influence of environmental conditions such as temperature on the production of secondary metabolites. (C) 2017 Published by Elsevier B.V.</t>
  </si>
  <si>
    <t>[Yogabaanu, U.; Rizman-Idid, Mohammed; Alias, Siti Aisyah] Univ Malaya, Inst Ocean &amp; Earth Sci, Kuala Lumpur 50603, Malaysia; [Weber, Jean-Frederic Faizal] Univ Teknol MARA UiTM, Atta Ur Rahman Inst Nat Prod Discovery AuRIns, Puncak Alam Campus, Bandar Puncak Aam 42300, Selangor, Malaysia; [Convey, Peter] NERC, British Antarct Survey, Madingley Rd, Cambridge CB3 0ET, England; [Yogabaanu, U.; Convey, Peter; Alias, Siti Aisyah] Univ Malaya, Natl Antarct Res Ctr, Kuala Lumpur 50603, Malaysia</t>
  </si>
  <si>
    <t>Universiti Malaya; Universiti Teknologi MARA; UK Research &amp; Innovation (UKRI); Natural Environment Research Council (NERC); NERC British Antarctic Survey; Universiti Malaya</t>
  </si>
  <si>
    <t>Yogabaanu, U (corresponding author), Univ Malaya, Inst Ocean &amp; Earth Sci, Kuala Lumpur 50603, Malaysia.</t>
  </si>
  <si>
    <t>banu.ulaganathan@gmail.com</t>
  </si>
  <si>
    <t>FASc, SITI AISYAH A. HJ ALIAS/B-9785-2010; IDID, MOHAMMED RIZMAN/B-9058-2010; Convey, Peter/AAV-5728-2020; Weber, Jean-Frédéric/O-8805-2016</t>
  </si>
  <si>
    <t>FASc, SITI AISYAH A. HJ ALIAS/0000-0002-6759-5745; IDID, MOHAMMED RIZMAN/0000-0002-2231-2502; Convey, Peter/0000-0001-8497-9903; Weber, Jean-Frédéric/0000-0001-9062-3591; ULAGANATHAN, YOGA/0000-0002-5628-9232</t>
  </si>
  <si>
    <t>UMRP [RP002D-13SUS]; MOSTI flagship [GA006-2014FL]; NERC; Visiting Icon Professorship; NERC [bas0100036] Funding Source: UKRI; Natural Environment Research Council [bas0100036] Funding Source: researchfish</t>
  </si>
  <si>
    <t>UMRP; MOSTI flagship; NERC(UK Research &amp; Innovation (UKRI)Natural Environment Research Council (NERC)); Visiting Icon Professorship; NERC(UK Research &amp; Innovation (UKRI)Natural Environment Research Council (NERC)); Natural Environment Research Council(UK Research &amp; Innovation (UKRI)Natural Environment Research Council (NERC))</t>
  </si>
  <si>
    <t>We thank Dr. Jerzy Smykla for providing Arctic samples and Ms. Fatimah Bebe Mohamed Hussain (AuRIns, UiTM) for providing technical support. This study was funded by UMRP research grant (RP002D-13SUS) &amp; MOSTI flagship (GA006-2014FL). PC is supported by NERC core funding to the BAS 'Biodiversity, Evolution and Adaptation' Team, and a Visiting Icon Professorship to the University of Malaya. This paper also contributes to the SCAR AnT-ERA international research programme.</t>
  </si>
  <si>
    <t>10.1016/j.polar.2017.09.005</t>
  </si>
  <si>
    <t>WOS:000417043600007</t>
  </si>
  <si>
    <t>Davies, BJ; Hambrey, MJ; Glasser, NF; Holt, T; Rodes, A; Smellie, JL; Carrivick, JL; Blockley, SPE</t>
  </si>
  <si>
    <t>Davies, Bethan J.; Hambrey, Michael J.; Glasser, Neil F.; Holt, Tom; Rodes, Angel; Smellie, John L.; Carrivick, Jonathan L.; Blockley, Simon P. E.</t>
  </si>
  <si>
    <t>Ice-dammed lateral lake and epishelf lake insights into Holocene dynamics of Marguerite Trough Ice Stream and George VI Ice Shelf, Alexander Island, Antarctic Peninsula</t>
  </si>
  <si>
    <t>Holocene; George VI Ice Shelf; Marguerite Trough Ice Stream; Antarctica; Cosmogenic isotope dating; Geomorphology</t>
  </si>
  <si>
    <t>LAST GLACIAL MAXIMUM; JAMES-ROSS-ISLAND; GEOMORPHOLOGICAL EVIDENCE; DEGLACIAL HISTORY; FLOW DYNAMICS; EXPOSURE AGES; DRY VALLEYS; SURFACE; SHEET; RETREAT</t>
  </si>
  <si>
    <t>We present new data regarding the past dynamics of Marguerite Trough Ice Stream, George VI Ice Shelf and valley glaciers from Ablation Point Massif on Alexander Island, Antarctic Peninsula. This ice-free oasis preserves a geological record of ice stream lateral moraines, ice-dammed lakes, ice-shelf moraines and valley glacier moraines, which we dated using cosmogenic nuclide ages. We provide one of the first detailed sediment-landform assemblage descriptions of epishelf lake shorelines. Marguerite Trough Ice Stream imprinted lateral moraines against eastern Alexander Island at 120 m at Ablation Point Massif. During deglaciation, lateral lakes formed in the Ablation and Moutonnee valleys, dammed against the ice stream in George VI Sound. Exposure ages from boulders on these shorelines yielded ages of 13.9 to 9.7 ka. Following recession of the ice stream, George VI Ice Shelf formed in George VI Sound. An epishelf lake formed at 15-20 m asl in Ablation and Moutonnee valleys, dated from 9.4 to 4.6 ka, suggesting that the lake was stable and persistent for some 5000 years. Lake-level lowering occurred after this, with the lake level at 12 mat 3.1 +/- 0.4 ka and at 5 m asl today. A readvance of the valley glaciers on Alexander Island at 4.4 +/- 0.7 ka is recorded by valley glacier moraines overlying epishelf lake sediments. We speculate that the glacier readvance, which occurred during a period of warmth, may have been caused by a dynamic response of the glaciers to a lowering in surface elevation of George VI Ice Shelf. (C) 2017 The Authors. Published by Elsevier Ltd.</t>
  </si>
  <si>
    <t>[Davies, Bethan J.; Blockley, Simon P. E.] Royal Holloway Univ London, Quaternary Res Ctr, Egham TW20 0EX, Surrey, England; [Davies, Bethan J.; Hambrey, Michael J.; Glasser, Neil F.; Holt, Tom] Aberystwyth Univ, Inst Geog &amp; Earth Sci, Ceredigion SY23 3DB, Wales; [Rodes, Angel] SUERC, Rankine Ave, E Kilbride G75 0QF, Lanark, Scotland; [Smellie, John L.] Univ Leicester, Dept Geol, Leicester LE1 7RH, Leics, England; [Carrivick, Jonathan L.] Univ Leeds, Sch Geog &amp; Water Leeds, Woodhouse Lane, Leeds LS2 9JT, W Yorkshire, England</t>
  </si>
  <si>
    <t>University of London; Royal Holloway University London; Aberystwyth University; Scottish Universities Research &amp; Reactor Center; University of Leicester; University of Leeds</t>
  </si>
  <si>
    <t>Davies, BJ (corresponding author), Royal Holloway Univ London, Quaternary Res Ctr, Egham TW20 0EX, Surrey, England.</t>
  </si>
  <si>
    <t>Bethan.davies@rhul.ac.uk</t>
  </si>
  <si>
    <t>Rodes, Angel/C-9228-2011; Davies, Bethan/KFR-3266-2024</t>
  </si>
  <si>
    <t>Rodes, Angel/0000-0001-8488-7689; Davies, Bethan/0000-0002-8636-1813; Blockley, Simon/0000-0003-0712-2118; Carrivick, Jonathan/0000-0002-9286-5348; Holt, Tom/0000-0001-8361-0688; Glasser, Neil/0000-0002-8245-2670</t>
  </si>
  <si>
    <t>NERC [NE/F012896/1]; NERC Cosmogenic Isotope Analysis Facility at the Scottish Universities Environmental Research Centre (CIAF award) [9131/0413]; NERC [NE/F012942/1, NE/F012896/1, ciaf010001] Funding Source: UKRI; Natural Environment Research Council [NE/F012942/1, NE/F012896/1, ciaf010001] Funding Source: researchfish</t>
  </si>
  <si>
    <t>NERC(UK Research &amp; Innovation (UKRI)Natural Environment Research Council (NERC)); NERC Cosmogenic Isotope Analysis Facility at the Scottish Universities Environmental Research Centre (CIAF award); NERC(UK Research &amp; Innovation (UKRI)Natural Environment Research Council (NERC)); Natural Environment Research Council(UK Research &amp; Innovation (UKRI)Natural Environment Research Council (NERC))</t>
  </si>
  <si>
    <t>This project was funded by NERC grant NE/F012896/1 (The Glacial History of the NE Antarctic Peninsula region over centennial to millennial timescales), awarded to NFG (Principal Investigator) and MJH, JLS and JLC (co-investigators). BJD and MJH would like to thank the British Antarctic Survey for providing logistics, field access and equipment. Cosmogenic nuclide samples were funded through the NERC Cosmogenic Isotope Analysis Facility at the Scottish Universities Environmental Research Centre (CIAF award 9131/0413). BJD and MJH would like to thank Ian Hey for his excellent assistance in the field. We thank Nicholas Golledge (Antarctic Research Centre, Victoria University of Wellington) for helpful discussions comparing geological and numerical modelling data. We thank two anonymous reviewers for their constructive and insightful reviews, which did much to improve this paper.</t>
  </si>
  <si>
    <t>10.1016/j.quascirev.2017.10.016</t>
  </si>
  <si>
    <t>WOS:000418203900013</t>
  </si>
  <si>
    <t>Hrbácek, F; Knazková, M; Nyvlt, D; Láska, K; Mueller, CW; Ondruch, J</t>
  </si>
  <si>
    <t>Hrbacek, Filip; Knazkova, Michaela; Nyvlt, Daniel; Laska, Kamil; Mueller, Carsten W.; Ondruch, Jakub</t>
  </si>
  <si>
    <t>Active layer monitoring at CALM-S site near JGMendel Station, James Ross Island, eastern Antarctic Peninsula</t>
  </si>
  <si>
    <t>Active layer thickness; Ground thermal regime; Permafrost; CALM-S; Antarctic Peninsula; Climate</t>
  </si>
  <si>
    <t>GROUND SURFACE-TEMPERATURE; POLAR YEAR 2007-2009; LIVINGSTON ISLAND; BYERS PENINSULA; THERMAL REGIME; SNOW COVER; PERMAFROST DISTRIBUTION; MARITIME ANTARCTICA; THICKNESS; CLIMATE</t>
  </si>
  <si>
    <t>The Circumpolar Active Layer Monitoring - South (CALM-S) site was established in February 2014 on James Ross Island as the first CALM-S site in the eastern Antarctic Peninsula region. The site, located near Johann Gregor Mendel Station, is labelled CALM-S JGM. The grid area is gently sloped (&lt; 3 degrees) and has an elevation of between 8 and 11 m a.s.l. The lithology of the site consists of the muddy sediments of Holocene marine terrace and clayey-sandy Cretaceous sedimentary rocks, which significantly affect the texture, moisture content, and physical parameters of the ground within the grid. Our objective was to study seasonal and interannual variability of the active layer depth and thermal regime at the CALM-S site, and at two ground temperature measurement profiles, AWS-JGM and AWS-CALM, located in the grid. The mean air temperature in the period March 2013 to February 2016 reached -7.2 degrees C. The mean ground temperature decreased with depth from -5.3 degrees C to -5.4 degrees C at 5 cm, to -5.5 degrees C to -5.9 degrees C at 200 cm. Active layer thickness was significantly higher at AWS-CALM and ranged between 86 cm (2014/15) and 87 cm (2015/16), while at AWS-JGM it reached only 51 cm (2013/14) to 65 cm (2015/16). The mean probed active layer depth increased from 66.4 cm in 2013/14 to 78.0 cm in 2014/15. Large differences were observed when comparing the minimum (51 cm to 59 cm) and maximum (100 cm to 113 cm) probed depths. The distribution of the active layer depth and differences in the thermal regime of the uppermost layer of permafrost at CALM-S JGM clearly show the effect of different lithological properties on the two lithologically distinct parts of the grid. (C) 2017 Elsevier B.V. All rights reserved.</t>
  </si>
  <si>
    <t>[Hrbacek, Filip; Knazkova, Michaela; Nyvlt, Daniel; Laska, Kamil; Ondruch, Jakub] Masaryk Univ, Dept Geog, Brno, Czech Republic; [Mueller, Carsten W.] Tech Univ Munich, Lehrstuhl Bodenkunde, D-85356 Freising Weihenstephan, Germany</t>
  </si>
  <si>
    <t>Masaryk University Brno; Technical University of Munich</t>
  </si>
  <si>
    <t>Hrbácek, F (corresponding author), Masaryk Univ, Dept Geog, Brno, Czech Republic.</t>
  </si>
  <si>
    <t>hrbacekfilip@gmail.com</t>
  </si>
  <si>
    <t>Hrbacek, Filip/ABG-4319-2020; Nyvlt, Daniel/J-6504-2019; Laska, Kamil/L-7875-2013; Mueller, Carsten W/C-2679-2012</t>
  </si>
  <si>
    <t>Hrbacek, Filip/0000-0001-5032-9216; Nyvlt, Daniel/0000-0002-6876-490X; Laska, Kamil/0000-0002-5199-9737; Mueller, Carsten W/0000-0003-4119-0544</t>
  </si>
  <si>
    <t>Masaryk University [MUNI/A/1315/2015]; Ministry of Education, Youth, and Sports (MEYS) [LM2015078]; German Research Foundation DFG [SPP1158 (MU 3021/8-1)]</t>
  </si>
  <si>
    <t>Masaryk University; Ministry of Education, Youth, and Sports (MEYS)(Ministry of Education, Youth &amp; Sports - Czech Republic); German Research Foundation DFG(German Research Foundation (DFG))</t>
  </si>
  <si>
    <t>This work was supported by the Masaryk University project MUNI/A/1315/2015: Integrated research of environmental changes in the landscape sphere. The work was also supported by the Ministry of Education, Youth, and Sports (MEYS) large infrastructure project LM2015078 Czech Polar Research Infrastructure. Carsten W. Mueller's work was supported by the German Research Foundation DFG for funding in the frame of the priority program SPP1158 (MU 3021/8-1). The authors thank Petr Dedecek from Institute of Geophysics of the Czech Academy of Science for help with laboratory analysis of ground samples. Finally, we are grateful to two anonymous referees and the handling editor for their beneficial comments, which significantly improved the final version of manuscript.</t>
  </si>
  <si>
    <t>10.1016/j.scitotenv.2017.05.266</t>
  </si>
  <si>
    <t>FB7BA</t>
  </si>
  <si>
    <t>WOS:000406294900097</t>
  </si>
  <si>
    <t>Li, YF; Li, Z; Huang, J; Cozzi, G; Turetta, C; Barbante, C; Xiong, LF</t>
  </si>
  <si>
    <t>Li, YueFang; Li, Zhen; Huang, Ju; Cozzi, Giulio; Turetta, Clara; Barbante, Carlo; Xiong, LongFei</t>
  </si>
  <si>
    <t>Variations of trace elements and rare earth elements (REEs) treated by two different methods for snow-pit samples on the Qinghai-Tibetan Plateau and their implications</t>
  </si>
  <si>
    <t>SCIENCES IN COLD AND ARID REGIONS</t>
  </si>
  <si>
    <t>sample-preparation methods; trace elements; REEs; mass fraction; snow samples; Qinghai-Tibetan Plateau</t>
  </si>
  <si>
    <t>ICE-CORE; HEAVY-METALS; ATMOSPHERIC-POLLUTION; ISOTOPIC COMPOSITION; ANTARCTIC SNOW; ASIAN DUST; EMISSIONS; GLACIERS; INSIGHTS; LEAD</t>
  </si>
  <si>
    <t>Although previous investigations of the trace elements in snow and ice from the Qinghai-Tibetan Plateau obtained interesting information about pollution from human activities on the plateau, most were based on traditional acidification methods. To emphasize the influence of the different sample-preparation methods on the records of trace elements and rare earth elements, snow samples were collected from glaciers on the Qinghai-Tibetan Plateau in China and prepared using two methods: traditional acidification and total digestion. Concentrations of 18 trace elements (Al, Ti, Fe, Rb, Sr, Ba, V, Cr, Mn, Li, Cu, Co, Mo, Cs, Sb, Pb, Tl, and U), along with 14 rare earth elements (REEs: La, Ce, Pr, Nd, Sm, Eu, Gd, Tb, Dy, Ho, Er, Tm, Yb, and Lu), Y, and Th in the snow samples, were measured using inductively coupled plasma-sector field mass spectrometry (ICP-SFMS). The results showed that the mass fraction of the trace elements (defined as ratio of concentration in the acid-leachable fraction to that in the digested sample) such as Mo, Ti, Al, Rb, and V, varied from 0.06 to 0.5. The mass fraction of other trace elements varied from about 0.6 to more than 0.9; those of the REEs, Y, and Th varied from 0.34 to 0.75. Lower mass fractions will lead to an overestimated contribution of other sources, especially human activities, and the underestimated fluxes of these trace elements (especially REEs, Y, and Th, as well as dust) if the REEs are used as the proxy for the crust dust. The two sample-preparation methods exhibited different REE normalized distribution patterns, REE ratios, and provenance-tracing results. The REE normalized distribution patterns and proxies in the digested samples are more reliable and integrated than those found in traditional acidification method for dust-provenance tracing.</t>
  </si>
  <si>
    <t>[Li, YueFang; Li, Zhen; Huang, Ju; Xiong, LongFei] Chinese Acad Sci, Northwest Inst Ecoenvironm &amp; Resources, State Key Lab Cryospher Sci, 320 West Donggang Rd, Lanzhou 730000, Gansu, Peoples R China; [Huang, Ju] Univ Chinese Acad Sci, Beijing 100049, Peoples R China; [Cozzi, Giulio; Turetta, Clara; Barbante, Carlo] Univ Venice, Natl Res Council IDPA CNR, Inst Dynam Environm Proc, Dorsoduro 2137, I-30123 Venice, Italy</t>
  </si>
  <si>
    <t>Chinese Academy of Sciences; Chinese Academy of Sciences; University of Chinese Academy of Sciences, CAS; Universita Ca Foscari Venezia; Consiglio Nazionale delle Ricerche (CNR); Istituto per la Dinamica dei Processi Ambientali (IDPA-CNR)</t>
  </si>
  <si>
    <t>Li, YF (corresponding author), Chinese Acad Sci, Northwest Inst Ecoenvironm &amp; Resources, State Key Lab Cryospher Sci, 320 West Donggang Rd, Lanzhou 730000, Gansu, Peoples R China.</t>
  </si>
  <si>
    <t>liyf@lzb.ac.cn</t>
  </si>
  <si>
    <t>Barbante, Carlo/B-3195-2011; Turetta, Clara/O-2849-2015</t>
  </si>
  <si>
    <t>Turetta, Clara/0000-0003-3130-2901</t>
  </si>
  <si>
    <t>National Natural Science Foundation of China [41276194, 40771046, 40601021]</t>
  </si>
  <si>
    <t>This research was supported by grants provided by the National Natural Science Foundation of China (Grant Nos. 41276194, 40771046, and 40601021). The authors also would like to thank members of the spring 2013 fieldwork team on the Tibetan Plateau for all their hard work. We also appreciate two anonymous referees very much for their good reviews and suggestions for improving the paper.</t>
  </si>
  <si>
    <t>EPHRATA</t>
  </si>
  <si>
    <t>300 WEST CHESNUT ST, EPHRATA, PA 17522 USA</t>
  </si>
  <si>
    <t>1674-3822</t>
  </si>
  <si>
    <t>SCI COLD ARID REG</t>
  </si>
  <si>
    <t>Sci. Cold Arid Reg.</t>
  </si>
  <si>
    <t>10.3724/SP.J.1226.2017.00568</t>
  </si>
  <si>
    <t>GB0DO</t>
  </si>
  <si>
    <t>WOS:000428714100006</t>
  </si>
  <si>
    <t>Mitchell, M; Moore, SA; Clement, S; Lockwood, M; Anderson, G; Gaynor, SM; Gilfedder, L; Rowe, R; Norman, B; Lefroy, EC</t>
  </si>
  <si>
    <t>Mitchell, Michael; Moore, Susan A.; Clement, Sarah; Lockwood, Michael; Anderson, Gill; Gaynor, Suzie M.; Gilfedder, Louise; Rowe, Ross; Norman, Barbara; Lefroy, Edward C.</t>
  </si>
  <si>
    <t>Biodiversity on the brink: Evaluating a transdisciplinary research collaboration</t>
  </si>
  <si>
    <t>JOURNAL FOR NATURE CONSERVATION</t>
  </si>
  <si>
    <t>Transdisciplinarity; Integrative research; Problem-oriented interdisciplinary research; Knowledge brokering; Research project evaluation; Landscape-scale conservation management</t>
  </si>
  <si>
    <t>INTEGRATIVE RESEARCH; ENVIRONMENTAL-RESEARCH; SYSTEMS; MANAGEMENT; COMPLEXITY; SCIENCE; KNOWLEDGE; FRAMEWORK; CULTURES; PROJECTS</t>
  </si>
  <si>
    <t>Global biodiversity is facing an extinction crisis. Australia has one of the highest terrestrial species extinction rates in the world. Scientists, policy advisors and governments have recommended that the issue be addressed at a landscape-scale, while noting that there are significant knowledge gaps that are hampering implementation of such an approach. From 2011-2015, the Australian Government funded a transdisciplinary research program, the Landscapes and Policy Hub, to meet this need. Transdisciplinary research is widely acknowledged as essential to address the complexity of contemporary environmental problems. Given that such research programs are in their infancy, it is important to evaluate their efficacy and provide an empirical basis for improving their design. This paper presents an evaluation of the strategies fostering transdisciplinarity adopted by the Landscapes and Policy Hub. A heavy emphasis on communication, with skilled knowledge brokering, regular face-to-face meetings using participatory activities and shared field engagements enhanced transdisciplinary interaction between researchers and research users. However, establishing a fully integrated interdisciplinary research program remained a challenge. Efforts to enable shared conceptual frameworks to emerge through adaptive application of theory in practice could have been balanced with increased effort at the outset for researchers and research users to collaboratively formulate shared research questions, leading to the establishment of teams that could address these questions through cross-mobilisation of interdisciplinary expertise.</t>
  </si>
  <si>
    <t>[Mitchell, Michael; Lockwood, Michael] Univ Tasmania, Sch Land &amp; Food, Geog &amp; Spatial Sci, Private Bag 78, Hobart, Tas 7001, Australia; [Mitchell, Michael] Charles Sturt Univ, Inst Land Water &amp; Soc, POB 789, Albury, NSW 2640, Australia; [Moore, Susan A.] Murdoch Univ, Sch Vet &amp; Life Sci, South St, Murdoch, WA 6150, Australia; [Clement, Sarah] Univ Liverpool, Sch Environm Sci, Roxby Bldg, Liverpool, Merseyside, England; [Anderson, Gill] People Nat, POB 227, Bright, Vic 3741, Australia; [Gaynor, Suzie M.; Lefroy, Edward C.] Univ Tasmania, Ctr Environm, Private Bag 141, Hobart, Tas 7001, Australia; [Gilfedder, Louise] Dept Primary Ind Pk Water &amp; Environm, Resource Management &amp; Conservat Div, POB 44, Hobart, Tas 7001, Australia; [Gilfedder, Louise] Univ Tasmania, Sch Land &amp; Food, Private Bag 78, Hobart, Tas 7001, Australia; [Rowe, Ross] Dept Environm, GPO Box 787, Canberra, ACT 2601, Australia; [Norman, Barbara] Univ Canberra, Canberra Urban &amp; Reg Futures, Canberra, ACT 2601, Australia</t>
  </si>
  <si>
    <t>University of Tasmania; Charles Sturt University; Murdoch University; University of Liverpool; University of Tasmania; University of Tasmania; University of Canberra</t>
  </si>
  <si>
    <t>Mitchell, M (corresponding author), Univ Tasmania, Sch Land &amp; Food, Geog &amp; Spatial Sci, Private Bag 78, Hobart, Tas 7001, Australia.</t>
  </si>
  <si>
    <t>Michael.Mitchell@utas.edu.au</t>
  </si>
  <si>
    <t>Clement, Sarah/O-9997-2016; Mitchell, Michael/C-2382-2014</t>
  </si>
  <si>
    <t>Clement, Sarah/0000-0002-5422-622X; Mitchell, Michael/0000-0002-1082-3073; Norman, Barbara/0000-0002-0772-6651</t>
  </si>
  <si>
    <t>Australian Government; University of Tasmania; Australian National University; Murdoch University; Antarctic Climate and Ecosystems Cooperative Research Centre, Griffith University; Charles Sturt University</t>
  </si>
  <si>
    <t>Australian Government(Australian Government); University of Tasmania; Australian National University(Australian National University); Murdoch University; Antarctic Climate and Ecosystems Cooperative Research Centre, Griffith University; Charles Sturt University</t>
  </si>
  <si>
    <t>The evaluation on which this paper is based was carried out for the Landscapes and Policy Research Hub. The hub was supported through funding from the Australian Government's National Environmental Research Program and involved researchers from the University of Tasmania, The Australian National University, Murdoch University, the Antarctic Climate and Ecosystems Cooperative Research Centre, Griffith University and Charles Sturt University. We thank all our respondents for contributing their time and expertise to this evaluation, and the anonymous reviewers whose thoughtful and constructive comments greatly improved the paper. Finally, this paper and the research on which it is based is a testament to the passion and dedication of Professor Susan Moore. The paper is her brainchild and just one example of her enormous legacy.</t>
  </si>
  <si>
    <t>ELSEVIER GMBH, URBAN &amp; FISCHER VERLAG</t>
  </si>
  <si>
    <t>JENA</t>
  </si>
  <si>
    <t>OFFICE JENA, P O BOX 100537, 07705 JENA, GERMANY</t>
  </si>
  <si>
    <t>1617-1381</t>
  </si>
  <si>
    <t>1618-1093</t>
  </si>
  <si>
    <t>J NAT CONSERV</t>
  </si>
  <si>
    <t>J. Nat. Conserv.</t>
  </si>
  <si>
    <t>10.1016/j.jnc.2017.08.002</t>
  </si>
  <si>
    <t>FM7PF</t>
  </si>
  <si>
    <t>WOS:000415271600001</t>
  </si>
  <si>
    <t>Aster, RC; Winberry, JP</t>
  </si>
  <si>
    <t>Aster, R. C.; Winberry, J. P.</t>
  </si>
  <si>
    <t>Glacial seismology</t>
  </si>
  <si>
    <t>REPORTS ON PROGRESS IN PHYSICS</t>
  </si>
  <si>
    <t>glaciers; seismology; geophysics; climate change</t>
  </si>
  <si>
    <t>WHILLANS ICE STREAM; SEA-LEVEL RISE; AMBIENT SEISMIC NOISE; STICK-SLIP MOTION; SHELF BREAK-UP; WEST ANTARCTICA; GROUNDING-LINE; HYDROACOUSTIC SIGNALS; SUBGLACIAL DRAINAGE; SEASONAL-VARIATIONS</t>
  </si>
  <si>
    <t>Seismic source and wave propagation studies contribute to understanding structure, transport, fracture mechanics, mass balance, and other processes within glaciers and surrounding environments. Glaciogenic seismic waves readily couple with the bulk Earth, and can be recorded by seismographs deployed at local to global ranges. Although the fracturing, ablating, melting, and/or highly irregular environment of active glaciers can be highly unstable and hazardous, informative seismic measurements can commonly be made at stable proximal ice or rock sites. Seismology also contributes more broadly to emerging studies of elastic and gravity wave coupling between the atmosphere, oceans, solid Earth, and cryosphere, and recent scientific and technical advances have produced glaciological/seismological collaborations across a broad range of scales and processes. This importantly includes improved insight into the responses of cryospheric systems to changing climate and other environmental conditions. Here, we review relevant fundamental physics and glaciology, and provide a broad review of the current state of glacial seismology and its rapidly evolving future directions.</t>
  </si>
  <si>
    <t>[Aster, R. C.] Colorado State Univ, Dept Geosci, Ft Collins, CO 80523 USA; [Aster, R. C.] Colorado State Univ, Warner Coll Nat Resources, Ft Collins, CO 80523 USA; [Winberry, J. P.] Cent Washington Univ, Dept Geol Sci, Ellensburg, WA USA</t>
  </si>
  <si>
    <t>Colorado State University; Colorado State University; Central Washington University</t>
  </si>
  <si>
    <t>Aster, RC (corresponding author), Colorado State Univ, Dept Geosci, Ft Collins, CO 80523 USA.;Aster, RC (corresponding author), Colorado State Univ, Warner Coll Nat Resources, Ft Collins, CO 80523 USA.</t>
  </si>
  <si>
    <t>rick.aster@colostate.edu; winberry@geology.cwu.edu</t>
  </si>
  <si>
    <t>Aster, Richard/E-5067-2013; Winberry, Paul/HLQ-2673-2023</t>
  </si>
  <si>
    <t>Aster, Richard/0000-0002-0821-4906; Winberry, Paul/0000-0003-1205-0745</t>
  </si>
  <si>
    <t>National Science Foundation; NSF Office of Polar Programs [0632230, 0632239, 0652322, 0632335, 0632136, 0632209, 0632185]; NSF Office of Polar Program [1141889]; NSF (POLENET); Scientific Committee on Antarctic Research (SCAR); International Glaciological Society (IGS); International Association of Cryospheric Sciences (IACS); Directorate For Geosciences; Office of Polar Programs (OPP) [1141889, 0632335, 0632136, 0632185] Funding Source: National Science Foundation; Office of Polar Programs (OPP); Directorate For Geosciences [0632239, 0632209] Funding Source: National Science Foundation</t>
  </si>
  <si>
    <t>National Science Foundation(National Science Foundation (NSF)); NSF Office of Polar Programs(National Science Foundation (NSF)); NSF Office of Polar Program(National Science Foundation (NSF)); NSF (POLENET); Scientific Committee on Antarctic Research (SCAR); International Glaciological Society (IGS); International Association of Cryospheric Sciences (IACS); Directorate For Geosciences; Office of Polar Programs (OPP)(National Science Foundation (NSF)NSF - Directorate for Geosciences (GEO)); Office of Polar Programs (OPP); Directorate For Geosciences(National Science Foundation (NSF)NSF - Directorate for Geosciences (GEO))</t>
  </si>
  <si>
    <t>We thank two reviewers for substantive comments that improved the quality and completeness of this manuscript. The authors acknowledge support from the National Science Foundation for their research, including POLENET, which is supported by NSF Office of Polar Programs grants 0632230, 0632239, 0652322, 0632335, 0632136, 0632209, and 0632185. JPW was also supported by NSF Office of Polar Program grant 1141889. This paper benefited from comments from students attending the 2017 Glacial Seismology Summer School held at Colorado State University, which was sponsored by NSF (POLENET), the Scientific Committee on Antarctic Research (SCAR), the International Glaciological Society (IGS) and the International Association of Cryospheric Sciences (IACS).</t>
  </si>
  <si>
    <t>0034-4885</t>
  </si>
  <si>
    <t>1361-6633</t>
  </si>
  <si>
    <t>REP PROG PHYS</t>
  </si>
  <si>
    <t>Rep. Prog. Phys.</t>
  </si>
  <si>
    <t>10.1088/1361-6633/aa8473</t>
  </si>
  <si>
    <t>FM8AB</t>
  </si>
  <si>
    <t>WOS:000415303500001</t>
  </si>
  <si>
    <t>Wang, JW; Kim, JJ; Choi, W; Mun, DS; Kang, JE; Kwon, H; Kim, JS; Han, KS</t>
  </si>
  <si>
    <t>Wang, Jang-Woon; Kim, Jae-Jin; Choi, Wonsik; Mun, Da-Som; Kang, Jung-Eun; Kwon, Hataek; Kim, Jin-Soo; Han, Kyung-Soo</t>
  </si>
  <si>
    <t>Effects of Wind Fences on the Wind Environment around Jang Bogo Antarctic Research Station</t>
  </si>
  <si>
    <t>Jang Bogo Antarctic Research Station; CFD model; observation environment; wind fence; porosity</t>
  </si>
  <si>
    <t>VELOCITY-FIELDS; TURBULENT-FLOW; POROUS FENCES; URBAN FLOW; CFD MODEL; DISPERSION; SIMULATION; TUNNEL; TOPOGRAPHY; SHELTER</t>
  </si>
  <si>
    <t>This study investigated the flow characteristics altered by Jang Bogo Antarctic Research Station using computational fluid dynamics (CFD) modeling. The topography and buildings around Jang Bogo Station were constructed with computer-aided-design data in the CFD model domain. We simulated 16 cases with different inflow directions, and compared the flow characteristics with and without Jang Bogo Station for each inflow direction. The wind data recorded by the site's automatic weather station (AWS) were used for comparison. Wind rose analysis showed that the wind speed and direction after the construction of Jang Bogo Station were quite different from those before construction. We also investigated how virtual wind fences would modify the flow patterns, changing the distance of the fence from the station as well as the porosity of the fence. For westerly inflows, when the AWS was downwind of Jang Bogo Station, the decrease in wind speed was maximized (-81% for west-northwesterly). The wind speed reduction was also greater as the distance of the fence was closer to Jang Bogo Station. With the same distance, the fence with medium porosity (25%-33%) maximized the wind speed reduction. These results suggest that the location and material of the wind fence should be selected carefully, or AWS data should be interpreted cautiously, for particular prevailing wind directions.</t>
  </si>
  <si>
    <t>[Wang, Jang-Woon; Kim, Jae-Jin; Choi, Wonsik; Mun, Da-Som; Kang, Jung-Eun] Pukyong Natl Univ, Dept Environm Atmospher Sci, 45 Yongso Ro, Busan 48513, South Korea; [Kwon, Hataek] Korea Polar Res Inst, 26 Songdomirae Ro, Incheon 21990, South Korea; [Kim, Jin-Soo; Han, Kyung-Soo] Pukyong Natl Univ, Dept Spatial Informat Engn, 45 Yongso Ro, Busan 48513, South Korea</t>
  </si>
  <si>
    <t>Pukyong National University; Korea Polar Research Institute (KOPRI); Pukyong National University</t>
  </si>
  <si>
    <t>Kim, JJ (corresponding author), Pukyong Natl Univ, Dept Environm Atmospher Sci, 45 Yongso Ro, Busan 48513, South Korea.</t>
  </si>
  <si>
    <t>jjkim@pknu.ac.kr</t>
  </si>
  <si>
    <t>Kim, Jae-Jin/C-7894-2014</t>
  </si>
  <si>
    <t>Korea Polar Research Institute project [PE16250]; Korea Polar Research Institute [PE17010]</t>
  </si>
  <si>
    <t>Korea Polar Research Institute project(Korea Polar Research Institute of Marine Research Placement (KOPRI)); Korea Polar Research Institute(Korea Polar Research Institute of Marine Research Placement (KOPRI))</t>
  </si>
  <si>
    <t>The authors would like to thank the anonymous reviewers for their valuable comments and suggestions. This study was funded by a Korea Polar Research Institute project (PE16250). Hateak KWON is financially supported by PE17010 of Korea Polar Research Institute.</t>
  </si>
  <si>
    <t>10.1007/s00376-017-6333-x</t>
  </si>
  <si>
    <t>FM1SU</t>
  </si>
  <si>
    <t>WOS:000414761600003</t>
  </si>
  <si>
    <t>Barnes, DKA</t>
  </si>
  <si>
    <t>Barnes, David K. A.</t>
  </si>
  <si>
    <t>Polar zoobenthos blue carbon storage increases with sea ice losses, because across-shelf growth gains from longer algal blooms outweigh ice scour mortality in the shallows</t>
  </si>
  <si>
    <t>benthos; blue carbon capture and storage; phytoplankton; response to climate change; Southern Ocean</t>
  </si>
  <si>
    <t>WESTERN ANTARCTIC PENINSULA; SOUTHERN-OCEAN; BENTHIC COMMUNITIES; SPONGE; PRODUCTIVITY; DISTURBANCE; TRENDS; IMPACT; WATERS; CYCLE</t>
  </si>
  <si>
    <t>One of the major climate-forced global changes has been white to blue to green; losses of sea ice extent in time and space around Arctic and West Antarctic seas has increased open water and the duration (though not magnitude) of phytoplankton blooms. Blueing of the poles has increases potential for heat absorption for positive feedback but conversely the longer phytoplankton blooms have increased carbon export to storage and sequestration by shelf benthos. However, ice shelf collapses and glacier retreat can calve more icebergs, and the increased open water allows icebergs more opportunities to scour the seabed, reducing zoobenthic blue carbon capture and storage. Here the size and variability in benthic blue carbon in mega and macrobenthos was assessed in time and space at Ryder and Marguerite bays of the West Antarctic Peninsula (WAP). In particular the influence of the duration of primary productivity and ice scour are investigated from the shallows to typical shelf depths of 500 m. Ice scour frequency dominated influence on benthic blue carbon at 5 m, to comparable with phytoplankton duration by 25 m depth. At 500 m only phytoplankton duration was significant and influential. WAP zoobenthos was calculated to generate similar to 10(7), 4.5 x 10(6) and 1.6 x 10(6) tonnes per year (between 2002 and 2015) in terms of production, immobilization and sequestration of carbon respectively. Thus about 1% of annual primary productivity has sequestration potential at the end of the trophic cascade. Polar zoobenthic blue carbon capture and storage responses to sea ice losses, the largest negative feedback on climate change, has been underestimated despite some offsetting of gain by increased ice scouring with more open water. Equivalent survey of Arctic and sub-Antarctic shelves, for which new projects have started, should reveal the true extent of this feedback and how much its variability contributes to uncertainty in climate models.</t>
  </si>
  <si>
    <t>[Barnes, David K. A.] NERC, British Antarctic Survey, Cambridge, England</t>
  </si>
  <si>
    <t>Barnes, DKA (corresponding author), NERC, British Antarctic Survey, Cambridge, England.</t>
  </si>
  <si>
    <t>dkab@bas.ac.uk</t>
  </si>
  <si>
    <t>Barnes, David/0000-0002-9076-7867</t>
  </si>
  <si>
    <t>NERC [bas0100036] Funding Source: UKRI; Natural Environment Research Council [bas0100036] Funding Source: researchfish</t>
  </si>
  <si>
    <t>10.1111/gcb.13772</t>
  </si>
  <si>
    <t>FM4FN</t>
  </si>
  <si>
    <t>WOS:000414969000012</t>
  </si>
  <si>
    <t>Hindell, MA; Sumner, M; Bestley, S; Wotherspoon, S; Harcourt, RG; Lea, MA; Alderman, R; McMahon, CR</t>
  </si>
  <si>
    <t>Hindell, Mark A.; Sumner, Michael; Bestley, Sophie; Wotherspoon, Simon; Harcourt, Robert G.; Lea, Mary-Anne; Alderman, Rachael; McMahon, Clive R.</t>
  </si>
  <si>
    <t>Decadal changes in habitat characteristics influence population trajectories of southern elephant seals</t>
  </si>
  <si>
    <t>bio-telemetry; climate change; environmental variability; integrated marine observing system; Macquarie Island; population trends; species distribution models</t>
  </si>
  <si>
    <t>MIROUNGA-LEONINA; CLIMATE-CHANGE; KING PENGUINS; AUSTRAL SUMMER; TRENDS; ICE; VARIABILITY; TILETAMINE; MOVEMENTS; TRACKING</t>
  </si>
  <si>
    <t>Understanding divergent biological responses to climate change is important for predicting ecosystem level consequences. We use species habitat models to predict the winter foraging habitats of female southern elephant seals and investigate how changes in environmental variables within these habitats may be related to observed decreases in the Macquarie Island population. There were three main groups of seals that specialized in different ocean realms (the sub-Antarctic, the Ross Sea and the Victoria Land Coast). The physical and climate attributes (e.g. wind strength, sea surface height, ocean current strength) varied amongst the realms and also displayed different temporal trends over the last two to four decades. Most notably, sea ice extent increased on average in the Victoria Land realm while it decreased overall in the Ross Sea realm. Using a species distribution model relating mean residence times (time spent in each 50 x 50 km grid cell) to 9 climate and physical co-variates, we developed spatial predictions of residence time to identify the core regions used by the seals across the Southern Ocean from 120 degrees E to 120 degrees W. Population size at Macquarie Island was negatively correlated with ice concentration within the core habitat of seals using the Victoria Land Coast and the Ross Sea. Sea ice extent and concentration is predicted to continue to change in the Southern Ocean, having unknown consequences for the biota of the region. The proportion of Macquarie Island females (40%) utilizing the relatively stable sub-Antarctic region, may buffer this population against longer-term regional changes in habitat quality, but the Macquarie Island population has persistently decreased (-1.45% per annum) over seven decades indicating that environmental changes in the Antarctic are acting on the remaining 60% of the population to impose a long-term population decline in a top Southern Ocean predator.</t>
  </si>
  <si>
    <t>[Hindell, Mark A.; Bestley, Sophie; Wotherspoon, Simon; Lea, Mary-Anne; McMahon, Clive R.] Inst Marine &amp; Antarctic Studies, Hobart, Tas, Australia; [Hindell, Mark A.; Sumner, Michael] Univ Tasmania, Antarctic Climate &amp; Ecosyst CRC, Hobart, Tas, Australia; [Sumner, Michael; Bestley, Sophie; Wotherspoon, Simon] Australian Antarctic Div, Kingston, Tas, Australia; [Harcourt, Robert G.] Macquarie Univ, Fac Sci &amp; Engn, Dept Biol Sci, Sydney, NSW, Australia; [Alderman, Rachael] Dept Primary Ind Pk Water &amp; Environm, Hobart, Tas, Australia; [McMahon, Clive R.] Sydney Inst Marine Sci, Mosman, Australia</t>
  </si>
  <si>
    <t>University of Tasmania; University of Tasmania; Australian Antarctic Division; Macquarie University; Sydney Institute of Marine Science</t>
  </si>
  <si>
    <t>Hindell, MA (corresponding author), Univ Tasmania, Inst Marine &amp; Antarctic Studies, Private Bag 129, Hobart, Tas 7001, Australia.</t>
  </si>
  <si>
    <t>mark.hindell@utas.edu.au</t>
  </si>
  <si>
    <t>McMahon, Clive R/D-5713-2013; Sumner, Michael D/J-3478-2013; Hindell, Mark A/K-1131-2013; Bestley, Sophie/AAN-2483-2021; Wotherspoon, Simon J/B-2390-2013; Bestley, Sophie/E-9521-2013; Lea, Mary-Anne/E-9054-2013</t>
  </si>
  <si>
    <t>McMahon, Clive R/0000-0001-5241-8917; Bestley, Sophie/0000-0001-9342-669X; Wotherspoon, Simon J/0000-0002-6947-4445; Bestley, Sophie/0000-0001-9342-669X; Lea, Mary-Anne/0000-0001-8318-9299; Sumner, Michael/0000-0002-2471-7511; Harcourt, Robert/0000-0003-4666-2934; Hindell, Mark/0000-0002-7823-7185</t>
  </si>
  <si>
    <t>University of Tasmania [103964]</t>
  </si>
  <si>
    <t>University of Tasmania, Grant/Award Number: 103964</t>
  </si>
  <si>
    <t>10.1111/gcb.13776</t>
  </si>
  <si>
    <t>WOS:000414969000016</t>
  </si>
  <si>
    <t>Wei, L; Zhu, GP; Yang, QY</t>
  </si>
  <si>
    <t>Wei, Lian; Zhu, Guo-Ping; Yang, Qing-Yuan</t>
  </si>
  <si>
    <t>Length-weight relationships of five fish species associated with krill fishery in the Atlantic sector of the Southern Ocean</t>
  </si>
  <si>
    <t>JOURNAL OF APPLIED ICHTHYOLOGY</t>
  </si>
  <si>
    <t>SCOTIA ARC REGION; DIVERSITY; STOCKS</t>
  </si>
  <si>
    <t>Length-weight relationships (LWRs) of five fish species commonly associated with Antarctic krill fishery, were determined. Samples were collected with Chinese krill trawler (codend mesh size 2cm) in the Atlantic sector of the Southern Ocean from January to August 2016. Data on LWRs and the relationships between weight and standard length as well as weight and total length of those species were updated for the database of FishBase. Those data on fish species derived from Antarctic krill fishery will be very helpful in understanding the interaction between krill fishery and the associated fish community.</t>
  </si>
  <si>
    <t>[Wei, Lian; Zhu, Guo-Ping; Yang, Qing-Yuan] Shanghai Ocean Univ, Coll Marine Sci, Shanghai, Peoples R China; [Zhu, Guo-Ping] Natl Engn Res Ctr Ocean Fisheries, Shanghai 201306, Peoples R China; [Wei, Lian; Zhu, Guo-Ping; Yang, Qing-Yuan] Shanghai Ocean Univ, Minist Educ, Key Lab Sustainable Exploitat Ocean Fisheries Res, Polar Marine Ecosyst Lab, Shanghai, Peoples R China; [Zhu, Guo-Ping] Shanghai Ocean Univ, Natl Demonstrat Ctr Expt Fisheries Sci Educ, Shanghai, Peoples R China</t>
  </si>
  <si>
    <t>Shanghai Ocean University; National Engineering Research Center for Oceanic Fisheries; Shanghai Ocean University; Shanghai Ocean University</t>
  </si>
  <si>
    <t>Zhu, GP (corresponding author), Shanghai Ocean Univ, Coll Marine Sci, Shanghai, Peoples R China.</t>
  </si>
  <si>
    <t>Zhu, Guoping/0000-0001-6081-7811</t>
  </si>
  <si>
    <t>National Key Technology R&amp;D Program of China [2013BAD13B03]; National Natural Science Foundation of China [41776185, 41606210]</t>
  </si>
  <si>
    <t>National Key Technology R&amp;D Program of China(National Key Technology R&amp;D Program); National Natural Science Foundation of China(National Natural Science Foundation of China (NSFC))</t>
  </si>
  <si>
    <t>National Key Technology R&amp;D Program of China, Grant/Award Number: 2013BAD13B03; National Natural Science Foundation of China, Grant/Award Number: 41776185, 41606210</t>
  </si>
  <si>
    <t>0175-8659</t>
  </si>
  <si>
    <t>1439-0426</t>
  </si>
  <si>
    <t>J APPL ICHTHYOL</t>
  </si>
  <si>
    <t>J. Appl. Ichthyol.</t>
  </si>
  <si>
    <t>10.1111/jai.13478</t>
  </si>
  <si>
    <t>FM3WC</t>
  </si>
  <si>
    <t>WOS:000414939700055</t>
  </si>
  <si>
    <t>Qi, XM; Xu, J; Zhao, K; Guo, H; Ma, L</t>
  </si>
  <si>
    <t>Qi Xiangming; Xu Jing; Zhao Kuo; Guo Hui; Ma Lei</t>
  </si>
  <si>
    <t>Freeze Concentration of Proteins in Antarctic Krill Wash Water</t>
  </si>
  <si>
    <t>JOURNAL OF OCEAN UNIVERSITY OF CHINA</t>
  </si>
  <si>
    <t>Antarctic krill; freeze concentration; wash water; protein extraction; fluoride</t>
  </si>
  <si>
    <t>EUPHAUSIA-SUPERBA; FLUORIDE; CRYOCONCENTRATION; OPTIMIZATION; PERFORMANCE; IMPACT; FOODS</t>
  </si>
  <si>
    <t>Water-washing removes fluoride from Antarctic krill but produces large volumes of wash water containing water-soluble proteins and fluoride. The freeze concentration method was tested to determine if it could be used to recover water-soluble proteins while leaving the fluoride in solution. After freezing and thawing the wash water, protein and fluoride contents of the thawed fractions were determined to explore the melting regularity of components in the wash water. The highest concentration factors of protein and fluoride were obtained after 80 min of thawing, such as 1.48 +/- 0.06 and 1.35 +/- 0.04 times, respectively. The free amino-nitrogen (FAN) content and sodium dodecyl sulfate-polyacrylamide gel electrophoresis pattern results revealed that the highest concentrations of all ingredients were obtained after 80 min of the process. The degree of hydrolysis of all fractions from the thawing process fluctuated in a narrow range around 12% during the entire process, indicating that the thawing order did not change with various proteins or time during the entire thawing course. These results demonstrate that the freeze concentration method can be used to concentrate protein solutions, even those with fluoride. It was concluded that condensation was achieved and no ingredient could be separated, regardless of fluoride, amino acids, or different proteins in the water.</t>
  </si>
  <si>
    <t>[Qi Xiangming; Xu Jing; Zhao Kuo; Guo Hui; Ma Lei] Ocean Univ China, Coll Food Sci &amp; Engn, Qingdao 266003, Peoples R China</t>
  </si>
  <si>
    <t>Ma, L (corresponding author), Ocean Univ China, Coll Food Sci &amp; Engn, Qingdao 266003, Peoples R China.</t>
  </si>
  <si>
    <t>malei@ouc.edu.cn</t>
  </si>
  <si>
    <t>赵, 阔/HOF-7906-2023</t>
  </si>
  <si>
    <t>Zhao, Kuo/0000-0001-9347-8254</t>
  </si>
  <si>
    <t>Key Research and Development Project of Shandong Province [2015 GSF115005]; Huimin Special Fund of Qingdao Municipal Achievement Transformation Plan [15-9-2-120-NSH]; National Natural Science Foundation of China [31101380]</t>
  </si>
  <si>
    <t>Key Research and Development Project of Shandong Province; Huimin Special Fund of Qingdao Municipal Achievement Transformation Plan; National Natural Science Foundation of China(National Natural Science Foundation of China (NSFC))</t>
  </si>
  <si>
    <t>This study was supported by the Key Research and Development Project of Shandong Province (No. 2015 GSF115005), the Huimin Special Fund of Qingdao Municipal Achievement Transformation Plan (No. 15-9-2-120-NSH), and the National Natural Science Foundation of China (No. 31101380).</t>
  </si>
  <si>
    <t>OCEAN UNIV CHINA</t>
  </si>
  <si>
    <t>QINGDAO</t>
  </si>
  <si>
    <t>5 YUSHAN RD, QINGDAO, 266003, PEOPLES R CHINA</t>
  </si>
  <si>
    <t>1672-5182</t>
  </si>
  <si>
    <t>1993-5021</t>
  </si>
  <si>
    <t>J OCEAN U CHINA</t>
  </si>
  <si>
    <t>J. OCEAN UNIV.</t>
  </si>
  <si>
    <t>10.1007/s11802-017-3288-6</t>
  </si>
  <si>
    <t>FM2CO</t>
  </si>
  <si>
    <t>WOS:000414791700020</t>
  </si>
  <si>
    <t>Zmudczynska-Skarbek, K; Barcikowski, M; Drobniak, SM; Gwiazdowicz, DJ; Richard, P; Skubala, P; Stempniewicz, L</t>
  </si>
  <si>
    <t>Zmudczynska-Skarbek, Katarzyna; Barcikowski, Mateusz; Drobniak, Szymon M.; Gwiazdowicz, Dariusz J.; Richard, Pierre; Skubala, Piotr; Stempniewicz, Lech</t>
  </si>
  <si>
    <t>Transfer of ornithogenic influence through different trophic levels of the Arctic terrestrial ecosystem of Bjornoya (Bear Island), Svalbard</t>
  </si>
  <si>
    <t>Diversity; Food web; Mites; Seabirds; Springtails; Vegetation</t>
  </si>
  <si>
    <t>KING GEORGE ISLAND; MOSS-TURF HABITAT; ARTHROPOD COMMUNITIES; BACTERIAL DIVERSITY; FALKLAND ISLANDS; NUTRIENT INPUTS; SEABIRD COLONY; CLIMATE-CHANGE; ACARI ASCIDAE; SOIL</t>
  </si>
  <si>
    <t>Despite widespread recognition of the crucial role seabirds play in the fertilization of nutrient-poor polar terrestrial ecosystems, no studies have attempted a concurrent analysis of the entire or large proportion of an ornithogenically-supported food web. The aim of the current study was to assess the significance of allochthonous nutrient enrichment of key elements of the Bjornoya (Svalbard) terrestrial ecosystem by investigating how different seabird species influenced the characteristics of soil, vegetation, and soil invertebrates (direct ornithogenic effects), and also how those characteristics were interrelated (indirect ornithogenic effects). We sampled in the vicinity of a little auk (Alle alle) colony, and in areas occupied by great skua (Stercorarius skua) and glaucous gull (Larus hyperboreus) nests. Our data demonstrate clear, multi-trophic-level, ornithogenic impacts across the terrestrial ecosystem, with most of the measured parameters of soil, vegetation and invertebrates being altered by proximity to bird nesting areas, though to varying degrees. The ornithogenic effects tended to weaken with increasing complexity of interactions between the ecosystem components, with progression through successive trophic levels. The clearest responses were observed for soil (higher nitrogen stable isotope ratio delta N-15, nitrogen and water content) and vegetation characteristics (higher delta N-15, N content and total cover, lower diversity and species number, and modified community composition). The responses seen in the invertebrate communities were less clear (community composition change), and were only apparent when major invertebrate groups were considered together and for the assumed decomposers: springtails and oribatid mites, while not in the case of predators (mesostigmatid mites and one spider species). There were also suggestions in the data that different seabird species may have different impacts on the surrounding environment, probably due to their different diet and nesting area topography. However, generally, the species of bird was a weaker factor than the presence of a seabird colony or nest itself. (C) 2017 Elsevier Ltd. All rights reserved.</t>
  </si>
  <si>
    <t>[Zmudczynska-Skarbek, Katarzyna; Barcikowski, Mateusz; Stempniewicz, Lech] Univ Gdansk, Fac Biol, Dept Vertebrate Ecol &amp; Zool, Wita Stwosza 59, PL-80308 Gdansk, Poland; [Drobniak, Szymon M.] Jagiellonian Univ, Inst Environm Sci, Gronostajowa 7, PL-30387 Krakow, Poland; [Drobniak, Szymon M.] Uppsala Univ, Evolutionary Biol Ctr, Dept Anim Ecol, Norbyvagen 18D, S-75236 Uppsala, Sweden; [Gwiazdowicz, Dariusz J.] Poznan Univ Life Sci, Dept Forest Pathol, Wojska Polskiego 71, Poznan, Poland; [Richard, Pierre] Univ La Rochelle, CNRS, Littoral Environm &amp; Soc, UMR 7266, 2 Rue Olympe Gouges, F-17000 La Rochelle, France; [Skubala, Piotr] Univ Silesia, Dept Ecol, Bankowa 9, PL-40007 Katowice, Poland</t>
  </si>
  <si>
    <t>Fahrenheit Universities; University of Gdansk; Jagiellonian University; Uppsala University; Poznan University of Life Sciences; La Rochelle Universite; Centre National de la Recherche Scientifique (CNRS); CNRS - Institute of Ecology &amp; Environment (INEE); University of Silesia in Katowice</t>
  </si>
  <si>
    <t>Zmudczynska-Skarbek, K (corresponding author), Univ Gdansk, Fac Biol, Dept Vertebrate Ecol &amp; Zool, Wita Stwosza 59, PL-80308 Gdansk, Poland.</t>
  </si>
  <si>
    <t>biozmud@ug.edu.pl</t>
  </si>
  <si>
    <t>Zmudczynska-Skarbek, Katarzyna/HNP-0022-2023; Drobniak, Szymon Marian/K-4954-2015; Stempniewicz, Lech/JAN-4833-2023; Richard, Pierre J/N-6482-2014</t>
  </si>
  <si>
    <t>Drobniak, Szymon Marian/0000-0001-8101-6247; Stempniewicz, Lech/0000-0001-9405-7320; Zmudczynska-Skarbek, Katarzyna/0000-0003-2276-4565; Gwiazdowicz, Dariusz/0000-0002-0064-2316; Skubala, Piotr/0000-0002-9209-0167</t>
  </si>
  <si>
    <t>Polish Ministry of Science and Higher Education [1883/P01/2007/32, IPY/25/2007, 3290/B/P01/2009/36]; Polish-Norwegian Research Fund [PNRF-234-AI-1/07]; Faculty of Biology, University of Gdansk [538-L120-B082-13, 538-L120-B605-14, 538-L120-B949-15]; Swedish Institute</t>
  </si>
  <si>
    <t>Polish Ministry of Science and Higher Education(Ministry of Science and Higher Education, Poland); Polish-Norwegian Research Fund; Faculty of Biology, University of Gdansk; Swedish Institute</t>
  </si>
  <si>
    <t>We thank Bartels Hajek (University of Gdansk, Poland) for moss, Magdalena Lazarus (Univ. of Gdansk, Poland) for graminoid, and Arne Fjellberg (Norway) for springtail species identification, Gael Guillou (Universite de La Rochelle, France) for running the isotopic analyses, and also Dorota Kidawa (Univ. of Gdansk, Poland) for assistance in data collection and laboratory analyses, and great company during the expedition. We are also grateful to Adrian Zwolicki (Univ. of Gdansk, Poland) for the constructive discussion on the study results, and Peter Convey (British Antarctic Survey, UK) for discussion and linguistic improvement. This study was supported by the Polish Ministry of Science and Higher Education (Grants Nos. 1883/P01/2007/32, IPY/25/2007, and 3290/B/P01/2009/36), Polish-Norwegian Research Fund (Grant No. PNRF-234-AI-1/07, Alkekonge), and the Faculty of Biology, University of Gdansk (Grant Nos. 538-L120-B082-13, 538-L120-B605-14, and 538-L120-B949-15) to KZS, and the Swedish Institute via the Visby Fellowship to SMD. The study was performed under permit from the Governor of Svalbard.</t>
  </si>
  <si>
    <t>10.1016/j.soilbio.2017.09.008</t>
  </si>
  <si>
    <t>FM3BT</t>
  </si>
  <si>
    <t>WOS:000414880000051</t>
  </si>
  <si>
    <t>Astorga-Espana, MS; Mansilla, A; Ojeda, J; Marambio, J; Rosenfeld, S; Mendez, F; Rodriguez, JP; Ocaranza, P</t>
  </si>
  <si>
    <t>Astorga-Espana, Ma. S.; Mansilla, A.; Ojeda, J.; Marambio, J.; Rosenfeld, S.; Mendez, F.; Rodriguez, J. P.; Ocaranza, P.</t>
  </si>
  <si>
    <t>Nutritional properties of dishes prepared with sub-Antarctic macroalgae-an opportunity for healthy eating</t>
  </si>
  <si>
    <t>Edible macroalgae; Fatty acid; Mineral; Nutritional composition; Sub-Antarctic seaweeds</t>
  </si>
  <si>
    <t>FATTY-ACIDS; MARINE MACROALGAE; SEAWEEDS; PROSPECTS; REGION; FOOD; ALGA; RED</t>
  </si>
  <si>
    <t>In order to promote the use of sub-Antarctic macroalgae as food, three species of seaweeds, Macrocystis pyrifera, Pyropia columbina, and Durvillaea antarctica, were used as ingredients in a variety of dishes such as cochayuyo bread, cochayuyo hamburgers, cochayuyo fettuccine, huiro fritters, huiro breadsticks, and luche-parsley pesto. Subsequently, the nutritional value of each of the dishes was analyzed. The chemical composition, including carbohydrates, proteins, lipids, sodium, and the fatty acid (FA) content, was examined. In general, the prepared food varieties demonstrated low lipid contents (4.1 to 8.5% dry weight, dw), moderate concentrations of protein (6.9 to 12.7% dw), and highly variable contents of total dietary fiber (1.3 to 18.9% dw). The fatty acid patterns were different for all prepared dishes, and the FA profile exhibited a beneficial contribution of polyunsaturated fatty acids (PUFAs), with a preponderance of linoleic acid and alpha-linolenic. The chemical composition of the dishes was compared to that of similar and commonly consumed food like white bread, hamburgers, fettuccine made of dough enriched with eggs, fritters, breadsticks, and green pesto. The results suggest that macroalgae can be used as an ingredient in prepared food where they may contribute successfully to a more balanced diet and to maintain the organoleptic characteristics in commercially attractive prepared food like cochayuyo bread, cochayuyo hamburger, cochayuyo fettuccine, huiro breadsticks, and luche-parsley pesto.</t>
  </si>
  <si>
    <t>[Astorga-Espana, Ma. S.; Mansilla, A.] Univ Magallanes, Dept Sci &amp; Nat Resources, 01855 Bulnes Ave,POB 113-D, Punta Arenas, Chile; [Mansilla, A.; Ojeda, J.; Marambio, J.; Rosenfeld, S.; Mendez, F.; Rodriguez, J. P.; Ocaranza, P.] Univ Magallanes, LMAS, Ave Bulnes 01855,POB 113-D, Punta Arenas, Chile; [Mansilla, A.; Ojeda, J.] Inst Ecol &amp; Biodivers, Santiago, Chile</t>
  </si>
  <si>
    <t>Universidad de Magallanes; Universidad de Magallanes</t>
  </si>
  <si>
    <t>Astorga-Espana, MS (corresponding author), Univ Magallanes, Dept Sci &amp; Nat Resources, 01855 Bulnes Ave,POB 113-D, Punta Arenas, Chile.</t>
  </si>
  <si>
    <t>msoledad.astorga@umag.cl</t>
  </si>
  <si>
    <t>Ojeda, Jaime/HHN-1455-2022; Provoste, Juan Pablo Rodríguez/W-2988-2019</t>
  </si>
  <si>
    <t>marambio, johanna/0000-0003-1958-0351; Mansilla, Andres/0000-0003-3505-7018; Astorga Espana, Maria Soledad/0000-0003-0647-7515; Rosenfeld, Sebastian/0000-0002-4363-8018; ojeda, jaime/0000-0003-3863-9750</t>
  </si>
  <si>
    <t>Regional Government through the Innovation Fund for Competitiveness [30111118, 30127816]; FONDECYT [1140940 A]</t>
  </si>
  <si>
    <t>Regional Government through the Innovation Fund for Competitiveness; FONDECYT(Comision Nacional de Investigacion Cientifica y Tecnologica (CONICYT)CONICYT FONDECYT)</t>
  </si>
  <si>
    <t>The authors would like to thank the Regional Government for funding the projects Sub-antarctic macroalgae opportunities for Gastronomic Tourism and Artisan Fishery BIP Code: 30111118, Transfer of healthy eating based on subantarctic macroalgae BIP Code: 30127816 through the Innovation Fund for Competitiveness and FONDECYT Grant 1140940 A. Mansilla Macroalgal adaptive radiation: potential links to ecological niche diversity in the ecoregion of Magallanes and Chilean Antarctic. They would also like to thank chef Luis Gonzales for preparing the dishes and the Academic Writing Center at the UMAG for editing the usage of English throughout the text.</t>
  </si>
  <si>
    <t>10.1007/s10811-017-1131-5</t>
  </si>
  <si>
    <t>WOS:000413299100025</t>
  </si>
  <si>
    <t>Méndez, F; Tala, F; Rautenberger, R; Ojeda, J; Rosenfeld, S; Rodríguez, JP; Marambio, J; Ocaranza, P; Mansilla, A</t>
  </si>
  <si>
    <t>Mendez, F.; Tala, F.; Rautenberger, R.; Ojeda, J.; Rosenfeld, S.; Rodriguez, J. P.; Marambio, J.; Ocaranza, P.; Mansilla, A.</t>
  </si>
  <si>
    <t>Morphological and physiological differences between two morphotypes of Durvillaea antarctica (Phaeophyceae) from the sub-Antarctic ecoregion of Magallanes, Chile</t>
  </si>
  <si>
    <t>Durvillaea; Morphotype; Morphology; Photosynthesis; Pigments; Sub-Antarctic; PAM fluorometry</t>
  </si>
  <si>
    <t>NEW-ZEALAND; MAGELLAN REGION; SP-NOV; SEAWEEDS; PHOTOSYNTHESIS; DURVILLEALES; EVOLUTION; ECOLOGY</t>
  </si>
  <si>
    <t>The coastal marine ecosystems of the sub-Antarctic ecoregion of Magallanes in southern Chile are strongly characterized by environmental heterogeneity with a unique and high biodiversity of benthic macroalgae. The kelp Durvillaea antarctica (Phaeophyceae) is abundant in the intertidal in this region. Two morphotypes, one with elongated-cylindrical (morphotype EC) and one with laminar (morphotype L) blades, have been collected from a wave-protected site at the Strait of Magellan and the wave-exposed shores of the isolated Otway Sound. Morphometric and physiological (by chlorophyll fluorescence) analyses showed significant differences between the two morphotypes regarding the morphology, the maximum electron transport rates (ETRmax), and the chlorophyll c concentration. These morphological and physiological differences can be linked to their hydrodynamic environment. The presence of two different species in the region of Magallanes based on the measured parameters is discussed. This study may be useful for future genetic and biotechnological investigations and draws attention to D. antarctica as a species of commercial value among the marine resources of Chile.</t>
  </si>
  <si>
    <t>[Mendez, F.; Rautenberger, R.; Ojeda, J.; Rosenfeld, S.; Rodriguez, J. P.; Marambio, J.; Ocaranza, P.; Mansilla, A.] Univ Magallanes, Fac Ciencias, LEMAS, Casilla 113-D, Punta Arenas, Chile; [Mendez, F.; Rodriguez, J. P.; Marambio, J.; Mansilla, A.] IEB, Las Palmeras 3425, Santiago 8320000, Nunoa, Chile; [Mendez, F.; Rodriguez, J. P.; Marambio, J.; Ocaranza, P.] Univ Magallanes, Programa Magister Ciencias Menc Manejo Conservac, Casilla 113-D, Punta Arenas, Chile; [Tala, F.] Univ Catolica Norte, Fac Ciencias Mar, CIDTA, Larrondo 1281, Coquimbo, Chile</t>
  </si>
  <si>
    <t>Universidad de Magallanes; Universidad de Magallanes; Universidad Catolica del Norte</t>
  </si>
  <si>
    <t>Mendez, F (corresponding author), Univ Magallanes, Fac Ciencias, LEMAS, Casilla 113-D, Punta Arenas, Chile.;Mendez, F (corresponding author), IEB, Las Palmeras 3425, Santiago 8320000, Nunoa, Chile.;Mendez, F (corresponding author), Univ Magallanes, Programa Magister Ciencias Menc Manejo Conservac, Casilla 113-D, Punta Arenas, Chile.</t>
  </si>
  <si>
    <t>fabiomendezmansilla@gmail.com</t>
  </si>
  <si>
    <t>Provoste, Juan Pablo Rodríguez/W-2988-2019; Tala, Fadia/R-9292-2019; Rautenberger, Ralf/AAD-2659-2020; Ojeda, Jaime/HHN-1455-2022</t>
  </si>
  <si>
    <t>Mansilla, Andres/0000-0003-3505-7018; ojeda, jaime/0000-0003-3863-9750; Rosenfeld, Sebastian/0000-0002-4363-8018; marambio, johanna/0000-0003-1958-0351; Rautenberger, Ralf/0000-0002-1339-2838</t>
  </si>
  <si>
    <t>FONDECYT grants of Chile's National Council for Research in Science and Technology (CONICYT) [1131023-FT, 1140940-AM]; Institute of Ecology and Biodiversity (IEB) [ICM P05-002, PFB-232008]; Academic Writing Center (AWC) of the Universidad de Magallanes</t>
  </si>
  <si>
    <t>FONDECYT grants of Chile's National Council for Research in Science and Technology (CONICYT); Institute of Ecology and Biodiversity (IEB); Academic Writing Center (AWC) of the Universidad de Magallanes</t>
  </si>
  <si>
    <t>The authors of the present study are grateful to the financial support by the FONDECYT grants 1131023-FT (Long-distance dispersal of macroalgae at high latitudes-floating kelp rafts capacity of nature under conditions along a latitudinal) and 1140940-AM (Macroalgal adaptive radiation: potential links to the diversity of ecological niches in the ecoregion Magellan and Antarctic) of Chile's National Council for Research in Science and Technology (CONICYT). We also thank the Masters scholarships awarded by the Institute of Ecology and Biodiversity (IEB) to Fabio Mendez (ICM P05-002), Juan Pablo Rodriguez (ICM P05-002), and Johanna Marambio (PFB-232008). The facilities and equipment used for the present study were kindly provided by the Laboratorio de Ecosistemas de Macroalgas Antarticas y Subantarticas (LEMAS) and the Instituto de la Patagonia at the Universidad de Magallanes (UMAG) in Punta Arenas, Chile. Last but not least, the authors are also grateful to the support from the Academic Writing Center (AWC) of the Universidad de Magallanes.</t>
  </si>
  <si>
    <t>10.1007/s10811-017-1135-1</t>
  </si>
  <si>
    <t>WOS:000413299100040</t>
  </si>
  <si>
    <t>Mansilla, AO; Avila, M; Cáceres, J</t>
  </si>
  <si>
    <t>Omar Mansilla, Andres; Avila, M.; Caceres, J.</t>
  </si>
  <si>
    <t>Reproductive biology of Durvillaea antarctica (Chamisso) Hariot in the sub-Antartic ecoregion of Magallanes (51-56A° S)</t>
  </si>
  <si>
    <t>Durvillaea antarctica; Durvilleales; Phaeophyceae; Reproduction; Phenology</t>
  </si>
  <si>
    <t>CENTRAL CHILE; NEW-ZEALAND; LESSONIA-NIGRESCENS; SOUTHERN CHILE; PHAEOPHYTA; KELP; DURVILLEALES; MACROCYSTIS</t>
  </si>
  <si>
    <t>Durvillaea antarctica (Chamisso) Hariot is a large kelp commonly found on the exposed rocky shores of the Chilean coastline. It is endemic to the Southern Hemisphere and is used for direct consumption in the human diet and for alginate extraction; it is commonly known as cochayuyo (word from Chilean indigenous population Mapudungun language). The species occurs in the sub-Antarctic region and is found from Coquimbo (30A degrees S) to Cape Horn (56A degrees S). This study investigates and describes the seasonal reproductive strategies of D. antarctica located in the far south of the Chilean coast, in the region of the Magallanes (51-56A degrees S), Chile, during the period of a year. Samples were taken in quadrants of 10 m(2) parallel to the coastline in the intertidal zone of three locations during consecutive seasons. Both the phenological stages and the different states of maturity in individuals were determined. These findings were used to describe the main characteristics of the reproductive cycle and the spatial heterogeneity that may exist between the reproductive processes within each studied area. The results indicate that in all three studied localities of D. antarctica reproductive individuals are present throughout the year. The largest amount of reproductive individuals tends to exist in autumn and winter, with the numbers subsequently decreasing in spring and summer. In all studied localities, it was possible to identify male and female non-reproductive individuals. The largest number of male and female plants in the studied populations was found from autumn to winter; however, there were shifts in the proportions during these periods that lead to an increase in male over female fronds. In all localities, both male and female individuals in different stages of maturity were found, with the level of maturity depending on locality and season. Mature fronds were found more frequently during autumn and winter although the measures of maturity vary between different localities. Based on these results we conclude that D. antarctica is a species with present reproductive individuals throughout the year, similar to populations of this species described for other sub-Antarctic latitude. It is possible that there could be a cryptic species in the region, presenting morphological and reproductive variability that did not agree well with the circumscription of the species. Therefore, studies of ecophysiological and molecular aspects are needed to clarify the taxonomic status of this species in the sub-Antarctic region of Magallanes.</t>
  </si>
  <si>
    <t>[Omar Mansilla, Andres] Univ Magallanes, LMAS, Casilla 113-D, Punta Arenas, Chile; [Omar Mansilla, Andres] IEB, Santiago, Chile; [Omar Mansilla, Andres] Univ Magallanes, Ciencias &amp; Recursos Nat, Ave Bulnes, Punta Arenas 01855, Punta Arenas, Chile; [Avila, M.] Univ Arturo Prat, Inst Ciencia &amp; Tecnol, Ejercito 443, Puerto Montt, Chile; [Caceres, J.] Univ Santo Tomas, CiiCC, Calle Ejercito Libertador 146, Santiago, Chile</t>
  </si>
  <si>
    <t>Universidad de Magallanes; Universidad de Magallanes; Universidad Arturo Prat; Universidad Santo Tomas</t>
  </si>
  <si>
    <t>Mansilla, AO (corresponding author), Univ Magallanes, LMAS, Casilla 113-D, Punta Arenas, Chile.;Mansilla, AO (corresponding author), IEB, Santiago, Chile.;Mansilla, AO (corresponding author), Univ Magallanes, Ciencias &amp; Recursos Nat, Ave Bulnes, Punta Arenas 01855, Punta Arenas, Chile.</t>
  </si>
  <si>
    <t>andres.mansilla@umag.cl</t>
  </si>
  <si>
    <t>Mansilla, Andres/0000-0003-3505-7018</t>
  </si>
  <si>
    <t>Fondo de Investigacion Pesquera [FIP-2005-44]; FONDECYT [1140940]</t>
  </si>
  <si>
    <t>Fondo de Investigacion Pesquera; FONDECYT(Comision Nacional de Investigacion Cientifica y Tecnologica (CONICYT)CONICYT FONDECYT)</t>
  </si>
  <si>
    <t>The authors wish to thank the Fondo de Investigacion Pesquera for financing the project FIP-2005-44 Bases biologicas para el manejo de macroalgas pardas en la XII Region (Biological basis for the management of brown seaweeds in the XII Region), to the project FONDECYT 1140940 Macroalgal adaptive radiation: potential links to ecological niche diversity in the ecoregion of Magallanes and Chilean Antarctic, MSc Sebastian Rosenfeld for preparing the map and Johanna Marambio for the logistic support.</t>
  </si>
  <si>
    <t>10.1007/s10811-017-1077-7</t>
  </si>
  <si>
    <t>WOS:000413299100041</t>
  </si>
  <si>
    <t>Morrissey, LJ; Hand, M; Kelsey, DE</t>
  </si>
  <si>
    <t>Morrissey, Laura J.; Hand, Martin; Kelsey, David E.</t>
  </si>
  <si>
    <t>A curious case of agreement between conventional thermobarometry and phase equilibria modelling in granulites: New constraints on P-T estimates in the Antarctica segment of the Musgrave-Albany-Fraser-Wilkes Orogen</t>
  </si>
  <si>
    <t>JOURNAL OF METAMORPHIC GEOLOGY</t>
  </si>
  <si>
    <t>Albany-Fraser Orogen; Antarctica; phase equilibria modelling; thermocalc; Windmill Islands</t>
  </si>
  <si>
    <t>ULTRAHIGH-TEMPERATURE METAMORPHISM; TRANSPRESSIVE SHEAR ZONE; NORTH AUSTRALIAN CRATON; EAST ANTARCTICA; U-PB; FACIES METAMORPHISM; WINDMILL-ISLANDS; MINERAL ASSEMBLAGES; WESTERN-AUSTRALIA; MONAZITE GROWTH</t>
  </si>
  <si>
    <t>The Windmill Islands region in Wilkes Land, east Antarctica, preserves granulite facies metamorphic mineral assemblages that yield seemingly comparable P-T estimates from conventional thermobarometry and mineral equilibria modelling. This is uncommon in granulite facies terranes, where conventional thermobarometry and phase equilibria modelling generally produce conflicting P-T estimates because peak mineral compositions tend to be modified by retrograde diffusion processes. In situ U-Pb monazite geochronology and calculated metamorphic phase diagrams show that the Windmill Islands experienced two phases of high thermal gradient metamorphism during the Mesoproterozoic. The first phase of metamorphism is recorded by monazite ages in two widely separated samples and occurred at c. 1,305Ma. This event was regional in extent, involved crustally derived magmatism and reached conditions of similar to 3.2-5kbar and 690-770 degrees C corresponding to very high thermal gradients of &gt;150 degrees C/kbar. The elevated thermal regime is interpreted to reflect a period of extension or increased extension in a back-arc setting that existed prior to c. 1,330Ma. The first metamorphic event was overprinted by granulite facies metamorphism at c. 1,180Ma that was coeval with the intrusion of charnockite. This event involved peak temperatures of similar to 840-850 degrees C and pressures of similar to 4-5kbar. A phase of granitic magmatism at c.1,250-1,210Ma, prior to the intrusion of the charnockite, is interpreted to reflect a phase of compression within an overall back-arc setting. Existing conventional thermobarometry suggests conditions of similar to 4kbar and 750 degrees C for M-1 and 4-7kbar and 750-900 degrees C for M-2. The apparent similarities between the phase equilibria modelling and existing conventional thermobarometry may suggest either that the terrane cooled relatively quickly, or that the P-T ranges obtained from conventional thermobarometry are sufficiently imprecise that they cover the range of P-T conditions obtained in this study. However, without phase equilibria modelling, the veracity of existing conventional P-T estimates cannot be evaluated. The calculated phase diagrams from this study allow the direct comparison of P-T conditions in the Windmill Islands with phase equilibria models from other regions in the Musgrave-Albany-Fraser-Wilkes Orogen. This shows that the metamorphic evolution of the Wilkes Land region is very similar to that of the eastern Albany-Fraser Orogen and Musgrave Province in Australia, and further demonstrates the remarkable consistency in the timing of metamorphism and the thermal gradients along the similar to 5,000km strike length of this system.</t>
  </si>
  <si>
    <t>[Morrissey, Laura J.; Hand, Martin; Kelsey, David E.] Univ Adelaide, Dept Earth Sci, Adelaide, SA, Australia; [Morrissey, Laura J.] Univ South Australia, Sch Nat &amp; Built Environm, Adelaide, SA, Australia</t>
  </si>
  <si>
    <t>University of Adelaide; University of South Australia</t>
  </si>
  <si>
    <t>Morrissey, LJ (corresponding author), Univ South Australia, Sch Nat &amp; Built Environm, Adelaide, SA, Australia.</t>
  </si>
  <si>
    <t>laura.morrissey@unisa.edu.au</t>
  </si>
  <si>
    <t>Kelsey, David E/D-3676-2009</t>
  </si>
  <si>
    <t>hand, martin/0000-0003-3743-9706; Morrissey, Laura/0000-0001-7506-6117</t>
  </si>
  <si>
    <t>Australian Antarctic Science Grant [4191]</t>
  </si>
  <si>
    <t>Australian Antarctic Science Grant</t>
  </si>
  <si>
    <t>Australian Antarctic Science, Grant/Award Number: 4191</t>
  </si>
  <si>
    <t>0263-4929</t>
  </si>
  <si>
    <t>1525-1314</t>
  </si>
  <si>
    <t>J METAMORPH GEOL</t>
  </si>
  <si>
    <t>J. Metamorph. Geol.</t>
  </si>
  <si>
    <t>10.1111/jmg.12266</t>
  </si>
  <si>
    <t>FL9SI</t>
  </si>
  <si>
    <t>WOS:000414597400005</t>
  </si>
  <si>
    <t>Farias, DR; Schmidt, E; Simioni, C; Bouzon, ZL; Hurd, CL; Eriksen, RS; Macleod, CK</t>
  </si>
  <si>
    <t>Farias, D. R.; Schmidt, E.; Simioni, C.; Bouzon, Z. L.; Hurd, C. L.; Eriksen, R. S.; Macleod, C. K.</t>
  </si>
  <si>
    <t>Photosynthetic and ultrastructural responses of Ulva australis to Zn stress</t>
  </si>
  <si>
    <t>MICRON</t>
  </si>
  <si>
    <t>Cytochemistry; Cytology; Metal pollution; Physiology; Seaweeds</t>
  </si>
  <si>
    <t>PHYSIOLOGICAL-RESPONSES; CELLULAR ARCHITECTURE; ELECTRON-TRANSPORT; ANTIKYRA GULF; HEAVY-METALS; BROWN-ALGAE; COPPER; SEAWEEDS; CADMIUM; LEAD</t>
  </si>
  <si>
    <t>This research evaluated the effect of zinc (Zn) on the ultrastructure and the photosynthetic efficiency of a common green alga. Ulva australis was grown in the laboratory for 7 days under a range of different Zn concentrations (0, 25, 50 and 100 mu g L-1). Growth rate (Gr), photosynthetic efficiency (Fv/Fm and ETRmax), photosynthetic pigments, and metal accumulation were measured. Samples of 1 mm length were taken to analyse the effect of Zn on the ultrastructure using transmission electron microscopy (TEM) and cytochemical responses (TB-O and PAS) were evaluated by light microscopy (LM). There were no significant differences in the growth rate, Fv/Fm, ETRmax and the photosynthetic pigments chlorophyll a, chlorophyll b and carotenoids (p &gt; 0.05) after 7 days of Zn exposure. However, TEM revealed cytoplasm retraction, compression of cellulose fibrils, dissembled thylakoids and electron-dense bodies suggesting ultrastructural impacts from metal exposure and accumulation. Cytological analysis demonstrated that Zn affected U. australis cells at the three concentrations tested. The main effect was cytoplasm retraction and a decrease on the amount of starch granules, following exposure at 25 mu g L-1 and 50 mu g L-1 of Zn. We conclude that concentrations of Zn assessed in U. australis in this research has a short-term cellular effect as revealed by TEM and cytological analysis, demonstrating the importance of measuring a broad suite of endpoints to better understand species responses to environmentally relevant concentrations of Zn. However, U. australis was able to physiologically tolerate adverse conditions, since there was no effect on the photosynthetic performance and growth.</t>
  </si>
  <si>
    <t>[Farias, D. R.; Macleod, C. K.] Univ Tasmania, Inst Marine &amp; Antarctic Studies Fisheries Aquacul, Taroona, Tas 7053, Australia; [Schmidt, E.; Simioni, C.; Bouzon, Z. L.] Univ Fed Santa Catarina, Dept Cell Biol Embryol &amp; Genet, Plant Cell Biol Lab, CP 476, BR-88049900 Florianopolis, SC, Brazil; [Hurd, C. L.] Univ Tasmania, IMAS, 20 Castray Esplanade, Hobart, Tas 7004, Australia; [Eriksen, R. S.] UTAS, Antarctic Climate &amp; Ecosyst CRC, Private Bag 80, Hobart, Tas 7001, Australia; [Eriksen, R. S.] CSIRO Oceans &amp; Atmosphere, Hobart, Tas 7004, Australia</t>
  </si>
  <si>
    <t>University of Tasmania; Universidade Federal de Santa Catarina (UFSC); University of Tasmania; University of Tasmania; Commonwealth Scientific &amp; Industrial Research Organisation (CSIRO)</t>
  </si>
  <si>
    <t>Farias, DR (corresponding author), Univ Tasmania, Inst Marine &amp; Antarctic Studies Fisheries Aquacul, Taroona, Tas 7053, Australia.</t>
  </si>
  <si>
    <t>bouzon, zenilda laurita/I-6673-2012; Farias, Daniela R/HOF-3829-2023; Macleod, Catriona/J-7176-2014; Hurd, Catriona/J-2411-2013; Eriksen, Ruth/J-7760-2014</t>
  </si>
  <si>
    <t>Macleod, Catriona/0000-0002-0539-6361; Hurd, Catriona/0000-0001-9965-4917; Eriksen, Ruth/0000-0002-5184-2465</t>
  </si>
  <si>
    <t>Holsworth Wildlife Research Endowment - Equity Trustees Charitable Foundation</t>
  </si>
  <si>
    <t>The authors would like to acknowledge to the Central Laboratory of Electron Microscopy, Federal University of Santa Catarina, Florianopolis, Santa Catarina, Brasil (LCME-UFSC) for the use of their transmission electron microscope. This research was funding by The Holsworth Wildlife Research Endowment - Equity Trustees Charitable Foundation.</t>
  </si>
  <si>
    <t>0968-4328</t>
  </si>
  <si>
    <t>1878-4291</t>
  </si>
  <si>
    <t>Micron</t>
  </si>
  <si>
    <t>10.1016/j.micron.2017.09.010</t>
  </si>
  <si>
    <t>Microscopy</t>
  </si>
  <si>
    <t>FM0AV</t>
  </si>
  <si>
    <t>WOS:000414622100006</t>
  </si>
  <si>
    <t>Li, CC; Liu, SH; Yao, XH; Wang, J; Wang, TL; Zhang, ZH; Zhang, PY; Chen, KS</t>
  </si>
  <si>
    <t>Li, Chengcheng; Liu, Shenghao; Yao, Xinghao; Wang, Jing; Wang, Tailin; Zhang, Zhaohui; Zhang, Pengying; Chen, Kaoshan</t>
  </si>
  <si>
    <t>PnF3H, a flavanone 3-hydroxylase from the Antarctic moss Pohlia nutans, confers tolerance to salt stress and ABA treatment in transgenic Arabidopsis</t>
  </si>
  <si>
    <t>PLANT GROWTH REGULATION</t>
  </si>
  <si>
    <t>Antarctic moss; Flavonoids; Flavanone 3-hydroxylase; Phenotype; Salt stress</t>
  </si>
  <si>
    <t>RECEPTOR-LIKE KINASE; GENE-EXPRESSION; BIOSYNTHETIC-PATHWAY; OXIDATIVE STRESS; ABIOTIC STRESS; OVEREXPRESSION; PLANT; IDENTIFICATION; ACCUMULATION; FLAVONOIDS</t>
  </si>
  <si>
    <t>Flavonoids are widely distributed secondary metabolites in plants. However, far less research has been carried out on genes involved in the flavonoid biosynthetic pathways in bryophytes. Here, a novel flavanone 3-hydroxylase gene (PnF3H) was cloned from Antarctic moss Pohlia nutans. Subcellular localization revealed that PnF3H were mainly distributed to cytosol. The expression of PnF3H was rapidly induced by salt, UV-B, cold and drought stresses as well as by exogenously applied abscisic acid (ABA). Transgenic Arabidopsis plants of overexpressing PnF3H exhibited enhanced tolerance to salt and oxidative stresses. The expression levels of several stress resistance genes (i.e., AtSOS3, AtP5CS1, AtHKT1, AtCAT1 and AtAPX1) were markedly up-regulated in transgenic plants. The activities of antioxidant enzymes were increased, while the content of hydrogen peroxide was obviously decreased in PnF3H transgenic plants. Meanwhile, the expression levels of ABA-responsive genes which confer for controlling seeds germination, such as AtABI4, AtABI5, AtABI3 and AtABF3 were markedly decreased. Additionally, overexpressing PnF3H alleviated the inhibitory effects of naringenin on plant growth and changed the flavonoid components in transgenic plants. Therefore, we proposed that PnF3H was a flavanone 3-hydroxylase involving in regulating the salinity tolerance and ABA sensitivity to enable P. nutans to adapt to polar climates.</t>
  </si>
  <si>
    <t>[Li, Chengcheng; Yao, Xinghao; Wang, Jing; Wang, Tailin; Zhang, Pengying; Chen, Kaoshan] Shandong Univ, Natl Glycoengn Res Ctr, Jinan 250100, Shandong, Peoples R China; [Liu, Shenghao; Zhang, Zhaohui] State Ocean Adm, Inst Oceanog 1, Marine Ecol Res Ctr, Qingdao 266061, Peoples R China; [Li, Chengcheng; Yao, Xinghao; Wang, Tailin; Zhang, Pengying; Chen, Kaoshan] Shandong Prov Key Lab Carbohydrate Chem &amp; Glycobi, Jinan 250100, Shandong, Peoples R China</t>
  </si>
  <si>
    <t>Shandong University; First Institute of Oceanography, Ministry of Natural Resources</t>
  </si>
  <si>
    <t>Zhang, PY (corresponding author), Shandong Univ, Natl Glycoengn Res Ctr, Jinan 250100, Shandong, Peoples R China.;Zhang, PY (corresponding author), Shandong Prov Key Lab Carbohydrate Chem &amp; Glycobi, Jinan 250100, Shandong, Peoples R China.</t>
  </si>
  <si>
    <t>zhangpy80@sdu.edu.cn</t>
  </si>
  <si>
    <t>jing, wang/KCZ-2144-2024; Liu, Shenghao/ISU-3076-2023</t>
  </si>
  <si>
    <t>Liu, Shenghao/0000-0002-1449-3526</t>
  </si>
  <si>
    <t>National Natural Science Foundation of China [41206176, 41476174]; Natural Science Foundation of Shandong Province [ZR2014DQ012]; Basic Scientific Fund for National Public Research Institutes of China [2014T04]; Excellent Creative Team Fund of Jinan</t>
  </si>
  <si>
    <t>National Natural Science Foundation of China(National Natural Science Foundation of China (NSFC)); Natural Science Foundation of Shandong Province(Natural Science Foundation of Shandong Province); Basic Scientific Fund for National Public Research Institutes of China; Excellent Creative Team Fund of Jinan</t>
  </si>
  <si>
    <t>This work was supported by the National Natural Science Foundation of China (41206176 and 41476174), Natural Science Foundation of Shandong Province (ZR2014DQ012), Basic Scientific Fund for National Public Research Institutes of China (2014T04), and Excellent Creative Team Fund of Jinan.</t>
  </si>
  <si>
    <t>0167-6903</t>
  </si>
  <si>
    <t>1573-5087</t>
  </si>
  <si>
    <t>PLANT GROWTH REGUL</t>
  </si>
  <si>
    <t>Plant Growth Regul.</t>
  </si>
  <si>
    <t>10.1007/s10725-017-0314-z</t>
  </si>
  <si>
    <t>FL6SW</t>
  </si>
  <si>
    <t>WOS:000414377500013</t>
  </si>
  <si>
    <t>Bianchi, E; Solarte, A; Guozden, TM</t>
  </si>
  <si>
    <t>Bianchi, Emilio; Solarte, Andres; Manuel Guozden, Tomas</t>
  </si>
  <si>
    <t>Large scale climate drivers for wind resource in Southern South America</t>
  </si>
  <si>
    <t>RENEWABLE ENERGY</t>
  </si>
  <si>
    <t>Southern South America; Wind resource; AAO; ENSO</t>
  </si>
  <si>
    <t>ANTARCTIC OSCILLATION; ANNULAR MODES; VARIABILITY; CIRCULATION; IMPACTS; ENERGY; POWER; 21ST-CENTURY; PATTERNS; PACIFIC</t>
  </si>
  <si>
    <t>The relationship between the wind resource in Southern South America (SSA) and the Antarctic Oscillation (AAO) and El Nino/Southern Oscillation (ENSO) is analyzed in this paper. Daily, monthly, seasonal and annual correlations were calculated between wind speeds at 50 m height derived from MERRA reanalysis and the indices of the mentioned climate drivers. Our results shows that the AAO exerts a significant control over wind speeds on inter annual and seasonal timescales. This relation is stronger during spring and summer, with negative correlations over northern Patagonia, the Argentine and Uruguayan Pampas and Paraguay. ENSO shows weaker relations with wind speeds, mainly on the monthly timescale, with negative correlations over Central Argentina; and during spring, with negative correlations over Southern Patagonia. The relations between MO and wind speeds are relevant in the context of projected climate changes in the region over the next decades. ENSO might be used as a predictor of wind energy production over monthly and seasonal timescales (mainly during spring) in central Chile and Argentina, and Southern Patagonia. (C) 2017 Elsevier Ltd. All rights reserved.</t>
  </si>
  <si>
    <t>[Bianchi, Emilio; Solarte, Andres; Manuel Guozden, Tomas] Univ Nacl Rio Negro, Viedma, Argentina; [Manuel Guozden, Tomas] Univ Nacl Cuyo, Inst Balseiro, Mendoza, Argentina</t>
  </si>
  <si>
    <t>Comision Nacional de Energia Atomica (CNEA); University Nacional Cuyo Mendoza; Instituto Balseiro</t>
  </si>
  <si>
    <t>Guozden, TM (corresponding author), Mitre 630 1C, San Carlos De Bariloche, Rio Negro, Argentina.</t>
  </si>
  <si>
    <t>ebianchi@unrn.edu.ar</t>
  </si>
  <si>
    <t>Solarte Casanova, Edinson Andres/0000-0002-9088-393X</t>
  </si>
  <si>
    <t>Agencia Nacional de Promocion Cientifica y Tecnologica; Universidad Nacional de Rio Negro</t>
  </si>
  <si>
    <t>Agencia Nacional de Promocion Cientifica y Tecnologica(ANPCyTSpanish Government); Universidad Nacional de Rio Negro</t>
  </si>
  <si>
    <t>This work was supported by 1) Agencia Nacional de Promocion Cientifica y Tecnologica, 2) Universidad Nacional de Rio Negro.</t>
  </si>
  <si>
    <t>0960-1481</t>
  </si>
  <si>
    <t>1879-0682</t>
  </si>
  <si>
    <t>RENEW ENERG</t>
  </si>
  <si>
    <t>Renew. Energy</t>
  </si>
  <si>
    <t>10.1016/j.renene.2017.07.075</t>
  </si>
  <si>
    <t>Green &amp; Sustainable Science &amp; Technology; Energy &amp; Fuels</t>
  </si>
  <si>
    <t>Science &amp; Technology - Other Topics; Energy &amp; Fuels</t>
  </si>
  <si>
    <t>FJ3CD</t>
  </si>
  <si>
    <t>WOS:000412607000035</t>
  </si>
  <si>
    <t>Zhang, TJ; Pan, LJ; Huang, Q; Zhu, LH; Yang, N; Peng, CL; Chen, LB</t>
  </si>
  <si>
    <t>Zhang, T. J.; Pan, L. J.; Huang, Q.; Zhu, L. H.; Yang, N.; Peng, C. L.; Chen, L. B.</t>
  </si>
  <si>
    <t>Overexpression of calmodulin gene fragment from Antarctic notothenioid fish improves chilling tolerance in Nicotiana benthamiana</t>
  </si>
  <si>
    <t>PHOTOSYNTHETICA</t>
  </si>
  <si>
    <t>calcium-binding protein; chilling stress; chlorophyll fluorescence; electrolyte leakage; transgenic plants</t>
  </si>
  <si>
    <t>COLD TOLERANCE; OVER-EXPRESSION; CALCIUM; PROTEIN; TOBACCO; STRESS; KINASE; PLANTS; TRANSFORMATION; INCREASES</t>
  </si>
  <si>
    <t>Calmodulin (CaM) is a highly conserved calcium sensor protein associated with chilling tolerance in living organisms. It has four EF-hand domains for binding of four Ca2+, two of them located in the N-terminus, and the other two in the C-terminus. A notothenioid CaM gene fragment (CaMm), which only codes for N-terminus of CaM (with two EF-hand domains), was introduced into Nicotiana benthamiana. Effects of its overexpression on chilling tolerance in plants were explored. During 4au broken vertical bar C or 0au broken vertical bar C chilling treatment, both CaMm and CaM transgenic plants showed higher PSII maximum quantum yield, actual quantum yield, and soluble protein content, lower electrolyte leakage and malondialdehyde content than that of the control. The changes in these physiological indices were comparable between the CaMm and CaM transgenic plants during the treatments. These results indicate that the N-terminus of calmodulin is likely the key functional domain involved in the adaptive response to cold stress.</t>
  </si>
  <si>
    <t>[Zhang, T. J.; Pan, L. J.; Huang, Q.; Zhu, L. H.; Yang, N.; Peng, C. L.] South China Normal Univ, Coll Life Sci, Guangdong Prov Key Lab Biotechnol Plant Dev, Guangzhou Key Lab Subtrop Biodivers &amp; Biomonitori, Guangzhou 510631, Guangdong, Peoples R China; [Chen, L. B.] Shanghai Ocean Univ, Coll Fisheries &amp; Life Sci, Key Lab Explorat &amp; Utilizat Aquat Genet Resources, Shanghai, Peoples R China</t>
  </si>
  <si>
    <t>South China Normal University; Shanghai Ocean University</t>
  </si>
  <si>
    <t>Peng, CL (corresponding author), South China Normal Univ, Coll Life Sci, Guangdong Prov Key Lab Biotechnol Plant Dev, Guangzhou Key Lab Subtrop Biodivers &amp; Biomonitori, Guangzhou 510631, Guangdong, Peoples R China.;Chen, LB (corresponding author), Shanghai Ocean Univ, Coll Fisheries &amp; Life Sci, Key Lab Explorat &amp; Utilizat Aquat Genet Resources, Shanghai, Peoples R China.</t>
  </si>
  <si>
    <t>pengchl@scib.ac.cn; lbchen@shou.edu.cn</t>
  </si>
  <si>
    <t>, liangbiao/0000-0002-0717-8536</t>
  </si>
  <si>
    <t>973 program from Ministry of Science and Technology of China [2010CB126304]; National Natural Science Foundation of China [31570398, 31270287]; International Collaborative Polar Exploration Grant from CHINARE</t>
  </si>
  <si>
    <t>973 program from Ministry of Science and Technology of China(National Basic Research Program of China); National Natural Science Foundation of China(National Natural Science Foundation of China (NSFC)); International Collaborative Polar Exploration Grant from CHINARE</t>
  </si>
  <si>
    <t>The valuable help of Prof. Dao-Wen Wang (Institute of Genetics and Developmental Biology, Chinese Academy of Sciences, Beijing 100101, China) and his useful suggestions were gratefully acknowledged. This work was supported by the grants: the 973 program (2010CB126304) from Ministry of Science and Technology of China, the National Natural Science Foundation of China (31570398, 31270287), and the International Collaborative Polar Exploration Grant from CHINARE to Liang-Biao Chen.</t>
  </si>
  <si>
    <t>ACAD SCIENCES CZECH REPUBLIC, INST EXPERIMENTAL BOTANY</t>
  </si>
  <si>
    <t>6 PRAGUE</t>
  </si>
  <si>
    <t>NA KARLOVCE 1A,, 6 PRAGUE, 160 00, CZECH REPUBLIC</t>
  </si>
  <si>
    <t>0300-3604</t>
  </si>
  <si>
    <t>1573-9058</t>
  </si>
  <si>
    <t>Photosynthetica</t>
  </si>
  <si>
    <t>10.1007/s11099-016-0682-z</t>
  </si>
  <si>
    <t>FB3CB</t>
  </si>
  <si>
    <t>WOS:000406019100008</t>
  </si>
  <si>
    <t>Lehnert, K; Weirup, L; Harding, KC; Härkönen, T; Karisson, O; Teilmann, J</t>
  </si>
  <si>
    <t>Lehnert, K.; Weirup, L.; Harding, K. C.; Harkonen, T.; Karisson, O.; Teilmann, J.</t>
  </si>
  <si>
    <t>Antarctic seals: Molecular biomarkers as indicators for pollutant exposure, health effects and diet</t>
  </si>
  <si>
    <t>mRNA transcription; Xenobiotics; Cytoldnes; Heatshockprotein; Mercury; Antarctica</t>
  </si>
  <si>
    <t>KRILL EUPHAUSIA-SUPERBA; POLYBROMINATED DIPHENYL ETHERS; PERSISTENT ORGANIC POLLUTANTS; ARYL-HYDROCARBON RECEPTOR; MESSENGER-RNA EXPRESSION; HEAT-SHOCK PROTEINS; CRAB-EATER SEALS; HARBOR SEALS; PEROXISOME PROLIFERATOR; DIVING BEHAVIOR</t>
  </si>
  <si>
    <t>Weddell (Leptonychotes weddellii), Ross (Ommatophoca rossii) and crabeater seals (Lobodon carcinophaga) are phocid seals with a circumpolar distribution around Antarctica. As long-lived and large top predators, they bioaccumulate contaminants and are considered as sentinels of ecosystem health. Antarctic seals are increasingly exposed to climate change, pollution, shipping and fisheries. To reveal and understand possible anthropogenic impacts on their immune and health status, this study investigates sensitive biomarkers of the xenobiotic metabolism and immune system in relation to mercury (Hg) burden. Gene-transcription studies using minimally invasive blood samples are useful to monitor physiological processes in wildlife that can be related to different stressors. Blood samples of 72 wild-caught seals (Weddell n = 33; Ross n = 12; crabeater n = 27) in the Amundsen and Ross Seas in 2008-2011 were investigated. Copy numbers per mu l mRNA transcription of xenobiotic biomarkers (aryl hydrocarbon receptor (AHR)), aryl hydrocarbon receptor nuclear translocator (ARNT) and peroxisome proliferator-activated receptor (PPAR alpha) and immune relevant cell mediators (cytokines interleukin-2 (IL-2), interleukin-10 (IL-10) and heat-shock-protein 70 (HSP70)) were measured using reference genes Tyrosine 3-monooxygenase/tryptophan 5-monooxygenase activation protein, zeta polypeptide (YWHAZ) and ribosomal protein L4 (RPL4) by real time RT-qPCR. Hg concentration was analysed in fur. Hg concentration increased with body weight and standard length in all species. Crabeater seals showed a lower Hg concentration than Ross and Weddell seals. Species-specific differences in gene-transcription were found between all species with highest levels of AHR, ARNT and PPARa in crabeater seals. Ross seals showed highest IL-10 and HSP70 transcription, while HSP70 was exceptionally low in crabeater seals. Between Hg and HSP70 a clear negative relationship was found in all species. The species-specific, age and sex-dependent gene-transcription probably reflect dietary habits, pollutant exposure and immune status. (C) 2017 Published by Elsevier B.V.</t>
  </si>
  <si>
    <t>[Lehnert, K.; Weirup, L.] Univ Vet Med Hannover, Inst Terr &amp; Aquat Wildlife Res, D-25761 Busum, Germany; [Harding, K. C.] Univ Gothenburg, Dept Biol &amp; Environm Sci, Box 463, SE-40530 Gothenburg, Sweden; [Harkonen, T.; Karisson, O.] Swedish Museum Nat Hist, Dept Environm Res &amp; Monitoring, POB 50007, S-10405 Stockholm, Sweden; [Teilmann, J.] Aarhus Univ, Dept Biosci, Frederiksborgvej 399,POB 358, DK-4000 Roskilde, Denmark</t>
  </si>
  <si>
    <t>University of Veterinary Medicine Hannover; University of Gothenburg; Swedish Museum of Natural History; Aarhus University</t>
  </si>
  <si>
    <t>Lehnert, K (corresponding author), Univ Vet Med Hannover, Inst Terr &amp; Aquat Wildlife Res, D-25761 Busum, Germany.</t>
  </si>
  <si>
    <t>Kristina.Lehnert@tiho-hannover.de</t>
  </si>
  <si>
    <t>Lehnert, Kristina/JEZ-9162-2023; Teilmann, Jonas/J-7828-2013; Harding, Karin C/F-9957-2013</t>
  </si>
  <si>
    <t>Lehnert, Kristina/0000-0001-8938-3340; Teilmann, Jonas/0000-0002-4376-4700; Harding, Karin/0000-0003-1527-0903</t>
  </si>
  <si>
    <t>Swedish Research Council [2008-6464, 2008-6239]; Centre for Evolutionary Marine Biology (CeMeb) at Gothenburg University [217-2008-1719]</t>
  </si>
  <si>
    <t>Swedish Research Council(Swedish Research Council); Centre for Evolutionary Marine Biology (CeMeb) at Gothenburg University</t>
  </si>
  <si>
    <t>The authors thank the skilled and dedicated crew of the Swedish icebreaker Oden, especially the helicopter crew Sven Stenvall and Nils Eriksson. Under the permit issued by the Swedish Polar Research Secretariat (Dnr 2010-112) all animal handling protocols were authorized. The Swedish Polar Research Secretariat provided logistic support through the two Oden Southern Ocean expeditions (OSO 2010/2011 and OSO 2011/12) and the Swedish Research Council granted financial support to Tero Harkonen and Karin Harding (Grant number: 2008-6464 and 2008-6239). The Centre for Evolutionary Marine Biology (CeMeb) at Gothenburg University also contributed financial support through a grant to Karin Harding (Grant number: 217-2008-1719). We would like to thank Claudia Dupke for her support with the statistical analyses. Thanks to the authors of Aubail et al., 2011 for giving permission to use the mercury data for the Antarctic seals presented in this paper. The authors wish to thank Miriam Hillmann and Sigga Joensen for technical support and laboratory analysis.</t>
  </si>
  <si>
    <t>10.1016/j.scitotenv.2017.04.224</t>
  </si>
  <si>
    <t>FA2EL</t>
  </si>
  <si>
    <t>WOS:000405253500065</t>
  </si>
  <si>
    <t>Clay, PL; Burgess, R; Busemann, H; Ruzié-Hamilton, L; Joachim, B; Day, JMD; Ballentine, CJ</t>
  </si>
  <si>
    <t>Clay, Patricia L.; Burgess, Ray; Busemann, Henner; Ruzie-Hamilton, Lorraine; Joachim, Bastian; Day, James M. D.; Ballentine, Christopher J.</t>
  </si>
  <si>
    <t>Halogens in chondritic meteorites and terrestrial accretion</t>
  </si>
  <si>
    <t>SOLAR-SYSTEM ABUNDANCES; X-RAY-DIFFRACTION; CHEMICAL-COMPOSITION; NOBLE-GAS; MODAL MINERALOGY; HIGHLY SIDEROPHILE; FLUID INCLUSIONS; TRACE-ELEMENTS; MANTLE; IODINE</t>
  </si>
  <si>
    <t>Volatile element delivery and retention played a fundamental part in Earth's formation and subsequent chemical differentiation. The heavy halogens-chlorine (Cl), bromine (Br) and iodine (I)-are key tracers of accretionary processes owing to their high volatility and incompatibility, but have low abundances in most geological and planetary materials. However, noble gas proxy isotopes produced during neutron irradiation provide a high-sensitivity tool for the determination of heavy halogen abundances. Using such isotopes, here we show that Cl, Br and I abundances in carbonaceous, enstatite, Rumuruti and primitive ordinary chondrites are about 6 times, 9 times and 15-37 times lower, respectively, than previously reported and usually accepted estimates1. This is independent of the oxidation state or petrological type of the chondrites. The ratios Br/Cl and I/Cl in all studied chondrites show a limited range, indistinguishable from bulk silicate Earth estimates. Our results demonstrate that the halogen depletion of bulk silicate Earth relative to primitive meteorites is consistent with the depletion of lithophile elements of similar volatility. These results for carbonaceous chondrites reveal that late accretion, constrained to a maximum of 0.5 +/- 0.2 per cent of Earth's silicate mass(2-5), cannot solely account for present-day terrestrial halogen inventories(6,7). It is estimated that 80-90 per cent of heavy halogens are concentrated in Earth's surface reservoirs(7,8) and have not undergone the extreme early loss observed in atmosphere-forming elements(9). Therefore, in addition to late-stage terrestrial accretion of halogens and mantle degassing, which has removed less than half of Earth's dissolved mantle gases(10), the efficient extraction of halogen-rich fluids(6) from the solid Earth during the earliest stages of terrestrial differentiation is also required to explain the presence of these heavy halogens at the surface. The hydropilic nature of halogens, whereby they track with water, supports this requirement, and is consistent with volatile-rich or water-rich late-stage terrestrial accretion(5,11-14).</t>
  </si>
  <si>
    <t>[Clay, Patricia L.; Burgess, Ray; Ruzie-Hamilton, Lorraine] Univ Manchester, Sch Earth &amp; Environm Sci, Manchester M13 9PL, Lancs, England; [Busemann, Henner] ETH, Inst Geochem &amp; Petrol, Clausiusstr 25, CH-8092 Zurich, Switzerland; [Joachim, Bastian] Univ Innsbruck, Inst Mineral &amp; Petrog, Innrain 52, A-6020 Innsbruck, Austria; [Day, James M. D.] Univ Calif San Diego, Scripps Inst Oceanog, La Jolla, CA 92093 USA; [Ballentine, Christopher J.] Univ Oxford, Dept Earth Sci, South Parks Rd, Oxford OX1 3AN, England</t>
  </si>
  <si>
    <t>University of Manchester; Swiss Federal Institutes of Technology Domain; ETH Zurich; University of Innsbruck; University of California System; University of California San Diego; Scripps Institution of Oceanography; University of Oxford</t>
  </si>
  <si>
    <t>Clay, PL (corresponding author), Univ Manchester, Sch Earth &amp; Environm Sci, Manchester M13 9PL, Lancs, England.</t>
  </si>
  <si>
    <t>patricia.clay@manchester.ac.uk</t>
  </si>
  <si>
    <t>Clay, Patricia L/F-2638-2013; Joachim-Mrosko, Bastian/AAQ-9868-2020; Ruzie-Hamilton, Lorraine/GXZ-4903-2022; Ruzie-Hamilton, Lorraine/G-2416-2018; Burgess, Ray/A-5767-2009; Day, James/A-5099-2010</t>
  </si>
  <si>
    <t>Clay, Patricia L/0000-0002-6175-9761; Joachim-Mrosko, Bastian/0000-0003-2134-004X; Ruzie-Hamilton, Lorraine/0000-0002-2802-8123; Burgess, Ray/0000-0001-7674-8718; Busemann, Henner/0000-0002-0867-6908; Day, James/0000-0001-9520-3465; Ballentine, Chris/0000-0001-9382-070X</t>
  </si>
  <si>
    <t>PlanetS National Center of Competence in Research (NCCR) of the Swiss National Science Foundation; European Research Council [267692]; STFC [ST/L002957/1, ST/M001253/1] Funding Source: UKRI; European Research Council (ERC) [267692] Funding Source: European Research Council (ERC)</t>
  </si>
  <si>
    <t>PlanetS National Center of Competence in Research (NCCR) of the Swiss National Science Foundation; European Research Council(European Research Council (ERC)); STFC(UK Research &amp; Innovation (UKRI)Science &amp; Technology Facilities Council (STFC)); European Research Council (ERC)(European Research Council (ERC)Spanish Government)</t>
  </si>
  <si>
    <t>We acknowledge the following organisations and individuals for the provision of samples: NASA Antarctic Meteorite Working Group (MIL 07139, MIL 07028 and ALH 77295); P. Heck, Chicago Field Museum (Indarch); Izikio Museum of South Africa (St Marks); M. Boyet (SAH 97096); M. Schonbachler (GRA 06100, EET 92159, Murray, Orgueil); and A. Ruzicka (NWA 753 and NWA 755). We thank J. Cowpe for assistance with noble gas measurements, K. J. Theis for laboratory assistance and W. Akram for help with sample preparation. H. B. acknowledges support from the PlanetS National Center of Competence in Research (NCCR) of the Swiss National Science Foundation. This project was funded by the European Research Council FP7 'NOBLE' grant number 267692.</t>
  </si>
  <si>
    <t>NOV 30</t>
  </si>
  <si>
    <t>10.1038/nature24625</t>
  </si>
  <si>
    <t>FO1KW</t>
  </si>
  <si>
    <t>WOS:000416520400040</t>
  </si>
  <si>
    <t>Kingslake, J; Ely, JC; Das, I; Bell, RE</t>
  </si>
  <si>
    <t>Kingslake, Jonathan; Ely, Jeremy C.; Das, Indrani; Bell, Robin E.</t>
  </si>
  <si>
    <t>Widespread movement of meltwater onto and across Antarctic ice shelves (vol 544, pg 349, 2017)</t>
  </si>
  <si>
    <t>10.1038/nature24478</t>
  </si>
  <si>
    <t>WOS:000416520400049</t>
  </si>
  <si>
    <t>Clilverd, MA; Duthie, R; Rodger, CJ; Hardman, RL; Yearby, KH</t>
  </si>
  <si>
    <t>Clilverd, Mark A.; Duthie, Roger; Rodger, Craig J.; Hardman, Rachael L.; Yearby, Keith H.</t>
  </si>
  <si>
    <t>Long-term climate change in the D-region</t>
  </si>
  <si>
    <t>MESOSPHERIC TEMPERATURE; SOLAR-CYCLE; TRENDS; ATMOSPHERE; DECREASE; MODEL</t>
  </si>
  <si>
    <t>Controversy exists over the potential effects of long-term increases in greenhouse gas concentrations on the ionospheric D-region at 60-90 km altitudes. Techniques involving in-situ rocket measurements, remote optical observations, and radio wave reflection experiments have produced conflicting results. This study reports a novel technique that analyses long-distance subionospheric very low frequency radiowave observations of the NAA 24.0 kHz transmitter, Cutler, Maine, made from Halley Station, Antarctica, over the period 1971-2016. The analysis is insensitive to any changes in the output power of the transmitter, compensates for the use of different data logging equipment, and can confirm the accuracy of the timing systems operated over the 45 year long record. A similar to 10% reduction in the scale size of the transmitter nighttime interference fringe pattern has been determined, taking into account the quasi-11 year solar cycle. Subionospheric radiowave propagation modeling suggests that the contraction of the interference fringe pattern about the mid-latitude NAA transmitter is due to a 3 km reduction in the effective height of the nighttime ionospheric D-region over the last 45 years. This is consistent with the effect of enhanced infra-red cooling by increasing greenhouse gases.</t>
  </si>
  <si>
    <t>[Clilverd, Mark A.; Duthie, Roger; Hardman, Rachael L.] British Antarctic Survey NERC, Cambridge, England; [Rodger, Craig J.] Univ Otago, Dept Phys, Dunedin, New Zealand; [Yearby, Keith H.] Univ Sheffield, Dept Control Engn, Sheffield, S Yorkshire, England; [Hardman, Rachael L.] Univ Sheffield, Sch Math &amp; Stat, Sheffield, S Yorkshire, England</t>
  </si>
  <si>
    <t>UK Research &amp; Innovation (UKRI); Natural Environment Research Council (NERC); NERC British Antarctic Survey; University of Otago; University of Sheffield; University of Sheffield</t>
  </si>
  <si>
    <t>Clilverd, MA (corresponding author), British Antarctic Survey NERC, Cambridge, England.</t>
  </si>
  <si>
    <t>macl@bas.ac.uk</t>
  </si>
  <si>
    <t>Rodger, Craig/A-1501-2011</t>
  </si>
  <si>
    <t>Rodger, Craig J./0000-0002-6770-2707; Duthie, Roger/0000-0003-3198-8819</t>
  </si>
  <si>
    <t>European Union Seventh Framework Programme [263218]; NERC as part of the Space Weather and Atmosphere Team at the British Antarctic Survey; NERC [bas0100031] Funding Source: UKRI</t>
  </si>
  <si>
    <t>European Union Seventh Framework Programme(European Union (EU)); NERC as part of the Space Weather and Atmosphere Team at the British Antarctic Survey; NERC(UK Research &amp; Innovation (UKRI)Natural Environment Research Council (NERC))</t>
  </si>
  <si>
    <t>The research leading to these results has received funding from the European Union Seventh Framework Programme [FP7/2007-2013] under grant agreement no 263218. MAC would also like to acknowledge NERC funding as part of the Space Weather and Atmosphere Team at the British Antarctic Survey.</t>
  </si>
  <si>
    <t>10.1038/s41598-017-16891-4</t>
  </si>
  <si>
    <t>FO5JI</t>
  </si>
  <si>
    <t>WOS:000416891400085</t>
  </si>
  <si>
    <t>Laye, VJ; DasSarma, S</t>
  </si>
  <si>
    <t>Laye, Victoria J.; DasSarma, Shiladitya</t>
  </si>
  <si>
    <t>An Antarctic Extreme Halophile and Its Polyextremophilic Enzyme: Effects of Perchlorate Salts</t>
  </si>
  <si>
    <t>Halophilic archaea; Perchlorate; Enzyme inhibition; Magnesium</t>
  </si>
  <si>
    <t>HALOBACTERIUM SPECIES NRC-1; GENE; METHANOGENS; CHEMISTRY; MODELS; LIFE; SOIL</t>
  </si>
  <si>
    <t>Effects of perchlorate salts prevalent on the surface of Mars are of significant interest to astrobiology from the perspective of potential life on the Red Planet. Halorubrum lacusprofundi, a cold-adapted halophilic Antarctic archaeon, was able to grow anaerobically on 0.04M concentration of perchlorate. With increasing concentrations of perchlorate, growth was inhibited, with half-maximal growth rate in ca. 0.3M NaClO4 and 0.1M Mg(ClO4)(2) under aerobic conditions. Magnesium ions were also inhibitory for growth, but at considerably higher concentrations, with half-maximal growth rate above 1M. For a purified halophilic -galactosidase enzyme of H. lacusprofundi expressed in Halobacterium sp. NRC-1, 50% inhibition of catalytic activity was observed at 0.88M NaClO4 and 0.13M Mg(ClO4)(2). Magnesium ions were a more potent inhibitor of the enzyme than of cell growth. Steady-state kinetic analysis showed that Mg(ClO4)(2) acts as a mixed inhibitor (K-I=0.04M), with magnesium alone being a competitive inhibitor (K-I=0.3M) and perchlorate alone acting as a very weak noncompetitive inhibitor (K-I=2M). Based on the estimated concentrations of perchlorate salts on the surface of Mars, our results show that neither sodium nor magnesium perchlorates would significantly inhibit growth and enzyme activity of halophiles. This is the first study of perchlorate effects on a purified enzyme.</t>
  </si>
  <si>
    <t>[Laye, Victoria J.; DasSarma, Shiladitya] Univ Maryland, Sch Med, Inst Marine &amp; Environm Technol, Baltimore, MD 21201 USA</t>
  </si>
  <si>
    <t>University System of Maryland; University of Maryland Baltimore; University of Maryland Center for Environmental Science; Institute of Marine &amp; Environmental Technology</t>
  </si>
  <si>
    <t>DasSarma, S (corresponding author), Univ Syst Maryland, Columbus Ctr, Inst Marine &amp; Environm Technol, Univ Maryland,Sch Med, 701 E Pratt St, Baltimore, MD 21202 USA.</t>
  </si>
  <si>
    <t>sdassarma@som.umaryland.edu</t>
  </si>
  <si>
    <t>DasSarma, Shiladitya/0000-0003-4162-2810</t>
  </si>
  <si>
    <t>National Aeronautics and Space Administration [NNX15AM07G]</t>
  </si>
  <si>
    <t>National Aeronautics and Space Administration(National Aeronautics &amp; Space Administration (NASA))</t>
  </si>
  <si>
    <t>We thank Priya Das Sarma for assistance with culturing of halophiles. This work was supported by National Aeronautics and Space Administration grant NNX15AM07G.</t>
  </si>
  <si>
    <t>APR</t>
  </si>
  <si>
    <t>10.1089/ast.2017.1766</t>
  </si>
  <si>
    <t>NOV 2017</t>
  </si>
  <si>
    <t>GD3LJ</t>
  </si>
  <si>
    <t>WOS:000417161500001</t>
  </si>
  <si>
    <t>Bennett, JC; Wang, QJ; Robertson, DE; Schepen, A; Li, M; Michael, K</t>
  </si>
  <si>
    <t>Bennett, James C.; Wang, Quan J.; Robertson, David E.; Schepen, Andrew; Li, Ming; Michael, Kelvin</t>
  </si>
  <si>
    <t>Assessment of an ensemble seasonal streamflow forecasting system for Australia</t>
  </si>
  <si>
    <t>HYDROLOGY AND EARTH SYSTEM SCIENCES</t>
  </si>
  <si>
    <t>PRECIPITATION; RAINFALL; MODEL; SKILL; CALIBRATION; DROUGHT</t>
  </si>
  <si>
    <t>Despite an increasing availability of skilful longrange streamflow forecasts, many water agencies still rely on simple resampled historical inflow sequences (stochastic scenarios) to plan operations over the coming year. We assess a recently developed forecasting system called forecast guided stochastic scenarios (FoGSS) as a skilful alternative to standard stochastic scenarios for the Australian continent. FoGSS uses climate forecasts from a coupled oceanland-atmosphere prediction system, post-processed with the method of calibration, bridging and merging. Ensemble rainfall forecasts force a monthly rainfall-runoff model, while a staged hydrological error model quantifies and propagates hydrological forecast uncertainty through forecast lead times. FoGSS is able to generate ensemble streamflow forecasts in the form of monthly time series to a 12-month forecast horizon. FoGSS is tested on 63 Australian catchments that cover a wide range of climates, including 21 ephemeral rivers. In all perennial and many ephemeral catchments, FoGSS provides an effective alternative to resampled historical inflow sequences. FoGSS generally produces skilful forecasts at shorter lead times (&lt; 4 months), and transits to climatologylike forecasts at longer lead times. Forecasts are generally reliable and unbiased. However, FoGSS does not perform well in very dry catchments (catchments that experience zero flows more than half the time in some months), sometimes producing strongly negative forecast skill and poor reliability. We attempt to improve forecasts through the use of (i) ESP rainfall forcings, (ii) different rainfall-runoff mod-els, and (iii) a Bayesian prior to encourage the error model to return climatology forecasts in months when the rainfallrunoff model performs poorly. Of these, the use of the prior offers the clearest benefit in very dry catchments, where it moderates strongly negative forecast skill and reduces bias in some instances. However, the prior does not remedy poor reliability in very dry catchments. Overall, FoGSS is an attractive alternative to historical inflow sequences in all but the driest catchments. We discuss ways in which forecast reliability in very dry catchments could be improved in future work.</t>
  </si>
  <si>
    <t>[Bennett, James C.; Robertson, David E.] CSIRO Land &amp; Water, Clayton, Vic, Australia; [Bennett, James C.; Michael, Kelvin] Univ Tasmania, Inst Marine &amp; Antarctic Studies, Hobart, Tas, Australia; [Wang, Quan J.] Univ Melbourne, Dept Infrastruct Engn, Parkville, Vic, Australia; [Schepen, Andrew] CSIRO Land &amp; Water, Dutton Pk, Qld, Australia; [Li, Ming] CSIRO Data61, Floreat, WA, Australia</t>
  </si>
  <si>
    <t>Commonwealth Scientific &amp; Industrial Research Organisation (CSIRO); University of Tasmania; University of Melbourne; Commonwealth Scientific &amp; Industrial Research Organisation (CSIRO); Commonwealth Scientific &amp; Industrial Research Organisation (CSIRO)</t>
  </si>
  <si>
    <t>Bennett, JC (corresponding author), CSIRO Land &amp; Water, Clayton, Vic, Australia.;Bennett, JC (corresponding author), Univ Tasmania, Inst Marine &amp; Antarctic Studies, Hobart, Tas, Australia.</t>
  </si>
  <si>
    <t>james.bennett@csiro.au</t>
  </si>
  <si>
    <t>Wang, Quan J/D-2674-2012; Li, Ming/A-7655-2010; Robertson, David/C-3643-2011; Bennett, James/C-8456-2013; Schepen, Andrew/AAG-8880-2020</t>
  </si>
  <si>
    <t>Wang, Quan J/0000-0002-8787-2738; Robertson, David/0000-0003-4230-8006; Bennett, James/0000-0002-4930-2638; Schepen, Andrew/0000-0002-6372-735X</t>
  </si>
  <si>
    <t>Water Information Research and Development Alliance (WIRADA); Bureau of Meteorology; CSIRO Land Water</t>
  </si>
  <si>
    <t>Water Information Research and Development Alliance (WIRADA); Bureau of Meteorology(Bureau of Meteorology - Australia); CSIRO Land Water</t>
  </si>
  <si>
    <t>This research has been supported by the Water Information Research and Development Alliance (WIRADA) between the Bureau of Meteorology and CSIRO Land &amp; Water. Thanks to Senlin Zhou, Julien Lerat, Paul Feikema and Daehyok Shin (all Bureau of Meteorology) for supplying data and for fruitful discussions on the development of FoGSS. Thanks to two anonymous reviewers for constructive and thorough reviews, and to Maria-Helena Ramos for editing the manuscript.</t>
  </si>
  <si>
    <t>1027-5606</t>
  </si>
  <si>
    <t>1607-7938</t>
  </si>
  <si>
    <t>HYDROL EARTH SYST SC</t>
  </si>
  <si>
    <t>Hydrol. Earth Syst. Sci.</t>
  </si>
  <si>
    <t>10.5194/hess-21-6007-2017</t>
  </si>
  <si>
    <t>Geosciences, Multidisciplinary; Water Resources</t>
  </si>
  <si>
    <t>Geology; Water Resources</t>
  </si>
  <si>
    <t>FO1XW</t>
  </si>
  <si>
    <t>gold, Green Accepted, Green Submitted</t>
  </si>
  <si>
    <t>WOS:000416563600003</t>
  </si>
  <si>
    <t>Hoshijima, U; Wong, JM; Hofmann, GE</t>
  </si>
  <si>
    <t>Hoshijima, Umihiko; Wong, Juliet M.; Hofmann, Gretchen E.</t>
  </si>
  <si>
    <t>Additive effects of pCO2 and temperature on respiration rates of the Antarctic pteropod Limacina helicina antarctica</t>
  </si>
  <si>
    <t>CONSERVATION PHYSIOLOGY</t>
  </si>
  <si>
    <t>Limacina helicina; metabolic rate; ocean acidification; pH; pteropods; temperature</t>
  </si>
  <si>
    <t>OCEAN ACIDIFICATION; CLIMATE-CHANGE; SOUTHERN-OCEAN; PHYSIOLOGICAL-RESPONSES; STERECHINUS NEUMAYERI; ECOLOGICAL RESPONSES; ROSS SEA; SEAWATER; IMPACTS; CO2</t>
  </si>
  <si>
    <t>The Antarctic pteropod, Limacina helicina antarctica, is a dominant member of the zooplankton in the Ross Sea and supports the vast diversity of marine megafauna that designates this region as an internationally protected area. Here, we observed the response of respiration rate to abiotic stressors associated with global change-environmentally relevant temperature treatments (-0.8 degrees C, 4 degrees C) and pH treatments reflecting current-day and future modeled extremes (8.2, 7.95 and 7.7 pH at -0.8 degrees C; 8.11, 7.95 and 7.7 pH at 4 degrees C). Sampling repeatedly over a 14-day period in laboratory experiments and using microplate respirometry techniques, we found that the metabolic rate of juvenile pteropods increased in response to low-pH exposure (pH 7.7) at -0.8 degrees C, a near-ambient temperature. Similarly, metabolic rate increased when pteropods were exposed simultaneously to multiple stressors: lowered pH conditions ( pH 7.7) and a high temperature (4 degrees C). Overall, the results showed that pCO(2) and temperature interact additively to affect metabolic rates in pteropods. Furthermore, we found that L. h. antarctica can tolerate acute exposure to temperatures far beyond its maximal habitat temperature. Overall, L. h. antarctica appears to be susceptible to pH and temperature stress, two abiotic stressors which are expected to be especially deleterious for ectothermic marine metazoans in polar seas.</t>
  </si>
  <si>
    <t>[Hoshijima, Umihiko; Wong, Juliet M.; Hofmann, Gretchen E.] Univ Calif Santa Barbara, Dept Ecol Evolut &amp; Marine Biol, Santa Barbara, CA 93106 USA</t>
  </si>
  <si>
    <t>Hofmann, GE (corresponding author), Univ Calif Santa Barbara, Dept Ecol Evolut &amp; Marine Biol, Santa Barbara, CA 93106 USA.</t>
  </si>
  <si>
    <t>gretchen.hofmann@lifesci.ucsb.edu</t>
  </si>
  <si>
    <t>Hoshijima, Umihiko/S-3570-2019; Wong, Juliet/AAS-6537-2020</t>
  </si>
  <si>
    <t>Wong, Juliet/0000-0001-9279-3113; Hoshijima, Umihiko/0000-0002-0419-0556</t>
  </si>
  <si>
    <t>U.S. National Science Foundation (NSF) through the U.S. Antarctic Program [PLR-1246202]; U.S. NSF Graduate Research Fellowship [1650114]; Regent's Fellowship from UC Santa Barbara; Directorate For Geosciences; Office of Polar Programs (OPP) [1246202] Funding Source: National Science Foundation</t>
  </si>
  <si>
    <t>U.S. National Science Foundation (NSF) through the U.S. Antarctic Program(National Science Foundation (NSF)); U.S. NSF Graduate Research Fellowship(National Science Foundation (NSF)); Regent's Fellowship from UC Santa Barbara; Directorate For Geosciences; Office of Polar Programs (OPP)(National Science Foundation (NSF)NSF - Directorate for Geosciences (GEO))</t>
  </si>
  <si>
    <t>This work was supported by the U.S. National Science Foundation (NSF) through the U.S. Antarctic Program [Grant number PLR-1246202 to G.E.H.]. During the course of this project, U.H. and J.M.W. were each supported by a U.S. NSF Graduate Research Fellowship [Grant number 1650114]. J.M.W. was also supported by a Regent's Fellowship from UC Santa Barbara.</t>
  </si>
  <si>
    <t>2051-1434</t>
  </si>
  <si>
    <t>CONSERV PHYSIOL</t>
  </si>
  <si>
    <t>Conserv. Physiol.</t>
  </si>
  <si>
    <t>NOV 29</t>
  </si>
  <si>
    <t>cox064</t>
  </si>
  <si>
    <t>10.1093/conphys/cox064</t>
  </si>
  <si>
    <t>Biodiversity Conservation; Ecology; Environmental Sciences; Physiology</t>
  </si>
  <si>
    <t>Biodiversity &amp; Conservation; Environmental Sciences &amp; Ecology; Physiology</t>
  </si>
  <si>
    <t>FP1BJ</t>
  </si>
  <si>
    <t>WOS:000417344800001</t>
  </si>
  <si>
    <t>Krause, DJ; Hinke, JT; Perryman, WL; Goebel, ME; LeRoi, DJ</t>
  </si>
  <si>
    <t>Krause, Douglas J.; Hinke, Jefferson T.; Perryman, Wayne L.; Goebel, Michael E.; LeRoi, Donald J.</t>
  </si>
  <si>
    <t>An accurate and adaptable photogrammetric approach for estimating the mass and body condition of pinnipeds using an unmanned aerial system</t>
  </si>
  <si>
    <t>SEALS HYDRURGA-LEPTONYX; SOUTHERN ELEPHANT SEAL; ANTARCTIC FUR SEALS; LEOPARD SEALS; AIRCRAFT SYSTEMS; MIROUNGA-LEONINA; PRYDZ BAY; FORAGING ENERGETICS; CHEMICAL RESTRAINT; WILDLIFE</t>
  </si>
  <si>
    <t>Measurements of body size and mass are fundamental to pinniped population management and research. Manual measurements tend to be accurate but are invasive and logistically challenging to obtain. Ground-based photogrammetric techniques are less invasive, but inherent limitations make them impractical for many field applications. The recent proliferation of unmanned aerial systems (UAS) in wildlife monitoring has provided a promising new platform for the photogrammetry of free-ranging pinnipeds. Leopard seals (Hydrurga leptonyx) are an apex predator in coastal Antarctica whose body condition could be a valuable indicator of ecosystem health. We aerially surveyed leopard seals of known body size and mass to test the precision and accuracy of photogrammetry from a small UAS. Flights were conducted in January and February of 2013 and 2014 and 50 photogrammetric samples were obtained from 15 unrestrained seals. UAS-derived measurements of standard length were accurate to within 2.01 +/- 1.06%, and paired comparisons with ground measurements were statistically indistinguishable. An allometric linear mixed effects model predicted leopard seal mass within 19.40 kg (4.4% error for a 440 kg seal). Photogrammetric measurements from a single, vertical image obtained using UAS provide a noninvasive approach for estimating the mass and body condition of pinnipeds that may be widely applicable.</t>
  </si>
  <si>
    <t>[Krause, Douglas J.; Hinke, Jefferson T.; Goebel, Michael E.] NOAA, Antarctic Ecosyst Res Div, Southwest Fisheries Sci Ctr, Natl Marine Fisheries Serv, La Jolla, CA 92037 USA; [Perryman, Wayne L.] NOAA, Marine Mammal &amp; Turtle Div, Southwest Fisheries Sci Ctr, Natl Marine Fisheries Serv, La Jolla, CA USA; [LeRoi, Donald J.] Aerial Imaging Solut LLC, Old Lyme, CT USA</t>
  </si>
  <si>
    <t>National Oceanic Atmospheric Admin (NOAA) - USA; National Oceanic Atmospheric Admin (NOAA) - USA</t>
  </si>
  <si>
    <t>Krause, DJ (corresponding author), NOAA, Antarctic Ecosyst Res Div, Southwest Fisheries Sci Ctr, Natl Marine Fisheries Serv, La Jolla, CA 92037 USA.</t>
  </si>
  <si>
    <t>douglas.krause@noaa.gov</t>
  </si>
  <si>
    <t>, Jefferson/AAG-1702-2021</t>
  </si>
  <si>
    <t>, Jefferson/0000-0002-3600-1414; Krause, Douglas J./0000-0002-2517-3106</t>
  </si>
  <si>
    <t>NOAA Fisheries</t>
  </si>
  <si>
    <t>NOAA Fisheries(National Oceanic Atmospheric Admin (NOAA) - USA)</t>
  </si>
  <si>
    <t>Funding for this study was provided by NOAA Fisheries.</t>
  </si>
  <si>
    <t>e0187465</t>
  </si>
  <si>
    <t>10.1371/journal.pone.0187465</t>
  </si>
  <si>
    <t>FO0ZL</t>
  </si>
  <si>
    <t>WOS:000416484900006</t>
  </si>
  <si>
    <t>Wang, YT; Thomas, ER; Hou, SG; Huai, BJ; Wu, SY; Sun, WJ; Qi, SZ; Ding, MH; Zhang, YL</t>
  </si>
  <si>
    <t>Wang, Yetang; Thomas, Elizabeth R.; Hou, Shugui; Huai, Baojuan; Wu, Shuangye; Sun, Weijun; Qi, Shanzhong; Ding, Minghu; Zhang, Yulun</t>
  </si>
  <si>
    <t>Snow Accumulation Variability Over the West Antarctic Ice Sheet Since 1900: A Comparison of Ice Core Records With ERA-20C Reanalysis</t>
  </si>
  <si>
    <t>SURFACE MASS-BALANCE; AMUNDSEN SEA; CLIMATE; PENINSULA; RECONSTRUCTION; 20TH-CENTURY; DISCHARGE; GLACIERS; THWAITES; INCREASE</t>
  </si>
  <si>
    <t>This study uses a set of 37 firn core records over the West Antarctic Ice Sheet (WAIS) to test the performance of the twentieth century from the European Centre for Medium-Range Weather Forecasts (ERA-20C) reanalysis for snow accumulation and quantify temporal variability in snow accumulation since 1900. The firn cores are allocated to four geographical areas demarcated by drainage divides (i.e., Antarctic Peninsula (AP), western WAIS, central WAIS, and eastern WAIS) to calculate stacked records of regional snow accumulation. Our results show that the interannual variability in ERA-20C precipitation minus evaporation (P - E) agrees well with the corresponding ice core snow accumulation composites in each of the four geographical regions, suggesting its skill for simulating snow accumulation changes before the modern satellite era (pre-1979). Snow accumulation experiences significantly positive trends for the AP and eastern WAIS, a negative trend for the western WAIS, and no significant trend for the central WAIS from 1900 to 2010. The contrasting trends are associated with changes in the large-scale moisture transport driven by a deepening of the low-pressure systems and anomalies of sea ice in the Amundsen Sea Low region.</t>
  </si>
  <si>
    <t>[Wang, Yetang; Huai, Baojuan; Sun, Weijun; Qi, Shanzhong; Zhang, Yulun] Shandong Normal Univ, Coll Geog &amp; Environm, Jinan, Shandong, Peoples R China; [Thomas, Elizabeth R.] British Antarctic Survey, Cambridge, England; [Hou, Shugui] Nanjing Univ, Sch Geog &amp; Oceanog Sci, Key Lab Coast &amp; Isl Dev, MOE, Nanjing, Jiangsu, Peoples R China; [Wu, Shuangye] Univ Dayton, Dept Geol, Dayton, OH 45469 USA; [Ding, Minghu] Chinese Acad Meteorol Sci, Inst Climate Syst, Beijing, Peoples R China</t>
  </si>
  <si>
    <t>Shandong Normal University; UK Research &amp; Innovation (UKRI); Natural Environment Research Council (NERC); NERC British Antarctic Survey; Nanjing University; University System of Ohio; University of Dayton; China Meteorological Administration; Chinese Academy of Meteorological Sciences (CAMS)</t>
  </si>
  <si>
    <t>Wang, YT (corresponding author), Shandong Normal Univ, Coll Geog &amp; Environm, Jinan, Shandong, Peoples R China.</t>
  </si>
  <si>
    <t>wangyetang@163.com</t>
  </si>
  <si>
    <t>sun, weijun/GZB-2595-2022; Ding, Minghu/AFU-3600-2022; Thomas, Elizabeth Ruth/ADF-3660-2022; Qi, Shanzhong/AAD-4934-2019</t>
  </si>
  <si>
    <t>Ding, Minghu/0000-0002-1142-6598; Thomas, Elizabeth Ruth/0000-0002-3010-6493; Hou, Shugui/0000-0002-0905-3542; Wu, Shuang-Ye/0000-0002-4215-6607</t>
  </si>
  <si>
    <t>National Natural Science Foundation of China [41576182, 41330526]; Outstanding Youth Fund of Shandong Provincial Universities [ZR2016JL030]; National Key Basic Research Program of China [2013CBA01804]; Scientific Research Foundation for the introduction of talent by Shandong Normal University; Natural Environment Research Council [bas0100034, NE/J020710/1] Funding Source: researchfish; NERC [bas0100034, NE/J020710/1] Funding Source: UKRI</t>
  </si>
  <si>
    <t>National Natural Science Foundation of China(National Natural Science Foundation of China (NSFC)); Outstanding Youth Fund of Shandong Provincial Universities; National Key Basic Research Program of China(National Basic Research Program of China); Scientific Research Foundation for the introduction of talent by Shandong Normal University; Natural Environment Research Council(UK Research &amp; Innovation (UKRI)Natural Environment Research Council (NERC)); NERC(UK Research &amp; Innovation (UKRI)Natural Environment Research Council (NERC))</t>
  </si>
  <si>
    <t>This work was supported by the National Natural Science Foundation of China (41576182 and 41330526), Outstanding Youth Fund of Shandong Provincial Universities (ZR2016JL030), National Key Basic Research Program of China (2013CBA01804), and Scientific Research Foundation for the introduction of talent by Shandong Normal University. We are grateful to the two anonymous reviewers for their valuable comments and suggestions. ERA-interim and ERA-20C data are downloaded at https://www.ecmwf.int/.ERSST.v4 data are derived from Earth System Research Laboratory (https://www.esrl.noaa.gov/psd/data/gridded/data.noaa.ersst.v4.html). Ice core data are available at http://www.pagesigbp.org/ini/wg/antarctica2k/data. We download HadISST.2.2.0.0 data on http://www.metoffice.gov.uk/hadobs/hadisst2/.</t>
  </si>
  <si>
    <t>NOV 28</t>
  </si>
  <si>
    <t>10.1002/2017GL075135</t>
  </si>
  <si>
    <t>FR5JH</t>
  </si>
  <si>
    <t>WOS:000419102300030</t>
  </si>
  <si>
    <t>Martos, YM; Catalán, M; Jordan, TA; Golynsky, A; Golynsky, D; Eagles, G; Vaughan, DG</t>
  </si>
  <si>
    <t>Martos, Yasmina M.; Catalan, Manuel; Jordan, Tom A.; Golynsky, Alexander; Golynsky, Dmitry; Eagles, Graeme; Vaughan, David G.</t>
  </si>
  <si>
    <t>Heat Flux Distribution of Antarctica Unveiled</t>
  </si>
  <si>
    <t>CURIE-POINT DEPTH; STATION EAST ANTARCTICA; MAGNETIC ANOMALY DATA; ICE-SHEET; WEST ANTARCTICA; AEROMAGNETIC DATA; SUBGLACIAL LAKES; TEMPERATURE PROFILE; GEOTHERMAL FLUX; GLACIER REGION</t>
  </si>
  <si>
    <t>Antarctica is the largest reservoir of ice on Earth. Understanding its ice sheet dynamics is crucial to unraveling past global climate change and making robust climatic and sea level predictions. Of the basic parameters that shape and control ice flow, the most poorly known is geothermal heat flux. Direct observations of heat flux are difficult to obtain in Antarctica, and until now continent-wide heat flux maps have only been derived from low-resolution satellite magnetic and seismological data. We present a high-resolution heat flux map and associated uncertainty derived from spectral analysis of the most advanced continental compilation of airborne magnetic data. Small-scale spatial variability and features consistent with known geology are better reproduced than in previous models, between 36% and 50%. Our high-resolution heat flux map and its uncertainty distribution provide an important new boundary condition to be used in studies on future subglacial hydrology, ice sheet dynamics, and sea level change.</t>
  </si>
  <si>
    <t>[Martos, Yasmina M.; Jordan, Tom A.; Vaughan, David G.] British Antarctic Survey NERC, Cambridge, England; [Martos, Yasmina M.] Univ Maryland, Dept Astron, College Pk, MD 20742 USA; [Martos, Yasmina M.] NASA, Goddard Space Flight Ctr, Planetary Magnetospheres Lab, Greenbelt, MD 20771 USA; [Catalan, Manuel] Spanish Navy, Royal Observ, San Fernando, Spain; [Golynsky, Alexander; Golynsky, Dmitry] All Russia Sci Res Inst Geol &amp; Mineral Resources, St Petersburg, Russia; [Eagles, Graeme] Alfred Wegener Inst Polar &amp; Marine Res, Bremerhaven, Germany</t>
  </si>
  <si>
    <t>UK Research &amp; Innovation (UKRI); Natural Environment Research Council (NERC); NERC British Antarctic Survey; University System of Maryland; University of Maryland College Park; National Aeronautics &amp; Space Administration (NASA); NASA Goddard Space Flight Center; Helmholtz Association; Alfred Wegener Institute, Helmholtz Centre for Polar &amp; Marine Research</t>
  </si>
  <si>
    <t>Martos, YM (corresponding author), British Antarctic Survey NERC, Cambridge, England.;Martos, YM (corresponding author), Univ Maryland, Dept Astron, College Pk, MD 20742 USA.;Martos, YM (corresponding author), NASA, Goddard Space Flight Ctr, Planetary Magnetospheres Lab, Greenbelt, MD 20771 USA.</t>
  </si>
  <si>
    <t>yasmina.martos@nasa.gov</t>
  </si>
  <si>
    <t>Catalán, Manuel/R-6956-2018; Vaughan, David/C-8348-2011</t>
  </si>
  <si>
    <t>Golynsky, Dmitry/0000-0001-8717-0894; Vaughan, David/0000-0002-9065-0570; Eagles, Graeme/0000-0001-5325-0810; Golynsky, Alexander/0000-0003-2546-4082</t>
  </si>
  <si>
    <t>Korean Polar Institute; Marie Sklodowska-Curie Program from European Commission; Natural Environment Research Council [bas0100029, NE/J005754/1] Funding Source: researchfish; NERC [bas0100029, NE/J005754/1] Funding Source: UKRI</t>
  </si>
  <si>
    <t>Korean Polar Institute; Marie Sklodowska-Curie Program from European Commission; Natural Environment Research Council(UK Research &amp; Innovation (UKRI)Natural Environment Research Council (NERC)); NERC(UK Research &amp; Innovation (UKRI)Natural Environment Research Council (NERC))</t>
  </si>
  <si>
    <t>We wish to thank the ADMAP-2 project, and specifically the Korean Polar Institute, whose support made reprocessing and integration of the new Dronning Maud Land magnetic data possible. We also wish to acknowledge Rene Forsberg, Fausto Ferraccioli, Marta Ghidella, and Kenny Matsuoka from the ICEGRAV 2013 project for aeromagnetic data over the Recovery Ice Stream. We thank two anonymous reviewers who helped improving the manuscript. Y. M. M. thanks the Marie Sklodowska-Curie Program from the European Commission for supporting this research. More details about data, methodology, and results can be found in the supporting information file of this article. The resulting Curie depth and geothermal heat flux models and their associated uncertainties can be found at PANGAEA (https://doi.pangaea.de/10.1594/PANGAEA.882503).</t>
  </si>
  <si>
    <t>10.1002/2017GL075609</t>
  </si>
  <si>
    <t>WOS:000419102300023</t>
  </si>
  <si>
    <t>Cougnon, EA; Galton-Fenzi, BK; Rintoul, SR; Legrésy, B; Williams, GD; Fraser, AD; Hunter, JR</t>
  </si>
  <si>
    <t>Cougnon, E. A.; Galton-Fenzi, B. K.; Rintoul, S. R.; Legresy, B.; Williams, G. D.; Fraser, A. D.; Hunter, J. R.</t>
  </si>
  <si>
    <t>Regional Changes in Icescape Impact Shelf Circulation and Basal Melting</t>
  </si>
  <si>
    <t>ANTARCTIC ICE SHELVES; MERTZ GLACIER TONGUE; EAST ANTARCTICA; SEA-ICE; GENERAL-CIRCULATION; OCEAN; WATER; MODEL; ADELIE; VARIABILITY</t>
  </si>
  <si>
    <t>Ice shelf basal melt is the dominant contribution to mass loss from Antarctic ice shelves. However, the sensitivity of basal melt to changes in icescape (grounded icebergs, ice shelves, and sea ice) and related ocean circulation is poorly understood. Here we simulate the impact of the major 2010 calving event of the Mertz Glacier Tongue (MGT), East Antarctica, and related redistribution of sea ice and icebergs on the basal melt rate of the local ice shelves. We find that the position of the grounded tabular iceberg B9B controls the water masses that reach the nearby ice shelf cavities. After the calving of the MGT and the removal of B9B, warmer water is present both within the MGT cavity and on the continental shelf driving a 57% increase of the deep MGT basal melting. Major changes in icescape influence the oceanic heat flux responsible for basal ice shelf melting.</t>
  </si>
  <si>
    <t>[Cougnon, E. A.; Williams, G. D.] Univ Tasmania, Inst Marine &amp; Antarctic Studies, Hobart, Tas, Australia; [Cougnon, E. A.; Galton-Fenzi, B. K.; Rintoul, S. R.; Legresy, B.; Williams, G. D.; Fraser, A. D.; Hunter, J. R.] Antarctic Climate &amp; Ecosyst Cooperat Res Ctr, Hobart, Tas, Australia; [Galton-Fenzi, B. K.] Australian Antarctic Div, Kingston, Tas, Australia; [Rintoul, S. R.; Legresy, B.] Ocean &amp; Atmosphere Commonwealth Sci &amp; Ind Res Org, Hobart, Tas, Australia; [Rintoul, S. R.] Ctr Southern Hemisphere Oceans Res, Hobart, Tas, Australia</t>
  </si>
  <si>
    <t>University of Tasmania; Antarctic Climate &amp; Ecosystems Cooperative Research Centre (ACE CRC); Australian Antarctic Division; Commonwealth Scientific &amp; Industrial Research Organisation (CSIRO)</t>
  </si>
  <si>
    <t>Cougnon, EA (corresponding author), Univ Tasmania, Inst Marine &amp; Antarctic Studies, Hobart, Tas, Australia.;Cougnon, EA (corresponding author), Antarctic Climate &amp; Ecosyst Cooperat Res Ctr, Hobart, Tas, Australia.</t>
  </si>
  <si>
    <t>eva.cougnon@utas.edu.au</t>
  </si>
  <si>
    <t>Rintoul, Stephen R/A-1471-2012; Fraser, Alexander/AFO-7186-2022; legresy, benoit/K-6673-2018; Cougnon, Eva/C-4110-2014</t>
  </si>
  <si>
    <t>Rintoul, Stephen R/0000-0002-7055-9876; Fraser, Alexander/0000-0003-1924-0015; legresy, benoit/0000-0002-1909-1630; Galton-Fenzi, Benjamin Keith/0000-0003-1404-4103; Cougnon, Eva/0000-0002-8691-5935; Williams, Guy/0000-0002-3975-2977</t>
  </si>
  <si>
    <t>Australian Government's Cooperative Research Centre Program through ACE-CRC; Earth System and Climate Change Hub of the National Environmental Science Program; Centre for Southern Hemisphere Ocean Research, a joint research centre of Qingdao National Laboratory for Marine Science and Technology; CSIRO; University of Tasmania; CSIRO through Quantitative Marine Science PhD program; Australian Research Councils Special Research Initiative for the Antarctic Gateway Partnership [SRI40300001]; Australian Antarctic Science program [AAS4287]; Australian Research Council's Future Fellowship program</t>
  </si>
  <si>
    <t>Australian Government's Cooperative Research Centre Program through ACE-CRC; Earth System and Climate Change Hub of the National Environmental Science Program; Centre for Southern Hemisphere Ocean Research, a joint research centre of Qingdao National Laboratory for Marine Science and Technology; CSIRO(Commonwealth Scientific &amp; Industrial Research Organisation (CSIRO)); University of Tasmania; CSIRO through Quantitative Marine Science PhD program; Australian Research Councils Special Research Initiative for the Antarctic Gateway Partnership(Australian Research Council); Australian Antarctic Science program; Australian Research Council's Future Fellowship program(Australian Research Council)</t>
  </si>
  <si>
    <t>We thank David Gwyther (Antarctic Climate and Ecosystems Cooperative Research Centre (ACE-CRC)) and Robert Massom (Australian Antarctic Division) for their insightful comments on the manuscript, and Takeshi Tamura (National Institute of Polar Research) for providing the surface heat and salt fluxes used to configure the model. We also thank two anonymous reviewers for their constructive comments on the manuscript. This work was supported in part by the Australian Government's Cooperative Research Centre Program through the ACE-CRC, by the Earth System and Climate Change Hub of the National Environmental Science Program, and by the Centre for Southern Hemisphere Ocean Research, a joint research centre of Qingdao National Laboratory for Marine Science and Technology and CSIRO. Eva Cougnon was supported by the University of Tasmania and CSIRO through the Quantitative Marine Science PhD program. Ben Galton-Fenzi and David Gwyther are supported under the Australian Research Councils Special Research Initiative for the Antarctic Gateway Partnership SRI40300001. Ben Galton-Fenzi is also supported by the Australian Antarctic Science program AAS4287. Guy Williams is supported by the Australian Research Council's Future Fellowship program. This work also contributes to the World Climate Research Programme (WCRP) Climate and Cryosphere (CliC) project Targeted Activity Linkages Between Cryosphere Elements. Computing hours were provided by both the Tasmanian Partnership for Advanced Computing (TPAC) and the Australian National Computing Infrastructure (NCI) under grants m68 and gh8 and analyzed and stored on the TPAC cluster. The model raw output are difficult to make publicly available. The authors recommend contacting the corresponding author for accessing the data if interested.</t>
  </si>
  <si>
    <t>10.1002/2017GL074943</t>
  </si>
  <si>
    <t>WOS:000419102300034</t>
  </si>
  <si>
    <t>Marshall, GJ; Thompson, DWJ; van den Broeke, MR</t>
  </si>
  <si>
    <t>Marshall, Gareth J.; Thompson, David W. J.; van den Broeke, Michiel R.</t>
  </si>
  <si>
    <t>The Signature of Southern Hemisphere Atmospheric Circulation Patterns in Antarctic Precipitation</t>
  </si>
  <si>
    <t>SURFACE MASS-BALANCE; ANNULAR MODE; AMERICAN MODES; ICE-SHEET; CLIMATE; VARIABILITY; PENINSULA; TEMPERATURES; SNOWFALL; FLOW</t>
  </si>
  <si>
    <t>We provide the first comprehensive analysis of the relationships between large-scale patterns of Southern Hemisphere climate variability and the detailed structure of Antarctic precipitation. We examine linkages between the high spatial resolution precipitation from a regional atmospheric model and four patterns of large-scale Southern Hemisphere climate variability: the southern baroclinic annular mode, the southern annular mode, and the two Pacific-South American teleconnection patterns. Variations in all four patterns influence the spatial configuration of precipitation over Antarctica, consistent with their signatures in high-latitude meridional moisture fluxes. They impact not only the mean but also the incidence of extreme precipitation events. Current coupled-climate models are able to reproduce all four patterns of atmospheric variability but struggle to correctly replicate their regional impacts on Antarctic climate. Thus, linking these patterns directly to Antarctic precipitation variability may allow a better estimate of future changes in precipitation than using model output alone.</t>
  </si>
  <si>
    <t>[Marshall, Gareth J.] NERC, British Antarctic Survey, Cambridge, England; [Thompson, David W. J.] Colorado State Univ, Dept Atmospher Sci, Ft Collins, CO 80523 USA; [van den Broeke, Michiel R.] Univ Utrecht, Inst Marine &amp; Atmospher Res, Utrecht, Netherlands</t>
  </si>
  <si>
    <t>UK Research &amp; Innovation (UKRI); Natural Environment Research Council (NERC); NERC British Antarctic Survey; Colorado State University; Utrecht University</t>
  </si>
  <si>
    <t>Marshall, GJ (corresponding author), NERC, British Antarctic Survey, Cambridge, England.</t>
  </si>
  <si>
    <t>gjma@bas.ac.uk</t>
  </si>
  <si>
    <t>Thompson, David/C-3520-2008; Van den Broeke, Michiel R./F-7867-2011; Thompson, David W J/F-9627-2012</t>
  </si>
  <si>
    <t>Van den Broeke, Michiel R./0000-0003-4662-7565; Thompson, David W J/0000-0002-5413-4376; Marshall, Gareth/0000-0001-8887-7314</t>
  </si>
  <si>
    <t>UK Natural Environment Research Council through British Antarctic Survey research programme Polar Science for Planet Earth; U.S. National Science Foundation Climate Dynamics program; National Aeronautics and Space Administration Physical Oceanography program; Natural Environment Research Council [bas0100032] Funding Source: researchfish; Div Atmospheric &amp; Geospace Sciences; Directorate For Geosciences [1343080] Funding Source: National Science Foundation; NERC [bas0100032] Funding Source: UKRI</t>
  </si>
  <si>
    <t>UK Natural Environment Research Council through British Antarctic Survey research programme Polar Science for Planet Earth; U.S. National Science Foundation Climate Dynamics program; National Aeronautics and Space Administration Physical Oceanography program; Natural Environment Research Council(UK Research &amp; Innovation (UKRI)Natural Environment Research Council (NERC)); Div Atmospheric &amp; Geospace Sciences; Directorate For Geosciences(National Science Foundation (NSF)NSF - Directorate for Geosciences (GEO)); NERC(UK Research &amp; Innovation (UKRI)Natural Environment Research Council (NERC))</t>
  </si>
  <si>
    <t>G.J.M. was supported by the UK Natural Environment Research Council through the British Antarctic Survey research programme Polar Science for Planet Earth. D. W. J. T. is funded by the U.S. National Science Foundation Climate Dynamics and National Aeronautics and Space Administration Physical Oceanography programs. The data used are available from the authors on request.</t>
  </si>
  <si>
    <t>10.1002/2017GL075998</t>
  </si>
  <si>
    <t>WOS:000419102300041</t>
  </si>
  <si>
    <t>Geyer, A; Marti, A; Giralt, S; Folch, A</t>
  </si>
  <si>
    <t>Geyer, A.; Marti, A.; Giralt, S.; Folch, A.</t>
  </si>
  <si>
    <t>Potential ash impact from Antarctic volcanoes: Insights from Deception Island's most recent eruption</t>
  </si>
  <si>
    <t>SOUTH SHETLAND ISLANDS; MODEL DESCRIPTION; ENSO; LAYERS; SEA; ICE</t>
  </si>
  <si>
    <t>Ash emitted during explosive volcanic eruptions may disperse over vast areas of the globe posing a threat to human health and infrastructures and causing significant disruption to air traffic. In Antarctica, at least five volcanoes have reported historic activity. However, no attention has been paid to the potential socio-economic and environmental consequences of an ash-forming eruption occurring at high southern latitudes. This work shows how ash from Antarctic volcanoes may pose a higher threat than previously believed. As a case study, we evaluate the potential impacts of ash for a given eruption scenario from Deception Island, one of the most active volcanoes in Antarctica. Numerical simulations using the novel MMB-MONARCH-ASH model demonstrate that volcanic ash emitted from Antarctic volcanoes could potentially encircle the globe, leading to significant consequences for global aviation safety. Results obtained recall the need for performing proper hazard assessment on Antarctic volcanoes, and are crucial for understanding the patterns of ash distribution at high southern latitudes with strong implications for tephrostratigraphy, which is pivotal to synchronize palaeoclimatic records.</t>
  </si>
  <si>
    <t>[Geyer, A.; Giralt, S.] Inst Earth Sci Jaume Almera ICTJA CSIC, Lluis Sole &amp; Sabaris S-N, Barcelona 08028, Spain; [Marti, A.; Folch, A.] BSC, Jordi Girona 29, Barcelona 08034, Spain</t>
  </si>
  <si>
    <t>Consejo Superior de Investigaciones Cientificas (CSIC)</t>
  </si>
  <si>
    <t>Geyer, A (corresponding author), Inst Earth Sci Jaume Almera ICTJA CSIC, Lluis Sole &amp; Sabaris S-N, Barcelona 08028, Spain.;Marti, A (corresponding author), BSC, Jordi Girona 29, Barcelona 08034, Spain.</t>
  </si>
  <si>
    <t>ageyer@ictja.csic.es; Alejandro.Marti@bsc.es</t>
  </si>
  <si>
    <t>Geyer, Adelina/C-9490-2011; Marti, Alejandro/C-8788-2016; Folch, Arnau/G-2996-2015; Giralt, Santiago/AAA-8585-2020; Geyer, Adelina/A-6624-2012</t>
  </si>
  <si>
    <t>Folch, Arnau/0000-0002-0677-6366; Giralt, Santiago/0000-0001-8570-7838; Marti, Alejandro/0000-0003-2054-3144; Geyer, Adelina/0000-0002-8803-6504</t>
  </si>
  <si>
    <t>Ramon y Cajal research program [RYC-2012-11024]; MINECO grant VOLCLIMA [CGL2015-72629-EXP]; MINECO grant POSVOLDEC [CTM201679617-P]</t>
  </si>
  <si>
    <t>Ramon y Cajal research program(Spanish Government); MINECO grant VOLCLIMA; MINECO grant POSVOLDEC</t>
  </si>
  <si>
    <t>A.G. thanks the support provided by the Ramon y Cajal research program (RYC-2012-11024). This research was partially funded by the MINECO grants VOLCLIMA (CGL2015-72629-EXP) and POSVOLDEC (CTM201679617-P) (AEI/FEDER-UE). We thank the Laboratorio de Astronomia, Geodesia y Cartografia (Universidad de Cadiz) for providing the Digital Elevation Model and all shapefiles required to build Fig. 2. The authors are grateful to Karoly Nemeth and an anonymous reviewer for their insightful comments and review of the manuscript, which have helped us improve this work. We also thank the Editor Alessandro Aiuppa for handling this paper. English editing by Terranova Scientific.</t>
  </si>
  <si>
    <t>10.1038/s41598-017-16630-9</t>
  </si>
  <si>
    <t>FN9YH</t>
  </si>
  <si>
    <t>WOS:000416398300014</t>
  </si>
  <si>
    <t>Reidenbach, LB; Fernandez, PA; Leal, PP; Noisette, F; McGraw, CM; Revill, AT; Hurd, CL; Kübler, JE</t>
  </si>
  <si>
    <t>Reidenbach, Leah B.; Fernandez, Pamela A.; Leal, Pablo P.; Noisette, Fanny; McGraw, Christina M.; Revill, Andrew T.; Hurd, Catriona L.; Kubler, Janet E.</t>
  </si>
  <si>
    <t>Growth, ammonium metabolism, and photosynthetic properties of Ulva australis (Chlorophyta) under decreasing pH and ammonium enrichment</t>
  </si>
  <si>
    <t>OCEAN ACIDIFICATION; NUTRIENT ENRICHMENT; ELEVATED CO2; ENTEROMORPHA-INTESTINALIS; CONCENTRATING MECHANISMS; GRACILARIA LEMANEIFORMIS; LACTUCA CHLOROPHYTA; NITRATE REDUCTASE; MACROALGAL BLOOMS; NITROGEN UPTAKE</t>
  </si>
  <si>
    <t>The responses of macroalgae to ocean acidification could be altered by availability of macronutrients, such as ammonium (NH4+). This study determined how the opportunistic macroalga, Ulva australis responded to simultaneous changes in decreasing pH and NH4+ enrichment. This was investigated in a week-long growth experiment across a range of predicted future pHs with ambient and enriched NH4+ treatments followed by measurements of relative growth rates (RGR), NH4+ uptake rates and pools, total chlorophyll, and tissue carbon and nitrogen content. Rapid light curves (RLCs) were used to measure the maximum relative electron transport rate (rETR(max)) and maximum quantum yield of photosystem II (PSII) photochemistry (F-v/F-m). Photosynthetic capacity was derived from the RLCs and included the efficiency of light harvesting (alpha), slope of photoinhibition (beta), and the light saturation point (Ek). The results showed that NH4+ enrichment did not modify the effects of pH on RGRs, NH4+ uptake rates and pools, total chlorophyll, rETR(max,) alpha, beta, F-v/F-m, tissue C and N, and the C:N ratio. However, E-k was differentially affected by pH under different NH4+ treatments. Ek increased with decreasing pH in the ambient NH4+ treatment, but not in the enriched NH4+ treatment. NH4+ enrichment increased RGRs, NH4+ pools, total chlorophyll, rETRmax, alpha, beta, F-v/F-m, and tissue N, and decreased NH4+ uptake rates and the C:N ratio. Decreased pH increased total chlorophyll content, rETRmax, F-v/F-m, and tissue N content, and decreased the C:N ratio. Therefore, the results indicate that U. australis growth is increased with NH4+ enrichment and not with decreasing pH. While decreasing pH influenced the carbon and nitrogen metabolisms of U. australis, it did not result in changes in growth.</t>
  </si>
  <si>
    <t>[Reidenbach, Leah B.; Kubler, Janet E.] Calif State Univ Northridge, Dept Biol, Northridge, CA 91330 USA; [Fernandez, Pamela A.; Leal, Pablo P.; Noisette, Fanny; McGraw, Christina M.; Hurd, Catriona L.] Univ Tasmania, Inst Marine &amp; Antarctic Studies, Hobart, Tas, Australia; [Noisette, Fanny] GEOMAR Helmholtz Ctr Ocean Res, Kiel, Germany; [McGraw, Christina M.] Univ Otago, Dept Chem, Dunedin, New Zealand; [Revill, Andrew T.] CSIRO, Oceans &amp; Atmosphere, Hobart, Tas, Australia; [Reidenbach, Leah B.] SUNY Stony Brook, Sch Marine &amp; Atmospher Sci, Stony Brook, NY 11794 USA; [Fernandez, Pamela A.] Univ Los Lagos, Ctr I Mar, Puerto Montt, Chile; [Leal, Pablo P.] Inst Fomento Pesquero, Puerto Montt, Chile</t>
  </si>
  <si>
    <t>California State University System; California State University Northridge; University of Tasmania; Helmholtz Association; GEOMAR Helmholtz Center for Ocean Research Kiel; University of Otago; Commonwealth Scientific &amp; Industrial Research Organisation (CSIRO); State University of New York (SUNY) System; State University of New York (SUNY) Stony Brook; Universidad de Los Lagos; Instituto de Fomento Pesquero (Valparaiso)</t>
  </si>
  <si>
    <t>Reidenbach, LB (corresponding author), Calif State Univ Northridge, Dept Biol, Northridge, CA 91330 USA.;Reidenbach, LB (corresponding author), SUNY Stony Brook, Sch Marine &amp; Atmospher Sci, Stony Brook, NY 11794 USA.</t>
  </si>
  <si>
    <t>Leah.Reidenbach@stonybrook.edu</t>
  </si>
  <si>
    <t>Fernandez, Pamela/AAX-1676-2021; Leal, Pablo P./N-3927-2019; Reidenbach, Leah/HHZ-5145-2022; Fernandez, Pamela Andrea/K-2021-2014; Revill, Andrew/B-8733-2011; Hurd, Catriona/J-2411-2013</t>
  </si>
  <si>
    <t>Fernandez, Pamela/0000-0003-3122-0084; Leal, Pablo P./0000-0002-7616-1850; Fernandez, Pamela Andrea/0000-0003-3122-0084; McGraw, Christina/0000-0001-5841-0748; Revill, Andrew/0000-0003-2486-5976; Hurd, Catriona/0000-0001-9965-4917</t>
  </si>
  <si>
    <t>National Science Foundation [OISE 1515267]</t>
  </si>
  <si>
    <t>This work was supported by National Science Foundation grant: OISE 1515267 (URL: https://www.nsf.gov/awardsearch/showAward?AWD_ID=1515267) (Author: LBR). The funders had no role in study design, data collection and analysis, decision to publish, or preparation of the manuscript.</t>
  </si>
  <si>
    <t>NOV 27</t>
  </si>
  <si>
    <t>e0188389</t>
  </si>
  <si>
    <t>10.1371/journal.pone.0188389</t>
  </si>
  <si>
    <t>FN8QZ</t>
  </si>
  <si>
    <t>Green Published, Green Accepted, gold, Green Submitted</t>
  </si>
  <si>
    <t>WOS:000416291900071</t>
  </si>
  <si>
    <t>Zhang, JW; Burgess, JG</t>
  </si>
  <si>
    <t>Zhang, Jinwei; Burgess, J. Grant</t>
  </si>
  <si>
    <t>Enhanced eicosapentaenoic acid production by a new deep-sea marine bacterium Shewanella electrodiphila MAR441T</t>
  </si>
  <si>
    <t>POLYUNSATURATED FATTY-ACIDS; SP-NOV.; PHAEODACTYLUM-TRICORNUTUM; ANTARCTIC BACTERIUM; SP. NOV.; GROWTH; BIOSYNTHESIS; PHOSPHOLIPIDS; CULTURE; OMEGA-3-FATTY-ACIDS</t>
  </si>
  <si>
    <t>Omega-3 fatty acids are products of secondary metabolism, essential for growth and important for human health. Although there are numerous reports of bacterial production of omega-3 fatty acids, less information is available on the biotechnological production of these compounds from bacteria. The production of eicosapentaenoic acid (EPA, 20:5 omega 3) by a new species of marine bacteria Shewanella electrodiphila MAR441(T) was investigated under different fermentation conditions. This strain produced a high percentage (up to 26%) of total fatty acids and high yields (mg / g of biomass) of EPA at or below the optimal growth temperature. At higher growth temperatures these values decreased greatly. The amount of EPA produced was affected by the carbon source, which also influenced fatty acid composition. This strain required Na+ for growth and EPA synthesis and cells harvested at late exponential or early stationary phase had a higher EPA content. Both the highest amounts (20 mg g(-1)) and highest percent EPA content (18%) occurred with growth on L-proline and (NH4)(2)SO4. The addition of cerulenin further enhanced EPA production to 30 mg g(-1). Chemical mutagenesis using NTG allowed the isolation of mutants with improved levels of EPA content (from 9.7 to 15.8 mg g(-1)) when grown at 15 degrees C. Thus, the yields of EPA could be substantially enhanced without the need for recombinant DNA technology, often a commercial requirement for food supplement manufacture.</t>
  </si>
  <si>
    <t>[Zhang, Jinwei] Univ Exeter, Med Sch, Hatherly Lab, Inst Biomed &amp; Clin Sci, Exeter, Devon, England; [Zhang, Jinwei; Burgess, J. Grant] Newcastle Univ, Sch Nat &amp; Environm Sci, Newcastle Upon Tyne, Tyne &amp; Wear, England</t>
  </si>
  <si>
    <t>University of Exeter; Newcastle University - UK</t>
  </si>
  <si>
    <t>Burgess, JG (corresponding author), Newcastle Univ, Sch Nat &amp; Environm Sci, Newcastle Upon Tyne, Tyne &amp; Wear, England.</t>
  </si>
  <si>
    <t>grant.burgess@ncl.ac.uk</t>
  </si>
  <si>
    <t>Zhang, Jinwei/Q-7959-2019; Zhang, Jinwei/N-8584-2017</t>
  </si>
  <si>
    <t>Zhang, Jinwei/0000-0001-8683-509X;</t>
  </si>
  <si>
    <t>NERC ECOMAR program [NE/C512961/1]; BBSRC-Croda Dorothy Hodgkin Postgraduate Award (DHPA)</t>
  </si>
  <si>
    <t>NERC ECOMAR program; BBSRC-Croda Dorothy Hodgkin Postgraduate Award (DHPA)</t>
  </si>
  <si>
    <t>The authors acknowledge the support of the NERC ECOMAR program (NE/C512961/1) and the BBSRC-Croda Dorothy Hodgkin Postgraduate Award (DHPA) to Dr Jinwei Zhang.</t>
  </si>
  <si>
    <t>e0188081</t>
  </si>
  <si>
    <t>10.1371/journal.pone.0188081</t>
  </si>
  <si>
    <t>WOS:000416291900034</t>
  </si>
  <si>
    <t>Dennison, F; McDonald, A; Morgenstern, O</t>
  </si>
  <si>
    <t>Dennison, Fraser; McDonald, Adrian; Morgenstern, Olaf</t>
  </si>
  <si>
    <t>The evolution of zonally asymmetric austral ozone in a chemistry-climate model</t>
  </si>
  <si>
    <t>BREWER-DOBSON CIRCULATION; ANTARCTIC TOTAL OZONE; STRATOSPHERIC OZONE; VARIABILITY; TRANSPORT; RECOVERY; RETURN</t>
  </si>
  <si>
    <t>Asymmetry in the Southern Hemisphere stratospheric ozone hole is important due to both direct radiative heating and its effect on dynamics. It is also a strong indicator of the underlying quality of the stratospheric dynamics of a climate model. We investigate the simulation of the zonal asymmetry in ozone in the NIWA-UKCA atmosphere-ocean chemistry-climate model using elliptical diagnostics, a methodology used for the first time in this subject area. During spring, the region most depleted in ozone is displaced from the pole toward South America based on ERA-Interim and the model output. The model correctly simulates the direction of this displacement but significantly underestimates its magnitude. The model shows that as ozone becomes increasingly depleted over the late 20th century this asymmetry in the ozone distribution moves west, before moving east as polar ozone recovers over the course of the 21st century. Comparison with model runs in which ozone-depleting substances are held fixed at pre-ozone-hole levels shows that this shift is primarily a function of the magnitude of ozone depletion, although increases in greenhouse gases also have some effect.</t>
  </si>
  <si>
    <t>[Dennison, Fraser; McDonald, Adrian] Univ Canterbury, Dept Phys &amp; Astron, Christchurch, New Zealand; [Dennison, Fraser; Morgenstern, Olaf] Natl Inst Water &amp; Atmospher Res NIWA, Lauder, New Zealand; [Dennison, Fraser; Morgenstern, Olaf] NIWA, Wellington, New Zealand</t>
  </si>
  <si>
    <t>University of Canterbury; National Institute of Water &amp; Atmospheric Research (NIWA) - New Zealand; National Institute of Water &amp; Atmospheric Research (NIWA) - New Zealand</t>
  </si>
  <si>
    <t>Dennison, F (corresponding author), Univ Canterbury, Dept Phys &amp; Astron, Christchurch, New Zealand.;Dennison, F (corresponding author), Natl Inst Water &amp; Atmospher Res NIWA, Lauder, New Zealand.;Dennison, F (corresponding author), NIWA, Wellington, New Zealand.</t>
  </si>
  <si>
    <t>fraser.dennison@niwa.co.nz</t>
  </si>
  <si>
    <t>Dennison, Fraser/JAC-3965-2023; Dennison, Fraser/ABC-3115-2020</t>
  </si>
  <si>
    <t>Morgenstern, Olaf/0000-0002-9967-9740; Dennison, Fraser/0000-0003-3931-3736</t>
  </si>
  <si>
    <t>University of Canterbury; NIWA; Marsden Fund Council; Royal Society of New Zealand [12-NIW-006]; Stratospheric Chemistry project of the Deep South National Science Challenge; NeSI's collaborator institutions; Ministry of Business, Innovation &amp; Employment's Research Infrastructure programme</t>
  </si>
  <si>
    <t>University of Canterbury; NIWA; Marsden Fund Council(Royal Society of New ZealandMarsden Fund (NZ)); Royal Society of New Zealand(Royal Society of New Zealand); Stratospheric Chemistry project of the Deep South National Science Challenge; NeSI's collaborator institutions; Ministry of Business, Innovation &amp; Employment's Research Infrastructure programme</t>
  </si>
  <si>
    <t>We acknowledge the UK Met Office for use of the Met Office Unified Model (MetUM). This research has been supported by the University of Canterbury, by NIWA as part of its government-funded core research, and by the Marsden Fund Council from government funding, administered by the Royal Society of New Zealand (grant 12-NIW-006). Fraser Dennison acknowledges funding under the Stratospheric Chemistry project of the Deep South National Science Challenge. The authors wish to acknowledge the contribution of NeSI high-performance computing facilities to the results of this research. NZ's national facilities are provided by the NZ eScience Infrastructure and funded jointly by NeSI's collaborator institutions and through the Ministry of Business, Innovation &amp; Employment's Research Infrastructure programme.</t>
  </si>
  <si>
    <t>10.5194/acp-17-14075-2017</t>
  </si>
  <si>
    <t>FN8GM</t>
  </si>
  <si>
    <t>WOS:000416260700001</t>
  </si>
  <si>
    <t>Carlsen, T; Birnbaum, G; Ehrlich, A; Freitag, J; Heygster, G; Istomina, L; Kipfstuhl, S; Orsi, A; Schäfer, M; Wendisch, M</t>
  </si>
  <si>
    <t>Carlsen, Tim; Birnbaum, Gerit; Ehrlich, Andre; Freitag, Johannes; Heygster, Georg; Istomina, Larysa; Kipfstuhl, Sepp; Orsi, Anais; Schaefer, Michael; Wendisch, Manfred</t>
  </si>
  <si>
    <t>Comparison of different methods to retrieve optical-equivalent snow grain size in central Antarctica</t>
  </si>
  <si>
    <t>NONSPHERICAL ICE PARTICLE; SURFACE-AREA; RADIATIVE-TRANSFER; BIDIRECTIONAL REFLECTANCE; SPECTRAL ALBEDOMETER; INFRARED REFLECTANCE; INDEPENDENT SPHERES; 77 K; SCATTERING; ABSORPTION</t>
  </si>
  <si>
    <t>The optical-equivalent snow grain size affects the reflectivity of snow surfaces and, thus, the local surface energy budget in particular in polar regions. Therefore, the specific surface area (SSA), from which the optical snow grain size is derived, was observed for a 2-month period in central Antarctica (Kohnen research station) during austral summer 2013/14. The data were retrieved on the basis of ground-based spectral surface albedo measurements collected by the COmpact RAdiation measurement System (CORAS) and airborne observations with the Spectral Modular Airborne Radiation measurement sysTem (SMART). The snow grain size and pollution amount (SGSP) algorithm, originally developed to analyze spaceborne reflectance measurements by the MODerate Resolution Imaging Spectro-radiometer (MODIS), was modified in order to reduce the impact of the solar zenith angle on the retrieval results and to cover measurements in overcast conditions. Spectral ratios of surface albedo at 1280 and 1100 nm wavelength were used to reduce the retrieval uncertainty. The retrieval was applied to the ground-based and airborne observations and validated against optical in situ observations of SSA utilizing an IceCube device. The SSA retrieved from CORAS observations varied between 27 and 89m(2) kg(-1). Snowfall events caused distinct relative maxima of the SSA which were followed by a gradual decrease in SSA due to snow metamorphism and wind-induced transport of freshly fallen ice crystals. The ability of the modified algorithm to include measurements in overcast conditions improved the data coverage, in particular at times when precipitation events occurred and the SSA changed quickly. SSA retrieved from measurements with CORAS and MODIS agree with the in situ observations within the ranges given by the measurement uncertainties. However, SSA retrieved from the airborne SMART data slightly underestimated the ground-based results.</t>
  </si>
  <si>
    <t>[Carlsen, Tim; Ehrlich, Andre; Schaefer, Michael; Wendisch, Manfred] Univ Leipzig, Leipzig Inst Meteorol, Leipzig, Germany; [Birnbaum, Gerit; Freitag, Johannes; Kipfstuhl, Sepp] Helmholtz Ctr Polar &amp; Marine Res, Alfred Wegener Inst, Bremerhaven, Germany; [Heygster, Georg; Istomina, Larysa] Univ Bremen, Inst Environm Phys, Bremen, Germany; [Orsi, Anais] Lab Sci Climat &amp; Environm, Gif Sur Yvette, France</t>
  </si>
  <si>
    <t>Leipzig University; Helmholtz Association; Alfred Wegener Institute, Helmholtz Centre for Polar &amp; Marine Research; University of Bremen; CEA; Centre National de la Recherche Scientifique (CNRS); Universite Paris Saclay</t>
  </si>
  <si>
    <t>Carlsen, T (corresponding author), Univ Leipzig, Leipzig Inst Meteorol, Leipzig, Germany.</t>
  </si>
  <si>
    <t>tim.carlsen@uni-leipzig.de</t>
  </si>
  <si>
    <t>Birnbaum, Gerit/D-4350-2014; Heygster, Georg C./B-4928-2014; Carlsen, Tim/G-2195-2017; amplification, ³ - Arctic/AAU-6640-2020; Wendisch, Manfred/E-4175-2013; Ehrlich, André/H-9670-2013</t>
  </si>
  <si>
    <t>Carlsen, Tim/0000-0003-0695-9047; Wendisch, Manfred/0000-0002-4652-5561; Ehrlich, André/0000-0003-0860-8216; Orsi, Anais/0000-0001-5511-3940; Freitag, Johannes/0000-0003-2654-9440; Birnbaum, Gerit/0000-0002-0252-6781</t>
  </si>
  <si>
    <t>Deutsche Forschungsgemeinschaft (DFG) [SPP 1158, WE1900/29-1, BI 816/4-1]; DFG [SFB/TR 172]; Alfred Wegener Institute, Helmholtz Centre for Polar and Marine Research, Bremerhaven, Germany</t>
  </si>
  <si>
    <t>Deutsche Forschungsgemeinschaft (DFG)(German Research Foundation (DFG)); DFG(German Research Foundation (DFG)); Alfred Wegener Institute, Helmholtz Centre for Polar and Marine Research, Bremerhaven, Germany</t>
  </si>
  <si>
    <t>This work was supported by the Deutsche Forschungsgemeinschaft (DFG) in the framework of the priority programme Antarctic Research with comparative investigations in Arctic ice areas (SPP 1158) by the grants WE1900/29-1 and BI 816/4-1. We gratefully acknowledge the support by the SFB/TR 172 ArctiC Amplification: Climate Relevant Atmospheric and SurfaCe Processes, and Feedback Mechanisms (AC)3 funded by the DFG. We are grateful to the Alfred Wegener Institute, Helmholtz Centre for Polar and Marine Research, Bremerhaven, Germany, for supporting the campaign with logistics, the aircraft and manpower in Antarctica. In addition, we would like to thank Kenn Borek Air Ltd., Calgary, Canada, for the great pilots who made the complicated measurements possible.</t>
  </si>
  <si>
    <t>10.5194/tc-11-2727-2017</t>
  </si>
  <si>
    <t>FN8ID</t>
  </si>
  <si>
    <t>WOS:000416266100001</t>
  </si>
  <si>
    <t>King, JC; Kirchgaessner, A; Bevan, S; Elvidge, AD; Munneke, PK; Luckman, A; Orr, A; Renfrew, IA; van den Broeke, MR</t>
  </si>
  <si>
    <t>King, J. C.; Kirchgaessner, A.; Bevan, S.; Elvidge, A. D.; Munneke, P. Kuipers; Luckman, A.; Orr, A.; Renfrew, I. A.; van den Broeke, M. R.</t>
  </si>
  <si>
    <t>The Impact of Fohn Winds on Surface Energy Balance During the 2010-2011 Melt Season Over Larsen C Ice Shelf, Antarctica</t>
  </si>
  <si>
    <t>Larsen Ice Shelf; Fohn winds; melt; Antarctic</t>
  </si>
  <si>
    <t>POLAR WEATHER RESEARCH; PENINSULA; CLIMATE; TEMPERATURE; MODEL</t>
  </si>
  <si>
    <t>We use model data from the Antarctic Mesoscale Prediction System (AMPS), measurements from automatic weather stations and satellite observations to investigate the association between surface energy balance (SEB), surface melt, and the occurrence of fohn winds over Larsen C Ice Shelf (Antarctic Peninsula) over the period November 2010 to March 2011. Fohn conditions occurred for over 20% of the time during this period and are associated with increased air temperatures and decreased relative humidity (relative to nonfohn conditions) over the western part of the ice shelf. During fohn conditions, the downward turbulent flux of sensible heat and the downwelling shortwave radiation both increase. However, in AMPS, these warming tendencies are largely balanced by an increase in upward latent heat flux and a decrease in downwelling longwave radiation so the impact of fohn on the modeled net SEB is small. This balance is highly sensitive to the representation of surface energy fluxes in the model, and limited validation data suggest that AMPS may underestimate the sensitivity of SEB and melt to fohn. There is broad agreement on the spatial pattern of melt between the model and satellite observations but disagreement in the frequency with which melt occurs. Satellite observations indicate localized regions of persistent melt along the foot of the Antarctic Peninsula mountains which are not simulated by the model. Furthermore, melt is observed to persist in these regions during extended periods when fohn does not occur, suggesting that other factors may be important in controlling melt in these regions.</t>
  </si>
  <si>
    <t>[King, J. C.; Kirchgaessner, A.; Orr, A.] British Antarctic Survey, Cambridge, England; [Bevan, S.; Luckman, A.] Swansea Univ, Dept Geog, Swansea, W Glam, Wales; [Elvidge, A. D.; Renfrew, I. A.] Univ East Anglia, Sch Environm Sci, Norwich, Norfolk, England; [Munneke, P. Kuipers; van den Broeke, M. R.] Univ Utrecht, Inst Marine &amp; Atmospher Res Utrecht, Utrecht, Netherlands</t>
  </si>
  <si>
    <t>UK Research &amp; Innovation (UKRI); Natural Environment Research Council (NERC); NERC British Antarctic Survey; Swansea University; University of East Anglia; Utrecht University</t>
  </si>
  <si>
    <t>King, JC (corresponding author), British Antarctic Survey, Cambridge, England.</t>
  </si>
  <si>
    <t>Renfrew, Ian A/E-4057-2010; Kirchgaessner, Amelie/JGL-9010-2023; Luckman, Adrian/GVS-1716-2022; Van den Broeke, Michiel R./F-7867-2011</t>
  </si>
  <si>
    <t>Kirchgaessner, Amelie/0000-0001-7483-3652; Van den Broeke, Michiel R./0000-0003-4662-7565; Luckman, Adrian/0000-0002-9618-5905; Renfrew, Ian/0000-0001-9379-8215; Elvidge, Andrew/0000-0002-7099-902X; King, John/0000-0003-3315-7568; Bevan, Suzanne/0000-0003-2649-2982</t>
  </si>
  <si>
    <t>UK Natural Environment Research Council (NERC) [NE/G014124/1, NE/L006707/1, NE/L005409/1]; Netherlands Polar Program (NPP) of the Netherlands Organization of Scientific Research, Earth and Life Sciences section (NWO/ALW); Natural Environment Research Council [bas0100032, NE/G014124/1, NE/G013578/1] Funding Source: researchfish; NERC [NE/G013578/1, NE/G014124/1, NE/L006707/1, bas0100032] Funding Source: UKRI</t>
  </si>
  <si>
    <t>UK Natural Environment Research Council (NERC)(UK Research &amp; Innovation (UKRI)Natural Environment Research Council (NERC)); Netherlands Polar Program (NPP) of the Netherlands Organization of Scientific Research, Earth and Life Sciences section (NWO/ALW); Natural Environment Research Council(UK Research &amp; Innovation (UKRI)Natural Environment Research Council (NERC)); NERC(UK Research &amp; Innovation (UKRI)Natural Environment Research Council (NERC))</t>
  </si>
  <si>
    <t>The work reported in this paper was supported by the UK Natural Environment Research Council (NERC) under grants NE/G014124/1, NE/L006707/1, and NE/L005409/1. AWS14 is funded by the Netherlands Polar Program (NPP) of the Netherlands Organization of Scientific Research, Earth and Life Sciences section (NWO/ALW). We thank the Mesoscale and Microscale Meteorology Division of the National Center for Atmospheric Research for giving us access to the AMPS forecast archive, and Alan Gadian and Tony Phillips for assistance with accessing and processing the these data. AMPS model data are freely available through the Earth System Grid (www.earthsystemgrid.org). Data from AWS14 are available on request from IMAU, University of Utrecht (contact c.h.tijm-reijmer@uu.nl). CP AWS data may be obtained from the British Atmospheric Data Centre (Natural Environment Research Council, 2014).</t>
  </si>
  <si>
    <t>10.1002/2017JD026809</t>
  </si>
  <si>
    <t>FQ0YY</t>
  </si>
  <si>
    <t>WOS:000418084500001</t>
  </si>
  <si>
    <t>Legrand, M; Preunkert, S; Weller, R; Zipf, L; Elsässer, C; Merchel, S; Rugel, G; Wagenbach, D</t>
  </si>
  <si>
    <t>Legrand, Michel; Preunkert, Susanne; Weller, Rolf; Zipf, Lars; Elsaesser, Christoph; Merchel, Silke; Rugel, Georg; Wagenbach, Dietmar</t>
  </si>
  <si>
    <t>Year-round record of bulk and size-segregated aerosol composition in central Antarctica (Concordia site) - Part 2: Biogenic sulfur (sulfate and methanesulfonate) aerosol</t>
  </si>
  <si>
    <t>SEA-SALT SULFATE; DURVILLE COASTAL ANTARCTICA; METHANE SULFONIC-ACID; DUMONT DURVILLE; SOUTH-POLE; DIMETHYL SULFIDE; BOUNDARY-LAYER; DOME-C; ATMOSPHERIC DIMETHYLSULFIDE; SEASONAL-VARIATIONS</t>
  </si>
  <si>
    <t>Multiple year-round (2006-2015) records of the bulk and size-segregated composition of aerosol were obtained at the inland site of Concordia located in East Antarctica. The well-marked maximum of non-sea salt sulfate (nssSO(4)) in January (100 +/- 28 ng m(-3) versus 4.4 +/- 2.3 ng m(-3) in July) is consistent with observations made at the coast (280 +/- 78 ng M-3 in January versus 16 +/- 9 ng m(-3) in July at Dumont d'Urville, for instance). In contrast, the well-marked maximum of MSA at the coast in January (60 +/- 23 ng M-3 at Dumont d'Urville) is not observed at Concordia (5.2 +/- 2.0 ng M-3 in January). Instead, the MSA level at Concordia peaks in October (5.6 +/- 1.9 ng m(-3)) and March (14.9 +/- 5.7 ng m(-3)). As a result, a surprisingly low MSA-to-nssSO(4) ratio (RMSA) is observed at Concordia in mid-summer (0.0 +/- 5 0.02 in January versus 0.25 +/- 0.09 in March). We find that the low value of RMSA in mid-summer at Concordia is mainly driven by a drop of MSA levels that takes place in submicron aerosol (0.3 pm diameter). The drop of MSA coincides with periods of high photochemical activity as indicated by high ozone levels, strongly suggesting the occurrence of an efficient chemical destruction of MSA over the Antarctic plateau in mid-summer. The relationship between MSA and nssSO(4) levels is examined separately for each season and indicates that concentration of non-biogenic sulfate over the Antarctic plateau does not exceed 1 ng M-3 in fall and winter and remains close to 5 ng M-3 in spring. This weak non-biogenic sulfate level is discussed in the light of radionuclides (Pb-210, Be-10, and Be-7) also measured on bulk aerosol samples collected at Concordia. The findings highlight the complexity in using MSA in deep ice cores extracted from inland Antarctica as a proxy of past dimethyl sulfide emissions from the Southern Ocean.</t>
  </si>
  <si>
    <t>[Legrand, Michel; Preunkert, Susanne] Univ Grenoble Alpes, IGE, F-38402 Grenoble, France; [Legrand, Michel; Preunkert, Susanne] CNRS, IGE, F-38402 Grenoble, France; [Weller, Rolf] Alfred Wegener Inst Polar &amp; Marine Res, D-27570 Bremerhaven, Germany; [Zipf, Lars; Elsaesser, Christoph; Wagenbach, Dietmar] Heidelberg Univ, Inst Umweltphys, D-69120 Heidelberg, Germany; [Merchel, Silke; Rugel, Georg] HZDR, D-01328 Dresden, Germany</t>
  </si>
  <si>
    <t>Communaute Universite Grenoble Alpes; Universite Grenoble Alpes (UGA); Centre National de la Recherche Scientifique (CNRS); Helmholtz Association; Alfred Wegener Institute, Helmholtz Centre for Polar &amp; Marine Research; Ruprecht Karls University Heidelberg; Helmholtz Association; Helmholtz-Zentrum Dresden-Rossendorf (HZDR)</t>
  </si>
  <si>
    <t>Legrand, M (corresponding author), Univ Grenoble Alpes, IGE, F-38402 Grenoble, France.</t>
  </si>
  <si>
    <t>michel.legrand@univ-grenoble-alpes.fr</t>
  </si>
  <si>
    <t>Legrand, Michel/AAU-4678-2020</t>
  </si>
  <si>
    <t>Merchel, Silke/0000-0002-8755-3980; Zipf, Lars/0000-0002-6053-2653; Rolf, Weller/0000-0003-4880-5572</t>
  </si>
  <si>
    <t>Institut Polaire Francais Paul Emile Victor (IPEV) [414, 903]; Agence Nationale de la Recherche [ANR-14-CE01-0001-01]; INSU (CNRS)</t>
  </si>
  <si>
    <t>Institut Polaire Francais Paul Emile Victor (IPEV); Agence Nationale de la Recherche(Agence Nationale de la Recherche (ANR)); INSU (CNRS)(Centre National de la Recherche Scientifique (CNRS))</t>
  </si>
  <si>
    <t>National financial support and field logistic supplies for the summer campaign were provided by the Institut Polaire Francais Paul Emile Victor (IPEV) through program nos. 414 and 903 and the Agence Nationale de la Recherche through contract ANR-14-CE01-0001-01 (ASUMA). This work was initiated in the framework of the French environmental observation service CESOA (Etude du cycle atmospherique du soufre en relation avec le climat aux moyennes et hautes latitudes sud) with the financial support of INSU (CNRS). We thank Bruno Jourdain from LGGE for supervising the sampling material in the field and for sample analysis. Thanks also to Eric Wolff from Cambridge for useful discussions. Parts of this research were carried out at the Ion Beam Centre (IBC) at the Helmholtz-Zentrum Dresden-Rossendorf e.V., a member of the Helmholtz Association. We would like to thank the DREAMS operator team, Rene Ziegenrticker and Stefan Pavetich for their assistance with AMS measurements, and Stephanie Uhlig for help with 10Be sample preparation. We thank the two anonymous reviewers for their helpful comments.</t>
  </si>
  <si>
    <t>NOV 24</t>
  </si>
  <si>
    <t>10.5194/acp-17-14055-2017</t>
  </si>
  <si>
    <t>FN6UO</t>
  </si>
  <si>
    <t>WOS:000416151800005</t>
  </si>
  <si>
    <t>Ackerley, D; Reeves, J; Barr, C; Bostock, H; Fitzsimmons, K; Fletcher, MS; Gouramanis, C; McGregor, H; Mooney, S; Phipps, SJ; Tibby, J; Tyler, J</t>
  </si>
  <si>
    <t>Ackerley, Duncan; Reeves, Jessica; Barr, Cameron; Bostock, Helen; Fitzsimmons, Kathryn; Fletcher, Michael-Shawn; Gouramanis, Chris; McGregor, Helen; Mooney, Scott; Phipps, Steven J.; Tibby, John; Tyler, Jonathan</t>
  </si>
  <si>
    <t>Evaluation of PMIP2 and PMIP3 simulations of mid-Holocene climate in the Indo-Pacific, Australasian and Southern Ocean regions</t>
  </si>
  <si>
    <t>LAST GLACIAL MAXIMUM; EQUATORIAL PACIFIC; WARM POOL; MODEL SIMULATIONS; PALEOENVIRONMENTAL CHANGE; TEMPERATURE VARIABILITY; NORTHEASTERN AUSTRALIA; SOUTHEASTERN AUSTRALIA; EXPERIMENT DESIGN; LATE PLEISTOCENE</t>
  </si>
  <si>
    <t>This study uses the simplified patterns of temperature and effective precipitation approach from the Australian component of the international palaeoclimate synthesis effort (INTegration of Ice core, MArine and TErrestrial records - OZ-INTIMATE) to compare atmosphere-ocean general circulation model (AOGCM) simulations and proxy reconstructions. The approach is used in order to identify important properties (e.g. circulation and precipitation) of past climatic states from the models and proxies, which is a primary objective of the Southern Hemisphere Assessment of PalaeoEnvironment (SHAPE) initiative. The AOGCM data are taken from the Paleoclimate Modelling Intercomparison Project (PMIP) mid-Holocene (ca. 6000 years before present, 6 ka) and pre-industrial control (ca. 1750 CE, 0 ka) experiments. The synthesis presented here shows that the models and proxies agree on the differences in climate state for 6 ka relative to 0 ka, when they are insolation driven. The largest uncertainty between the models and the proxies occurs over the Indo-PacificWarm Pool (IPWP). The analysis shows that the lower temperatures in the Pacific at around 6 ka in the models may be the result of an enhancement of an existing systematic error. It is therefore difficult to decipher which one of the proxies and/or the models is correct. This study also shows that a reduction in the Equator-to-pole temperature difference in the Southern Hemisphere causes the mid-latitude westerly wind strength to reduce in the models; however, the simulated rainfall actually increases over the southern temperate zone of Australia as a result of higher convective precipitation. Such a mechanism (increased convection) may be useful for resolving disparities between different regional proxy records and model simulations. Finally, after assessing the available datasets (model and proxy), opportunities for better model-proxy integrated research are discussed.</t>
  </si>
  <si>
    <t>[Ackerley, Duncan] Monash Univ, Sch Earth Atmosphere &amp; Environm, ARC Ctr Excellence Climate Syst Sci, Clayton, Vic 3800, Australia; [Reeves, Jessica] Federat Univ, Fac Sci &amp; Technol, Ballarat, Vic 3353, Australia; [Barr, Cameron; Tibby, John; Tyler, Jonathan] Univ Adelaide, Dept Geog Environm &amp; Populat, North Terrace, Adelaide, SA 5005, Australia; [Barr, Cameron; Tibby, John; Tyler, Jonathan] Univ Adelaide, Sprigg Geobiol Ctr, North Terrace, Adelaide, SA 5005, Australia; [Bostock, Helen] Natl Inst Water &amp; Atmospher Res, 301 Evans Bay Parade, Wellington, New Zealand; [Fitzsimmons, Kathryn] Max Planck Inst Chem, Res Grp Terr Paleoclimates, Hahn Meitner Weg 1, D-55128 Mainz, Germany; [Fletcher, Michael-Shawn] Univ Melbourne, Sch Geog, Parkville, Vic 3010, Australia; [Gouramanis, Chris] Natl Univ Singapore, Dept Geog, 10 Kent Ridge Crescent, Singapore 117570, Singapore; [McGregor, Helen] Univ Wollongong, Sch Earth &amp; Environm Sci, Northfields Ave, Wollongong, NSW 2522, Australia; [Mooney, Scott] UNSW, Sch Biol Earth &amp; Environm Sci, Sydney, NSW 2052, Australia; [Phipps, Steven J.] Univ Tasmania, Inst Marine &amp; Antarctic Studies, Hobart, Tas, Australia</t>
  </si>
  <si>
    <t>Monash University; Federation University Australia; University of Adelaide; University of Adelaide; National Institute of Water &amp; Atmospheric Research (NIWA) - New Zealand; Max Planck Society; University of Melbourne; National University of Singapore; University of Wollongong; University of New South Wales Sydney; University of Tasmania</t>
  </si>
  <si>
    <t>Ackerley, D (corresponding author), Monash Univ, Sch Earth Atmosphere &amp; Environm, ARC Ctr Excellence Climate Syst Sci, Clayton, Vic 3800, Australia.</t>
  </si>
  <si>
    <t>duncan.ackerley@monash.edu</t>
  </si>
  <si>
    <t>Bostock, Helen/A-6834-2013; Fletcher, Michael-Shawn/AFR-2451-2022; Gouramanis, Chris/AAP-3165-2020; Mooney, Scott/M-5192-2019; Fitzsimmons, Kathryn/U-3565-2018; ACKERLEY, DUNCAN/JGE-5894-2023; Phipps, Steven/B-3135-2008; McGregor, Helen/I-1479-2013</t>
  </si>
  <si>
    <t>Bostock, Helen/0000-0002-8903-8958; Fletcher, Michael-Shawn/0000-0002-1854-5629; Gouramanis, Chris/0000-0003-2867-2258; Mooney, Scott/0000-0003-4449-5060; Fitzsimmons, Kathryn/0000-0002-9337-0793; ACKERLEY, DUNCAN/0000-0001-9027-4088; Tyler, Jonathan/0000-0001-8046-0215; Barr, Cameron/0000-0003-0436-8702; Phipps, Steven/0000-0001-5657-8782; Tibby, John/0000-0002-5897-2932; Reeves, Jessica/0000-0003-4996-177X; McGregor, Helen/0000-0002-4031-2282</t>
  </si>
  <si>
    <t>ARC Centre of Excellence for Climate System Science [CE110001028]; National University Start-up Grant [WBS: R-109-000-223-133]; Australian Research Council [FT140100286]; Australian Research Council's Special Research Initiative for the Antarctic Gateway Partnership [SR140300001]; ARC [DP150103875]; Australian government; CEA; CNRS; EU [EVK2-CT-2002-00153]; Programme National d'Etude de la Dynamique du Climat (PNEDC); Australian Research Council [FT140100286] Funding Source: Australian Research Council</t>
  </si>
  <si>
    <t>ARC Centre of Excellence for Climate System Science(Australian Research Council); National University Start-up Grant; Australian Research Council(Australian Research Council); Australian Research Council's Special Research Initiative for the Antarctic Gateway Partnership(Australian Research Council); ARC(Australian Research Council); Australian government(Australian Government); CEA(French Atomic Energy Commission); CNRS(Centre National de la Recherche Scientifique (CNRS)); EU(European Union (EU)); Programme National d'Etude de la Dynamique du Climat (PNEDC); Australian Research Council(Australian Research Council)</t>
  </si>
  <si>
    <t>This project was funded by the ARC Centre of Excellence for Climate System Science (CE110001028). The authors would like to thank Andrew Lorrey and another anonymous reviewer for their thorough and informative reviews, which substantially improved this paper. Chris Gouramanis was partially supported by a National University Start-up Grant (WBS: R-109-000-223-133). Helen McGregor acknowledges funding from Australian Research Council Future Fellowship FT140100286. Steven Phipps was supported under the Australian Research Council's Special Research Initiative for the Antarctic Gateway Partnership (project ID SR140300001). Cameron Barr was supported by the ARC Discovery Grant DP150103875. We acknowledge the World Climate Research Programme's Working Group on Coupled Modelling, which is responsible for CMIP, and we thank the climate modelling groups (listed in the Supplement, Table S1,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PMIP3 data were made available through the National Computational Infrastructure (NCI), which is supported by the Australian government. We acknowledge the international PMIP2 modelling groups for providing their data for analysis, the Laboratoire des Sciences du Climat et de l'Environnement (LSCE) for collecting and archiving the model data. The PMIP2/MOTIF Data Archive is supported by CEA, CNRS, the EU project MOTIF (EVK2-CT-2002-00153) and the Programme National d'Etude de la Dynamique du Climat (PNEDC). Catherine Harvey is also thanked for her assistance in compiling the database of proxy records used in this and the former OZ-INTIMATE studies.</t>
  </si>
  <si>
    <t>10.5194/cp-13-1661-2017</t>
  </si>
  <si>
    <t>FN6WA</t>
  </si>
  <si>
    <t>WOS:000416156000001</t>
  </si>
  <si>
    <t>Schaller, CF; Freitag, J; Eisen, O</t>
  </si>
  <si>
    <t>Schaller, Christoph Florian; Freitag, Johannes; Eisen, Olaf</t>
  </si>
  <si>
    <t>Critical porosity of gas enclosure in polar firn independent of climate</t>
  </si>
  <si>
    <t>PAST 800,000 YEARS; VOSTOK ICE CORE; AIR-CONTENT; ANTARCTIC ICE; CLOSE-OFF; TEMPERATURE; MODEL; SCALE; AGE; GREENLAND</t>
  </si>
  <si>
    <t>In order to interpret the paleoclimatic record stored in the air enclosed in polar ice cores, it is crucial to understand the fundamental lock-in process. Within the porous firn, bubbles are sealed continuously until the respective horizontal layer reaches a critical porosity. Present-day firn air models use a postulated temperature dependence of this value as the only parameter to adjust to the surrounding conditions of individual sites. However, no direct measurements of the firn microstructure could confirm these assumptions. Here we show that the critical porosity is a climate-independent constant by providing an extensive data set of micrometer-resolution 3-D X-ray computer tomographic measurements for ice cores representing different extremes of the temperature and accumulation ranges. We demonstrate why indirect measurements suggest a climatic dependence and substantiate our observations by applying percolation theory as a theoretical framework for bubble trapping. The incorporation of our results significantly influences the dating of trace gas records, changing gas-age-ice-age differences by up to more than 1000 years. This may further help resolve inconsistencies, such as differences between East Antarctic delta N-15 records (as a proxy for firn height) and model results. We expect our findings to be the basis for improved firn air and densification models, leading to lower dating uncertainties. The reduced coupling of proxies and surrounding conditions may allow for more sophisticated reinterpretations of trace gas records in terms of paleoclimatic changes and will benefit the development of new proxies, such as the air content as a marker of local insolation.</t>
  </si>
  <si>
    <t>[Schaller, Christoph Florian; Freitag, Johannes; Eisen, Olaf] Helmholtz Ctr Polar &amp; Marine Res, Alfred Wegener Inst, D-27568 Bremerhaven, Germany; [Eisen, Olaf] Univ Bremen, Dept Geosci, D-28359 Bremen, Germany</t>
  </si>
  <si>
    <t>Helmholtz Association; Alfred Wegener Institute, Helmholtz Centre for Polar &amp; Marine Research; University of Bremen</t>
  </si>
  <si>
    <t>Schaller, CF (corresponding author), Helmholtz Ctr Polar &amp; Marine Res, Alfred Wegener Inst, D-27568 Bremerhaven, Germany.</t>
  </si>
  <si>
    <t>christoph.schaller@awi.de</t>
  </si>
  <si>
    <t>Eisen, Olaf/K-3846-2012</t>
  </si>
  <si>
    <t>Eisen, Olaf/0000-0002-6380-962X; Schaller, Christoph Florian/0000-0003-1898-1188; Freitag, Johannes/0000-0003-2654-9440</t>
  </si>
  <si>
    <t>German National Merit Foundation (Studienstiftung des deutschen Volkes e.V.)</t>
  </si>
  <si>
    <t>The authors want to acknowledge Sepp Kipfstuhl and Bo Vinther as those responsible for the drilling of B49/B53 and RECAP_S2, respectively, and Todd Sowers for providing an insight into the RECAP firn air data. The main author wants to thank the German National Merit Foundation (Studienstiftung des deutschen Volkes e.V.) for funding his PhD project. Last but not least, we are much obliged to Eric Wolff, Christo Buizert and an anonymous referee for their support in greatly improving this paper.</t>
  </si>
  <si>
    <t>10.5194/cp-13-1685-2017</t>
  </si>
  <si>
    <t>WOS:000416156000002</t>
  </si>
  <si>
    <t>Alkire, MB; Polyakov, I; Rember, R; Pnyushkov, A; Ivanov, V; Ashik, I</t>
  </si>
  <si>
    <t>Alkire, Matthew B.; Polyakov, Igor; Rember, Robert; Pnyushkov, Andrey; Ivanov, Vladimir; Ashik, Igor</t>
  </si>
  <si>
    <t>Combining physical and geochemical methods to investigate lower halocline water formation and modification along the Siberian continental slope</t>
  </si>
  <si>
    <t>OCEAN SCIENCE</t>
  </si>
  <si>
    <t>ARCTIC-OCEAN HALOCLINE; ATLANTIC WATER; FRESH-WATER; SEA; SHELF; SURFACE; BASIN; SALINITY; BARENTS; ORIGIN</t>
  </si>
  <si>
    <t>A series of cross-slope transects were occupied in 2013 and 2015 that extended eastward from St. Anna Trough to the Lomonosov Ridge. High-resolution physical and chemical observations collected along these transects revealed fronts in the potential temperature and the stable oxygen isotopic ratio (delta O-18) that were observed north of Severnaya Zemlya (SZ). Using linear regressions, we describe mixing regimes on either side of the front that characterize a transition from a seasonal halocline to a permanent halocline. This transition describes the formation of lower halocline water (LHW) and the cold halocline layer via a mechanism that has been previously postulated by Rudels et al. (1996). Initial freshening of Atlantic Water (AW) by seaice meltwater occurs west of SZ, whereas higher influences of meteoric water and brine result in a transition to a separate mixing regime that alters LHW through mixing with overlying waters and shifts the characteristic temperature-salinity bend from higher (34.4 &lt;= S &lt;= 34.5) toward lower (34.2 &lt;= S &lt;= 34.3) salinities. These mixing regimes appear to have been robust since at least 2000.</t>
  </si>
  <si>
    <t>[Alkire, Matthew B.] Univ Washington, Appl Phys Lab, Seattle, WA 98105 USA; [Polyakov, Igor; Rember, Robert; Pnyushkov, Andrey; Ivanov, Vladimir] Univ Alaska Fairbanks, Int Arctic Res Ctr, Fairbanks, AK USA; [Ivanov, Vladimir; Ashik, Igor] Arctic &amp; Antarctic Res Inst, St Petersburg, Russia</t>
  </si>
  <si>
    <t>University of Washington; University of Washington Seattle; University of Alaska System; University of Alaska Fairbanks; Arctic &amp; Antarctic Research Institute</t>
  </si>
  <si>
    <t>Alkire, MB (corresponding author), Univ Washington, Appl Phys Lab, Seattle, WA 98105 USA.</t>
  </si>
  <si>
    <t>malkire@apl.washington.edu</t>
  </si>
  <si>
    <t>Pnyushkov, Andrey/M-3156-2019; Ivanov, Vladimir/J-5979-2014; Bloshkina, Ekaterina/I-6901-2015</t>
  </si>
  <si>
    <t>Pnyushkov, Andrey/0000-0001-9112-6458; Ivanov, Vladimir/0000-0003-2569-6027; Alkire, Matthew/0000-0001-7324-3159; Bloshkina, Ekaterina/0000-0002-2078-7459</t>
  </si>
  <si>
    <t>National Science Foundation [PLR-1203146 AM003]; National Oceanic &amp; Atmospheric Administration [NA15OAR4310156]; Ministry of Education and Science of the Russian Federation [RFMEFI61617X0076]</t>
  </si>
  <si>
    <t>National Science Foundation(National Science Foundation (NSF)); National Oceanic &amp; Atmospheric Administration(National Oceanic Atmospheric Admin (NOAA) - USA); Ministry of Education and Science of the Russian Federation(Ministry of Education and Science, Russian Federation)</t>
  </si>
  <si>
    <t>Matthew B. Alkire acknowledges funding from the National Science Foundation (PLR-1203146 AM003) and the National Oceanic &amp; Atmospheric Administration (NA15OAR4310156). Matthew B. Alkire would also like to thank Michael Steele and Rebecca Woodgate (Applied Physics Laboratory) for helpful comments and suggestions during the preparation of this paper as well as Wendy Ermold for help in figure preparation. Vladimir Ivanov acknowledges funding from the Ministry of Education and Science of the Russian Federation (project RFMEFI61617X0076).</t>
  </si>
  <si>
    <t>1812-0784</t>
  </si>
  <si>
    <t>1812-0792</t>
  </si>
  <si>
    <t>OCEAN SCI</t>
  </si>
  <si>
    <t>Ocean Sci.</t>
  </si>
  <si>
    <t>10.5194/os-13-983-2017</t>
  </si>
  <si>
    <t>FN6WU</t>
  </si>
  <si>
    <t>WOS:000416158300001</t>
  </si>
  <si>
    <t>Legrand, M; Preunkert, S; Wolff, E; Weller, R; Jourdain, B; Wagenbach, D</t>
  </si>
  <si>
    <t>Legrand, Michel; Preunkert, Susanne; Wolff, Eric; Weller, Rolf; Jourdain, Bruno; Wagenbach, Dietmar</t>
  </si>
  <si>
    <t>Year-round records of bulk and size-segregated aerosol composition in central Antarctica (Concordia site) Part 1: Fractionation of sea-salt particles</t>
  </si>
  <si>
    <t>BOUNDARY-LAYER; ICE CORE; INORGANIC BROMINE; EUROPEAN PROJECT; DUMONT DURVILLE; FROST FLOWERS; COASTAL; CHEMISTRY; SNOW; ATMOSPHERE</t>
  </si>
  <si>
    <t>Multiple year-round records of bulk and size segregated composition of aerosol were obtained at the inland site of Concordia located at Dome C in East Antarctica. In parallel, sampling of acidic gases on denuder tubes was carried out to quantify the concentrations of HCl and HNO3 present in the gas phase. These time series are used to examine aerosol present over central Antarctica in terms of chloride depletion relative to sodium with respect to freshly emitted sea-salt aerosol as well as depletion of sulfate relative to sodium with respect to the composition of seawater. A depletion of chloride relative to sodium is observed over most of the year, reaching a maximum of similar to 20 ngm(-3) in spring when there are still large sea-salt amounts and acidic components start to recover. The role of acidic sulfur aerosol and nitric acid in replacing chloride from sea-salt particles is here discussed. HCl is found to be around twice more abundant than the amount of chloride lost by sea-salt aerosol, suggesting that either HCl is more efficiently transported to Concordia than sea-salt aerosol or re-emission from the snow pack over the Antarctic plateau represents an additional significant HCl source. The size-segregated composition of aerosol collected in winter (from 2006 to 2011) indicates a mean sulfate to sodium ratio of sea-salt aerosol present over central Antarctica of 0.16 +/- 0.05, suggesting that, on average, the sea-ice and open-ocean emissions equally contribute to sea-salt aerosol load of the inland Antarctic atmosphere. The temporal variability of the sulfate depletion relative to sodium was examined at the light of air mass backward trajectories, showing an overall decreasing trend of the ratio (i.e., a stronger sulfate depletion relative to sodium) when air masses arriving at Dome C had traveled a longer time over sea ice than over open ocean. The findings are shown to be useful to discuss sea-salt ice records extracted at deep drilling sites located inland Antarctica.</t>
  </si>
  <si>
    <t>[Legrand, Michel; Preunkert, Susanne; Jourdain, Bruno] Univ Grenoble Alpes, CNRS, IGE, F-38402 Grenoble, France; [Legrand, Michel; Preunkert, Susanne; Jourdain, Bruno] CNRS, IGE, F-38402 Grenoble, France; [Wolff, Eric] Univ Cambridge, Dept Earth Sci, Cambridge CB2 3EQ, England; [Weller, Rolf] Alfred Wegener Inst Polar &amp; Marine Res, D-27570 Bremerhaven, Germany; [Wagenbach, Dietmar] Heidelberg Univ, Inst Umweltphys, D-69120 Heidelberg, Germany</t>
  </si>
  <si>
    <t>Communaute Universite Grenoble Alpes; Universite Grenoble Alpes (UGA); Centre National de la Recherche Scientifique (CNRS); Centre National de la Recherche Scientifique (CNRS); University of Cambridge; Helmholtz Association; Alfred Wegener Institute, Helmholtz Centre for Polar &amp; Marine Research; Ruprecht Karls University Heidelberg</t>
  </si>
  <si>
    <t>Legrand, M (corresponding author), Univ Grenoble Alpes, CNRS, IGE, F-38402 Grenoble, France.</t>
  </si>
  <si>
    <t>Legrand, Michel/AAU-4678-2020; Wolff, Eric W/D-7925-2014</t>
  </si>
  <si>
    <t>Wolff, Eric W/0000-0002-5914-8531; Rolf, Weller/0000-0003-4880-5572</t>
  </si>
  <si>
    <t>National financial support and field logistic supplies for the summer campaign were provided by the Institut Polaire Francais Paul Emile Victor (IPEV) through program nos. 414 and 903 and the Agence Nationale de la Recherche through contract ANR-14-CE01-0001-01 (ASUMA). This work was initiated in the framework of the French environmental observation service CESOA (Etude du cycle atmospherique du soufre en relation avec le climat aux moyennes et hautes latitudes sud) with the financial support of INSU (CNRS). We thank the three anonymous reviewers for their helpful comments.</t>
  </si>
  <si>
    <t>10.5194/acp-17-14039-2017</t>
  </si>
  <si>
    <t>WOS:000416151800004</t>
  </si>
  <si>
    <t>Moon, S; Kim, J; Bae, E</t>
  </si>
  <si>
    <t>Moon, Sojin; Kim, Junhyung; Bae, Euiyoung</t>
  </si>
  <si>
    <t>Structural analyses of adenylate kinases from Antarctic and tropical fishes for understanding cold adaptation of enzymes</t>
  </si>
  <si>
    <t>THERMAL STABILIZATION; BIOTECHNOLOGICAL APPLICATIONS; HYPERTHERMOPHILIC ENZYMES; TEMPERATURE ADAPTATION; MOLECULAR EVOLUTION; ESCHERICHIA-COLI; STABILITY; OPTIMIZATION; CATALYSIS; DYNAMICS</t>
  </si>
  <si>
    <t>Psychrophiles are extremophilic organisms capable of thriving in cold environments. Proteins from these cold-adapted organisms can remain physiologically functional at low temperatures, but are structurally unstable even at moderate temperatures. Here, we report the crystal structure of adenylate kinase (AK) from the Antarctic fish Notothenia coriiceps, and identify the structural basis of cold adaptation by comparison with homologues from tropical fishes including Danio rerio. The structure of N. coriiceps AK (AKNc) revealed suboptimal hydrophobic packing around three Val residues in its central CORE domain, which are replaced with Ile residues in D. rerio AK (AKDr). The Val-to-Ile mutations that improve hydrophobic CORE packing in AKNc increased stability at high temperatures but decreased activity at low temperatures, suggesting that the suboptimal hydrophobic CORE packing is important for cold adaptation. Such linkage between stability and activity was also observed in AKDr. Ile-to-Val mutations that destabilized the tropical AK resulted in increased activity at low temperatures. Our results provide the structural basis of cold adaptation of a psychrophilic enzyme from a multicellular, eukaryotic organism, and highlight the similarities and differences in the structural adjustment of vertebrate and bacterial psychrophilic AKs during cold adaptation.</t>
  </si>
  <si>
    <t>[Moon, Sojin; Kim, Junhyung; Bae, Euiyoung] Seoul Natl Univ, Dept Agr Biotechnol, Seoul 08826, South Korea; [Bae, Euiyoung] Seoul Natl Univ, Res Inst Agr &amp; Life Sci, Seoul 08826, South Korea; [Moon, Sojin] iNtRON Biotechnol Inc, Seongnam 13202, South Korea</t>
  </si>
  <si>
    <t>Seoul National University (SNU); Seoul National University (SNU)</t>
  </si>
  <si>
    <t>Bae, E (corresponding author), Seoul Natl Univ, Dept Agr Biotechnol, Seoul 08826, South Korea.;Bae, E (corresponding author), Seoul Natl Univ, Res Inst Agr &amp; Life Sci, Seoul 08826, South Korea.</t>
  </si>
  <si>
    <t>bae@snu.ac.kr</t>
  </si>
  <si>
    <t>Cooperative Research Program for Agricultural Science &amp; Technology Development - Rural Development Administration [PJ01111201]; National Research Foundation of Korea - Ministry of Education, Science and Technology [NRF-2016R1D1A1A09916821]</t>
  </si>
  <si>
    <t>Cooperative Research Program for Agricultural Science &amp; Technology Development - Rural Development Administration; National Research Foundation of Korea - Ministry of Education, Science and Technology(Ministry of Education, Science &amp; Technology (MEST), Republic of KoreaNational Research Foundation of Korea)</t>
  </si>
  <si>
    <t>We thank the staff of the beamlines 5 C and 7 A of the Pohang Accelerator Laboratory for their support with data collection. This work was supported by the Cooperative Research Program for Agricultural Science &amp; Technology Development funded by Rural Development Administration (PJ01111201) and the Basic Science Research Program through the National Research Foundation of Korea funded by the Ministry of Education, Science and Technology (NRF-2016R1D1A1A09916821).</t>
  </si>
  <si>
    <t>NOV 22</t>
  </si>
  <si>
    <t>10.1038/s41598-017-16266-9</t>
  </si>
  <si>
    <t>FN6IT</t>
  </si>
  <si>
    <t>WOS:000416118300051</t>
  </si>
  <si>
    <t>Magalhaes, WF; Linse, K; Wiklund, H</t>
  </si>
  <si>
    <t>Magalhaes, Wagner F.; Linse, Katrin; Wiklund, Helena</t>
  </si>
  <si>
    <t>A new species of Raricirrus (Annelida: Cirratuliformia) from deep-water sunken wood off California</t>
  </si>
  <si>
    <t>Taxonomy; new species; Raricirrus; wood falls; Cirratulidae; Ctenodrilidae; 16S; COI</t>
  </si>
  <si>
    <t>MULTIPLE SEQUENCE ALIGNMENT; PHYLOGENY; POLYCHAETA; CTENODRILIDAE; MITOCHONDRIAL; SYSTEMATICS; FALLS; BAY</t>
  </si>
  <si>
    <t>The genus Raricirrus is characterized by the absence of feeding palps, presence of filamentous branchiae, posterior segments shorter and wider than preceding ones, and by having diverse types of chaetae, including serrate capillaries, long natatory capillaries, falcate and finely pectinate, coarsely serrate chaetae and simple curved spines. A new species of Raricirrus is proposed based on morphological and mitochondrial DNA data. The K2P distance comparison of 16S and COI sequences from Raricirrus specimens collected from sunken wood in the deep-sea (3100 m) off Monterey, California, differed in less than 0.02 in both loci from those of another undescribed Raricirrus species collected at deep-sea hydrothermal vents in the East Scotia Ridge, Southern Ocean, and they are considered conspecific. This species is unique among its congeners by the lack of serrate chaetae, presence of acicular spines and neuropodial capillaries. Raricirrus jennae sp. nov. has only long capillaries on anterior notopodia, straight acicular spines with companion capillaries on posterior notopodia (from chaetigers 15-20), and similar acicular spines and companion capillaries throughout neuropodia. Raricirrus jennae sp. nov. appears to be an opportunistic and widely distributed species. The genus Raricirrus is emended to include the presence of acicular spines and keys to all cirratulid and ctenodrilid genera and Raricirrus species are presented.</t>
  </si>
  <si>
    <t>[Magalhaes, Wagner F.] Univ Hawaii Manoa, Dept Biol, 2538 McCarthy Mall, Honolulu, HI 96822 USA; [Magalhaes, Wagner F.] Univ Hawaii Manoa, Water Resources Res Ctr, 2540 Dole St, Honolulu, HI 96822 USA; [Wiklund, Helena] Nat Hist Museum, Dept Life Sci, Cromwell Rd, London SW7 5BD, England; [Linse, Katrin] British Antarctic Survey, Madingely Rd, Cambridge CB3 0ET, England</t>
  </si>
  <si>
    <t>University of Hawaii System; University of Hawaii Manoa; University of Hawaii System; University of Hawaii Manoa; Natural History Museum London; UK Research &amp; Innovation (UKRI); Natural Environment Research Council (NERC); NERC British Antarctic Survey</t>
  </si>
  <si>
    <t>Magalhaes, WF (corresponding author), Univ Hawaii Manoa, Dept Biol, 2538 McCarthy Mall, Honolulu, HI 96822 USA.;Magalhaes, WF (corresponding author), Univ Hawaii Manoa, Water Resources Res Ctr, 2540 Dole St, Honolulu, HI 96822 USA.</t>
  </si>
  <si>
    <t>wagnerfm@hawaii.edu</t>
  </si>
  <si>
    <t>Magalhães, Wagner F/G-6458-2016</t>
  </si>
  <si>
    <t>Wiklund, Helena/0000-0002-8252-3504</t>
  </si>
  <si>
    <t>David and Lucile Packard Foundation; MBARI project [901007]; National Enviromental Research Council (NERC) [NE/D010470/1]; NERC [bas0100036, NE/D010470/2] Funding Source: UKRI; Natural Environment Research Council [NE/D010470/2, bas0100036] Funding Source: researchfish</t>
  </si>
  <si>
    <t>David and Lucile Packard Foundation(The David &amp; Lucile Packard Foundation); MBARI project; National Enviromental Research Council (NERC); NERC(UK Research &amp; Innovation (UKRI)Natural Environment Research Council (NERC)); Natural Environment Research Council(UK Research &amp; Innovation (UKRI)Natural Environment Research Council (NERC))</t>
  </si>
  <si>
    <t>We thank Dr. Jenna Judge for donating the specimens collected as part of her doctoral dissertation and Dr. James P. Barry for coordinating the project in which these samples were collected. Dr. Judge's research received support from the David and Lucile Packard Foundation and MBARI project number 901007. We also thank Ms. Kathryn Ahlfeld and Dr. K. Osborn for allowing WFM to examine Raricirrus specimens at the polychaete collection of the USNM and Ms. Emma Sherlock at NHMUK. HW and KL wish to thank The National Enviromental Research Council (NERC) for funding the Consortium Grant NE/D010470/1 2008-2012 (Chemosynthetically-driven ecosystems south of the Polar Front: Biogeography and ecology -ChEsSO), the PSOs Prof. Alex Rogers and Prof. Paul Tyler and the crew and scientists onboard ChEsSO cruises JC42 and JC80. Drs. J. Blake, J. Williams, and two anonymous reviewers considerably improved a previous version of this manuscript.</t>
  </si>
  <si>
    <t>250F Marua Road Mt Wellington, AUCKLAND, ST LUKES 1023, NEW ZEALAND</t>
  </si>
  <si>
    <t>10.11646/zootaxa.4353.1.3</t>
  </si>
  <si>
    <t>FN3NA</t>
  </si>
  <si>
    <t>WOS:000415904700003</t>
  </si>
  <si>
    <t>Laye, VJ; Karan, R; Kim, JM; Pecher, WT; DasSarma, P; DasSarma, S</t>
  </si>
  <si>
    <t>Laye, Victoria J.; Karan, Ram; Kim, Jong-Myoung; Pecher, Wolf T.; DasSarma, Priya; DasSarma, Shiladitya</t>
  </si>
  <si>
    <t>Key amino acid residues conferring enhanced enzyme activity at cold temperatures in an Antarctic polyextremophilic β-galactosidase</t>
  </si>
  <si>
    <t>enzyme kinetics; site-directed mutagenesis; psychrophile; extremophile; haloarchaea</t>
  </si>
  <si>
    <t>PSYCHROPHILIC ENZYMES; ADAPTATION; PROTEINS; ENVIRONMENT; HALOPHILES; A4</t>
  </si>
  <si>
    <t>The Antarctic microorganism Halorubrum lacusprofundi harbors a model polyextremophilic beta-galactosidase that functions in cold, hypersaline conditions. Six amino acid residues potentially important for cold activity were identified by comparative genomics and substituted with evolutionarily conserved residues (N251D, A26SS, I299L, F387L, I476V, and V482L) in closely related homologs from mesophilic haloarchaea. Using a homology model, four residues (N251, A263,1299, and F387) were located in the TIM barrel around the active site in domain A, and two residues (I476 and V482) were within coiled or beta-sheet regions in domain B distant to the active site. Site-directed mutagenesis was performed by partial gene synthesis, and enzymes were overproduced from the cold-inducible cspD2 promoter in the genetically tractable Haloarchaeon, Halobacterium sp. NRC-1. Purified enzymes were characterized by steady-state kinetic analysis at temperatures from 0 to 25 degrees C using the chromogenic substrate o-nitrophenyl- beta-galactoside. All substitutions resulted in altered temperature activity profiles compared with wild type, with five of the six clearly exhibiting reduced catalytic efficiency (k(cat)/K-m) at colder temperatures and/or higher efficiency at warmer temperatures. These results could be accounted for by temperature-dependent changes in both K-m and k(cat) (three substitutions) or either K-m or k(cat) (one substitution each). The effects were correlated with perturbation of charge, hydrogen bonding, or packing, likely affecting the temperature-dependent flexibility and function of the enzyme. Our interdisciplinary approach, incorporating comparative genomics, mutagenesis, enzyme kinetics, and modeling, has shown that divergence of a very small number of amino acid residues can account for the cold temperature function of a polyextremophilic enzyme.</t>
  </si>
  <si>
    <t>[Laye, Victoria J.; Karan, Ram; Kim, Jong-Myoung; Pecher, Wolf T.; DasSarma, Priya; DasSarma, Shiladitya] Univ Maryland, Sch Med, Dept Microbiol &amp; Immunol, Inst Marine &amp; Environm Technol, Baltimore, MD 21202 USA</t>
  </si>
  <si>
    <t>DasSarma, S (corresponding author), Univ Maryland, Sch Med, Dept Microbiol &amp; Immunol, Inst Marine &amp; Environm Technol, Baltimore, MD 21202 USA.</t>
  </si>
  <si>
    <t>This work was supported by National Aeronautics and Space Administration Grant NNX15AM07G.</t>
  </si>
  <si>
    <t>NOV 21</t>
  </si>
  <si>
    <t>10.1073/pnas.1711542114</t>
  </si>
  <si>
    <t>FO1GB</t>
  </si>
  <si>
    <t>WOS:000416503700064</t>
  </si>
  <si>
    <t>Pardo, PC; Tilbrook, B; Langlais, C; Trull, TW; Rintoul, SR</t>
  </si>
  <si>
    <t>Pardo, Paula Conde; Tilbrook, Bronte; Langlais, Clothilde; Trull, Thomas William; Rintoul, Stephen Rich</t>
  </si>
  <si>
    <t>Carbon uptake and biogeochemical change in the Southern Ocean, south of Tasmania</t>
  </si>
  <si>
    <t>ANTARCTIC CIRCUMPOLAR CURRENT; EAST AUSTRALIAN CURRENT; ANTHROPOGENIC CO2; SEASONAL EVOLUTION; BOTTOM WATER; GLOBAL OCEAN; PREFORMED ALKALINITY; BIOGENIC SILICA; CLIMATE-CHANGE; CONVEYOR BELT</t>
  </si>
  <si>
    <t>Biogeochemical change in the water masses of the Southern Ocean, south of Tasmania, was assessed for the 16-year period between 1995 and 2011 using data from four summer repeats of the WOCE-JGOFS-CLIVAR-GO-SHIP (Key et al., 2015; Olsen et al., 2016) SR03 hydrographic section (at similar to 140 degrees E). Changes in temperature, salinity, oxygen, and nutrients were used to disentangle the effect of solubility, biology, circulation and anthropogenic carbon (CANT/uptake on the variability of dissolved inorganic carbon (DIC) for eight water mass layers defined by neutral surfaces (gamma(n)). CANT was estimated using an improved back-calculation method. Warming (similar to 0.0352 +/- 0.0170 degrees C yr(-1)) of Subtropical Central Water (STCW) and Antarctic Surface Water (AASW) layers decreased their gas solubility, and accordingly DIC concentrations increased less rapidly than expected from equilibration with rising atmospheric CO2 (similar to 0.86 +/- 0.16 mu mol kg(-1) yr(-1) versus similar to 1 +/- 0.12 mu mol kg(-1) yr(-1)). An increase in apparent oxygen utilisation (AOU) occurred in these layers due to either remineralisation of organic matter or intensification of upwelling. The range of estimates for the increases in CANT were 0.71 +/- 0.08 to 0.93 +/- 0.08 mu mol kg(-1) yr(-1) for STCW and 0.35 +/- 0.14 to 0.65 +/- 0.21 mu mol kg(-1) yr(-1) for AASW, with the lower values in each water mass obtained by assigning all the AOU change to remineralisation. DIC increases in the Sub-Antarctic Mode Water (SAMW, 1.10 +/- 0.14 mu mol kg(-1) yr(-1)) and Antarctic Intermediate Water (AAIW, 0.40 +/- 0.15 mu mol kg(-1) yr(-1)) layers were similar to the calculated CANT trends. For SAMW, the CANT increase tracked rising atmospheric CO2. As a consequence of the general DIC increase, decreases in total pH (pHT) and aragonite saturation (Omega(Ar)) were found in most water masses, with the upper ocean and the SAMW layer presenting the largest trends for pHT decrease (similar to-0.0031 +/- 0.0004 yr(-1)). DIC increases in deep and bottom layers (similar to 0.24 +/- 0.04 mu mol kg(-1) yr(-1)) resulted from the advection of old deep waters to resupply increased upwelling, as corroborated by increasing silicate (similar to 0.21 +/- 0.07 mu mol kg(-1) yr(-1)), which also reached the upper layers near the Antarctic Divergence (similar to 0.36 +/- 0.06 mu mol kg(-1) yr(-1))and was accompanied by an increase in salinity. The observed changes in DIC over the 16-year span caused a shoaling (similar to 340 m) of the aragonite saturation depth (ASD, Omega(Ar) D-1) within Upper Circumpolar Deep Water that followed the upwelling path of this layer. From all our results, we conclude a scenario of increased transport of deep waters into the section and enhanced upwelling at high latitudes for the period between 1995 and 2011 linked to strong westerly winds. Although enhanced upwelling lowered the capacity of the AASW layer to uptake atmospheric CO2, it did not limit that of the newly forming SAMW and AAIW, which exhibited CANT storage rates (similar to 0.41 +/- 0.20 mol m(-2) yr(-1)/twice that of the upper layers.</t>
  </si>
  <si>
    <t>[Pardo, Paula Conde; Tilbrook, Bronte; Trull, Thomas William; Rintoul, Stephen Rich] Univ Tasmania, Antarctic Climate &amp; Ecosyst Cooperat Res Ctr, Hobart, Tas, Australia; [Tilbrook, Bronte; Langlais, Clothilde; Trull, Thomas William; Rintoul, Stephen Rich] CSIRO Oceans &amp; Atmosphere, Climate Sci Ctr, Hobart, Tas, Australia</t>
  </si>
  <si>
    <t>University of Tasmania; Antarctic Climate &amp; Ecosystems Cooperative Research Centre (ACE CRC); Commonwealth Scientific &amp; Industrial Research Organisation (CSIRO)</t>
  </si>
  <si>
    <t>Pardo, PC (corresponding author), Univ Tasmania, Antarctic Climate &amp; Ecosyst Cooperat Res Ctr, Hobart, Tas, Australia.</t>
  </si>
  <si>
    <t>paula.condepardo@csiro.au</t>
  </si>
  <si>
    <t>Langlais, Clothilde/AAI-9859-2021; C. Pardo, Paula/A-8217-2019; Tilbrook, Bronte/W-4007-2019; Rintoul, Stephen R/A-1471-2012</t>
  </si>
  <si>
    <t>Langlais, Clothilde/0000-0002-6423-7678; C. Pardo, Paula/0000-0001-6348-2332; Tilbrook, Bronte/0000-0001-9385-3827; Rintoul, Stephen R/0000-0002-7055-9876</t>
  </si>
  <si>
    <t>ACE-CRC Project R2.1: Carbon Uptake and Chemical Change</t>
  </si>
  <si>
    <t>The SR03 section was sampled as part of the World Ocean Circulation Experiment CO2 Survey (WOCE, http://woceatlas.ucsd.edu), and more recently the Global Ocean Ship-Based Hydrographic Investigation Program (GO-SHIPS, http://www.go-ship.org). Carbon system parameters contribute to the International Ocean Carbon Coordination Project of the United Nations Intergovernmental Oceanographic Commission (IOCCP, http://www.ioccp.org). Support for measurements on the section were provided to Steve Rich Rintoul and Bronte Tilbrook by the Antarctic Climate and Ecosystems Cooperative Research Centre (ACE CRC) and the Australian Climate Change Science Program. Logistic support for the section and ship time on the RSV Aurora Australis was provided by the Australian Antarctic Division. The many scientific staff involved in the hydrographic sections and the officers and crew of the ship were critical to obtaining good quality data. We especially want to thank the work by Kate Berry and Mark Pretty for high quality DIC and TA data, and for the hydrochemistry teams and CTD watches of multiple cruises and especially Mark Rosenberg and Rebecca Cowley. Paula Conde Pardo is a postdoctoral fellow supported by the ACE-CRC Project R2.1: Carbon Uptake and Chemical Change.</t>
  </si>
  <si>
    <t>10.5194/bg-14-5217-2017</t>
  </si>
  <si>
    <t>FN1CO</t>
  </si>
  <si>
    <t>WOS:000415722100002</t>
  </si>
  <si>
    <t>Sun, DW; Zhang, L; Chen, HJ; Feng, R; Cao, PR; Liu, YF</t>
  </si>
  <si>
    <t>Sun, Dewei; Zhang, Liang; Chen, Hongjian; Feng, Rong; Cao, Peirang; Liu, Yuanfa</t>
  </si>
  <si>
    <t>Effects of Antarctic krill oil on lipid and glucose metabolism in C57BL/6J mice fed with high fat diet</t>
  </si>
  <si>
    <t>LIPIDS IN HEALTH AND DISEASE</t>
  </si>
  <si>
    <t>Antarctic Krill oil; EPA and DHA; C57BL/6J mice; Lipid metabolism; Glucose tolerance</t>
  </si>
  <si>
    <t>LIVER-DISEASE; BODY-WEIGHT; FISH-OIL; PHOSPHOLIPIDS; ATHEROSCLEROSIS; SUPPLEMENTATION; BIOAVAILABILITY; CHOLESTEROL; IMPROVE; OBESITY</t>
  </si>
  <si>
    <t>Background: Obesity and other metabolic diseases have become epidemic which greatly affect human health. Diets with healthy nutrition are efficient means to prevent this epidemic occurrence. Novel food resources and process technology were needed for these purpose. In this study, Antarctic krill oil (KO) extracted from a dry krill by a procedure of hot pump dehydration in combined with freezing-drying was used to investigate health effect in animals including the growth, lipid and glucose metabolism. Methods: C57BL/6J mice were fed with a lard based high fat (HF) diet and substituted with KO for a period of 12 weeks in comparison with low fat normal control (NC) diet. Mice body weight and food consumption were recorded. Serum lipid metabolism - of C57BL/6J mice serum was measured. A glucose tolerance tests (GTTs) and pathology analysis of mice were performed at the end of the experiment. Results: The KO fed mice had less body weight gain, less fat accumulation in tissue such as adipose and liver. Dyslipidemia induced by high fat diet was partially improved by KO feeding with significant reduction of serum low density lipoprotein-cholesterol (LDL-C) content. Furthermore, KO feeding also improved glucose metabolism in C57BL/6J mice including a glucose tolerance of about 22% vs. 32% of AUC (area under the curve) for KO vs HF diet and the fast blood glucose level of 8.5 mmol/L, 9.8 mmol/L and 9.3 mmol/L for NC, HF and KO diet groups, respectively. In addition, KO feeding also reduced oxidative damage in liver with a decrease of malondialdehyde (MDA) content and increase of superoxide dismutase (SOD) content. Conclusion: This study provided evidence of the beneficial effects of KO on animal health from the processed technology, particularly on lipid and glucose metabolism. This study confirmed that as the Antarctic krill was extracted with a procedure of efficient energy, it might make it possible for Krill oil to be available for food industry.</t>
  </si>
  <si>
    <t>[Sun, Dewei; Zhang, Liang; Chen, Hongjian; Feng, Rong; Cao, Peirang; Liu, Yuanfa] Jiangnan Univ, Sch Food Sci &amp; Technol, Synerget Innovat Ctr Food Safety &amp; Nutr, State Key Lab Food Sci &amp; Technol, 1800 Lihu Ave, Wuxi 214122, Jiangsu, Peoples R China</t>
  </si>
  <si>
    <t>Feng, Rong/JDM-8793-2023; Liao, Hongmei/ABT-7677-2022; cao, peirang/AAH-1746-2019</t>
  </si>
  <si>
    <t>cao, peirang/0000-0003-4729-5478</t>
  </si>
  <si>
    <t>This work was supported by the National Natural Science Foundation of China (31571878), the Public Sector Research Special Food (201313011-7-3), Beijing Municipal Science and Technology Project (D151100004015003).</t>
  </si>
  <si>
    <t>BIOMED CENTRAL LTD</t>
  </si>
  <si>
    <t>236 GRAYS INN RD, FLOOR 6, LONDON WC1X 8HL, ENGLAND</t>
  </si>
  <si>
    <t>1476-511X</t>
  </si>
  <si>
    <t>LIPIDS HEALTH DIS</t>
  </si>
  <si>
    <t>Lipids Health Dis.</t>
  </si>
  <si>
    <t>10.1186/s12944-017-0601-8</t>
  </si>
  <si>
    <t>Biochemistry &amp; Molecular Biology; Nutrition &amp; Dietetics</t>
  </si>
  <si>
    <t>FN4WW</t>
  </si>
  <si>
    <t>WOS:000416008400001</t>
  </si>
  <si>
    <t>Berger, S; Drews, R; Helm, V; Sun, S; Pattyn, F</t>
  </si>
  <si>
    <t>Berger, Sophie; Drews, Reinhard; Helm, Veit; Sun, Sainan; Pattyn, Frank</t>
  </si>
  <si>
    <t>Detecting high spatial variability of ice shelf basal mass balance, Roi Baudouin Ice Shelf, Antarctica</t>
  </si>
  <si>
    <t>PINE ISLAND GLACIER; SEA-LEVEL RISE; GROUNDING-LINE; EAST ANTARCTICA; SHEET INSTABILITY; WEST ANTARCTICA; MELT RATES; CHANNELS; BENEATH; MODEL</t>
  </si>
  <si>
    <t>Ice shelves control the dynamic mass loss of ice sheets through buttressing and their integrity depends on the spatial variability of their basal mass balance (BMB), i.e. the difference between refreezing and melting. Here, we present an improved technique-based on satellite observations-to capture the small-scale variability in the BMB of ice shelves. As a case study, we apply the methodology to the Roi Baudouin Ice Shelf, Dronning Maud Land, East Antarctica, and derive its yearly averaged BMB at 10m horizontal gridding. We use mass conservation in a Lagrangian framework based on high-resolution surface velocities, atmosphericmodel surface mass balance and hydrostatic ice-thickness fields (derived from TanDEM-X surface elevation). Spatial derivatives are implemented using the total-variation differentiation, which preserves abrupt changes in flow velocities and their spatial gradients. Such changes may reflect a dynamic response to localized basal melting and should be included in the mass budget. Our BMB field exhibits much spatial detail and ranges from -14.7 to 8.6ma(-1) ice equivalent. Highest melt rates are found close to the grounding line where the pressure melting point is high, and the ice shelf slope is steep. The BMB field agrees well with on-site measurements from phase-sensitive radar, although independent radar profiling indicates unresolved spatial variations in firn density. We show that an elliptical surface depression (10m deep and with an extent of 0.7 km x 1.3 km) lowers by 0.5 to 1.4ma 1, which we tentatively attribute to a transient adaptation to hydrostatic equilibrium. We find evidence for elevated melting beneath ice shelf channels (with melting being concentrated on the channel's flanks). However, farther downstream from the grounding line, the majority of ice shelf channels advect passively (i.e. no melting nor refreezing) toward the ice shelf front. Although the absolute, satellite-based BMB values remain uncertain, we have high confidence in the spatial variability on sub-kilometre scales. This study highlights expected challenges for a full coupling between ice and ocean models.</t>
  </si>
  <si>
    <t>[Berger, Sophie; Sun, Sainan; Pattyn, Frank] Univ Libre Bruxelles, Lab Glaciol, Brussels, Belgium; [Drews, Reinhard] Univ Tubingen, Dept Geosci, Tubingen, Germany; [Helm, Veit] Helmholtz Ctr Polar &amp; Marine Res, Alfred Wegener Inst, Glaciol Sect, Bremerhaven, Germany</t>
  </si>
  <si>
    <t>Universite Libre de Bruxelles; Eberhard Karls University of Tubingen; Helmholtz Association; Alfred Wegener Institute, Helmholtz Centre for Polar &amp; Marine Research</t>
  </si>
  <si>
    <t>Berger, S (corresponding author), Univ Libre Bruxelles, Lab Glaciol, Brussels, Belgium.</t>
  </si>
  <si>
    <t>sberger@ulb.ac.be</t>
  </si>
  <si>
    <t>Drews, reinhard/AAP-4134-2021; Pattyn, Frank/AAA-9640-2019</t>
  </si>
  <si>
    <t>Drews, reinhard/0000-0002-2328-294X; Pattyn, Frank/0000-0003-4805-5636; Helm, Veit/0000-0001-7788-9328; Sun, Sainan/0000-0002-1614-2658; Berger, Sophie/0000-0003-4095-9323</t>
  </si>
  <si>
    <t>Belgian Federal Science Policy Office [SR/00/336]; FRS-FNRS (Fonds de la Recherche Scientifique) Aspirant PhD fellowship; Deutsche Forschungsgemeinschaft (DFG) [MA 3347/10-1]; FNRS-PDR (Fonds de la Recherche Scientifique) project MEDRISM</t>
  </si>
  <si>
    <t>Belgian Federal Science Policy Office(Belgian Federal Science Policy Office); FRS-FNRS (Fonds de la Recherche Scientifique) Aspirant PhD fellowship(Fonds de la Recherche Scientifique - FNRS); Deutsche Forschungsgemeinschaft (DFG)(German Research Foundation (DFG)); FNRS-PDR (Fonds de la Recherche Scientifique) project MEDRISM(Fonds de la Recherche Scientifique - FNRS)</t>
  </si>
  <si>
    <t>The research pertaining to these results received financial aid from the Belgian Federal Science Policy Office according to the agreement of subsidy no. SR/00/336. Sophie Berger is supported by a FRS-FNRS (Fonds de la Recherche Scientifique) Aspirant PhD fellowship. Reinhard Drews was partially supported by the Deutsche Forschungsgemeinschaft (DFG) in the framework of the priority programme Antarctic Research with comparative investigations in Arctic ice areas by the grant MA 3347/10-1. Sainan Sun is supported by the FNRS-PDR (Fonds de la Recherche Scientifique) project MEDRISM. TanDEM-X data originate from the German Aerospace Center (ATI-GLAC0267). We thank Nicolas Bergeot (Royal Observatory Belgium), who helped with GNSS processing and Keith Nicholls for his valuable help in processing of the phase-sensitive radar. We received excellent logistic support by the Belgian Military, AntarctiQ and the International Polar Foundation during the field campaigns. Finally, we thank Jan Lenaerts and Stefan Ligtenberg for sharing results from atmospheric modelling, as well as David Shean and Geir Moholdt for their constructive comments on this paper.</t>
  </si>
  <si>
    <t>10.5194/tc-11-2675-2017</t>
  </si>
  <si>
    <t>FN2NI</t>
  </si>
  <si>
    <t>WOS:000415829000002</t>
  </si>
  <si>
    <t>Laglera, LM; Tovar-Sánchez, A; Iversen, MH; González, HE; Naik, H; Mangesh, G; Assmy, P; Klaas, C; Mazzocchi, MG; Montresor, M; Naqvi, SWA; Smetacek, V; Wolf-Gladrow, DA</t>
  </si>
  <si>
    <t>Laglera, Luis M.; Tovar-Sanchez, A.; Iversen, M. H.; Gonzalez, H. E.; Naik, H.; Mangesh, G.; Assmy, P.; Klaas, C.; Mazzocchi, M. G.; Montresor, M.; Naqvi, S. W. A.; Smetacek, V.; Wolf-Gladrow, D. A.</t>
  </si>
  <si>
    <t>Iron partitioning during LOHAFEX: Copepod grazing as a major driver for iron recycling in the Southern Ocean</t>
  </si>
  <si>
    <t>MARINE CHEMISTRY</t>
  </si>
  <si>
    <t>LOHAFEX; Iron cycling; Iron partitioning; Grazing; Southern Ocean; Iron fertilization; Silicate depletion</t>
  </si>
  <si>
    <t>FECAL PELLETS; PHYTOPLANKTON GROWTH; FERTILIZATION; ENRICHMENT; DIATOM; REGENERATION; SINKING; CARBON; RATES; FE</t>
  </si>
  <si>
    <t>The LOHAFEX iron fertilization experiment was conducted for 39 days in the closed core of a cyclonic mesoscale eddy located along the Antarctic Polar Front in the Atlantic sector of the Southern Ocean. Mixed layer (ML) waters were characterized by high nitrate (similar to 20 mu M), low dissolved iron (DFe similar to 0.2 nM) and low silicate concentrations (below 1 mu M) restricting diatom growth. Upon initial fertilization, chlorophyll-a doubled during the first two weeks and stabilized thereafter, despite a second fertilization on day 21, due to an increase in grazing pressure. Biomass at the different trophic levels was mostly comprised of small autotrophic flagellates, the large copepod Calanus simillimus and the amphipod Themisto gaudichaudii. The downward flux of particulate material comprised mainly copepod fecal pellets that were remineralized in the upper 150 m of the water column with no significant deeper export. DFe concentrations in the upper 200 m were not significantly affected by the two fertilizations but after day 14 showed a greater variability (ranging from 0.3 to 1.3 nM) without a clear vertical pattern. Particulate iron concentrations (measured after 2 months at pH 1.4) decreased with time and showed a vertical pattern that indicated an important non-biogenic component at the bottom of the mixed layer. In order to assess the contribution of copepod grazing to iron cycling we used two different approaches: first, we measured for the first time in a field experiment copepod fecal pellet concentrations in the water column together with the iron content per pellet, and second, we devised a novel analytical scheme based on a two-step leaching protocol to estimate the contribution of copepod fecal pellets to particulate iron in the water column. Analysis of the iron content of isolated fecal pellets from C. simillimus showed that after the second fertilization, the iron content per fecal pellet was similar to 5 fold higher if the copepod had been captured in fertilized waters. We defined a new fraction termed leachable iron (pH 2.0) in 48 h (LFe48h) that, for the conditions during LOHAFEX, was shown to be an excellent proxy for the concentration of iron contained in copepod fecal pellets. We observed that, as a result of the second fertilization, iron accumulated in copepod fecal pellets and remained high at one third of the total iron stock in the upper 80 m. We hypothesize that our observations are due to a combination of two biological processes. First, phagotrophy of iron colloids freshly formed after the second fertilization by the predominant flagellate community resulted in higher Fe:C ratios per cell that, via grazing, lead to iron enrichment in copepod fecal pellets in fertilized waters. Second, copepod coprophagy could explain the rapid recycling of particulate iron in the upper 100-150 m, the accumulation of LFe48h in the upper 80 m after the second fertilization and provided the iron required for the maintenance of the LOHAFEX bloom for many weeks. Our results provide the first quantitative evidence of the major ecological relevance of copepods and their fecal products in the cycling of iron in silicate depleted areas of the Southern Ocean.</t>
  </si>
  <si>
    <t>[Laglera, Luis M.] Univ Islas Baleares, Dept Quim, FI TRACE, Palma De Mallorca 07122, Balearic Island, Spain; [Tovar-Sanchez, A.] ICMAN CSIC, Andalusian Inst Marine Sci, Dept Ecol &amp; Coastal Management, Campus Univ Rio San Pedro, Cadiz, Spain; [Tovar-Sanchez, A.] CSIC UIB, Inst Mediterraneo Estudios Avanzados, Dept Global Change Res IMEDEA, Palma De Mallorca, Balearic Island, Spain; [Iversen, M. H.] Zentrum Polar &amp; Meeresforsch, Alfred Wegener Inst, Helmholtz Young Investigator Grp SEAPUMP, Handelshafen 12, D-27570 Bremerhaven, Germany; [Iversen, M. H.] Univ Bremen, Fac Geosci, Klagenfurter &amp; Leobener Str, D-28359 Bremen, Germany; [Iversen, M. H.] Univ Bremen, MARUM, Klagenfurter &amp; Leobener Str, D-28359 Bremen, Germany; [Gonzalez, H. E.] Univ Austral Chile, Inst Ciencias Marinas &amp; Limnol, Valdivia, Chile; [Naik, H.; Mangesh, G.; Naqvi, S. W. A.] Natl Inst Oceanog, Panaji, Goa, India; [Assmy, P.] Norwegian Polar Res Inst, Fram Ctr, N-9296 Tromso, Norway; [Klaas, C.; Smetacek, V.; Wolf-Gladrow, D. A.] Helmholtz Zentrum Polar &amp; Meeresforsch, Alfred Wegener Inst, Handelshafen 12, D-27570 Bremerhaven, Germany; [Mazzocchi, M. G.; Montresor, M.] Stn Zool Anton Dohrn, Dept Integrat Marine Ecol, I-80121 Naples, Italy; [Gonzalez, H. E.] Ctr Invest Ecosistemas Marinas Altos Latitudes FO, Valdivia, Chile</t>
  </si>
  <si>
    <t>Universitat de les Illes Balears; Consejo Superior de Investigaciones Cientificas (CSIC); CSIC - Instituto de Ciencias Marinas de Andalucia (ICMAN); University of Barcelona; Universitat de les Illes Balears; Consejo Superior de Investigaciones Cientificas (CSIC); ATTITUS Educacao; Helmholtz Association; Alfred Wegener Institute, Helmholtz Centre for Polar &amp; Marine Research; University of Bremen; University of Bremen; Universidad Austral de Chile; Council of Scientific &amp; Industrial Research (CSIR) - India; CSIR - National Institute of Oceanography (NIO); Norwegian Polar Institute; Helmholtz Association; Alfred Wegener Institute, Helmholtz Centre for Polar &amp; Marine Research; Stazione Zoologica Anton Dohrn di Napoli</t>
  </si>
  <si>
    <t>Laglera, LM (corresponding author), Univ Islas Baleares, Dept Quim, FI TRACE, Palma De Mallorca 07122, Balearic Island, Spain.</t>
  </si>
  <si>
    <t>luis.laglera@uib.es</t>
  </si>
  <si>
    <t>Laglera, Luis/B-7983-2010; Gauns, Mangesh/AAT-9684-2021; Iversen, Morten H/C-7741-2013; Tovar-Sánchez, Antonio/B-8003-2010; González, Humberto E./A-4039-2008; Iversen, Morten Hvitfeldt/Q-3774-2016</t>
  </si>
  <si>
    <t>Laglera, Luis/0000-0002-5941-5900; Gauns, Mangesh/0000-0002-4737-9252; Iversen, Morten Hvitfeldt/0000-0002-5287-1110; Tovar-Sanchez, Antonio/0000-0003-4375-1982; Klaas, Christine/0000-0002-6679-8970; Montresor, Marina/0000-0002-2475-1787</t>
  </si>
  <si>
    <t>Government of Spain [MINECO CTM2008-01864-E/ANT, CTM2014-59244-C3-3-R]; Campus de Excelencia Internacional Program (Ministerio de Educacion, Cultura y Deportes, Espana)</t>
  </si>
  <si>
    <t>Government of Spain(Spanish Government); Campus de Excelencia Internacional Program (Ministerio de Educacion, Cultura y Deportes, Espana)</t>
  </si>
  <si>
    <t>This work was supported by the Government of Spain (MINECO CTM2008-01864-E/ANT and CTM2014-59244-C3-3-R). LML was supported by the Campus de Excelencia Internacional Program (Ministerio de Educacion, Cultura y Deportes, Espana).</t>
  </si>
  <si>
    <t>0304-4203</t>
  </si>
  <si>
    <t>1872-7581</t>
  </si>
  <si>
    <t>MAR CHEM</t>
  </si>
  <si>
    <t>Mar. Chem.</t>
  </si>
  <si>
    <t>NOV 20</t>
  </si>
  <si>
    <t>10.1016/j.marchem.2017.08.011</t>
  </si>
  <si>
    <t>Chemistry, Multidisciplinary; Oceanography</t>
  </si>
  <si>
    <t>Chemistry; Oceanography</t>
  </si>
  <si>
    <t>FN1TG</t>
  </si>
  <si>
    <t>WOS:000415773500014</t>
  </si>
  <si>
    <t>Bingham, RG; Vaughan, DG; King, EC; Davies, D; Cornford, SL; Smith, AM; Arthern, RJ; Brisbourne, AM; De Rydt, J; Graham, AGC; Spagnolo, M; Marsh, OJ; Shean, DE</t>
  </si>
  <si>
    <t>Bingham, Robert G.; Vaughan, David G.; King, Edward C.; Davies, Damon; Cornford, Stephen L.; Smith, Andrew M.; Arthern, Robert J.; Brisbourne, Alex M.; De Rydt, Jan; Graham, Alastair G. C.; Spagnolo, Matteo; Marsh, Oliver J.; Shean, David E.</t>
  </si>
  <si>
    <t>Diverse landscapes beneath Pine Island Glacier influence ice flow</t>
  </si>
  <si>
    <t>AMUNDSEN SEA EMBAYMENT; GROUNDING LINE RETREAT; WEST ANTARCTICA; LEVEL RISE; SHEET; DYNAMICS; STREAM; BED; SENSITIVITY; TOPOGRAPHY</t>
  </si>
  <si>
    <t>The retreating Pine Island Glacier (PIG), West Antarctica, presently contributes similar to 5-10% of global sea-level rise. PIG's retreat rate has increased in recent decades with associated thinning migrating upstream into tributaries feeding the main glacier trunk. To project future change requires modelling that includes robust parameterisation of basal traction, the resistance to ice flow at the bed. However, most ice-sheet models estimate basal traction from satellite-derived surface velocity, without a priori knowledge of the key processes from which it is derived, namely friction at the ice-bed interface and form drag, and the resistance to ice flow that arises as ice deforms to negotiate bed topography. Here, we present high-resolution maps, acquired using ice-penetrating radar, of the bed topography across parts of PIG. Contrary to lower-resolution data currently used for ice-sheet models, these data show a contrasting topography across the ice-bed interface. We show that these diverse subglacial landscapes have an impact on ice flow, and present a challenge for modelling ice-sheet evolution and projecting global sea-level rise from ice-sheet loss.</t>
  </si>
  <si>
    <t>[Bingham, Robert G.; Davies, Damon] Univ Edinburgh, Sch GeoSci, Edinburgh EH8 9XP, Midlothian, Scotland; [Vaughan, David G.; King, Edward C.; Smith, Andrew M.; Arthern, Robert J.; Brisbourne, Alex M.; De Rydt, Jan] British Antarctic Survey, Cambridge CB3 0ET, England; [Cornford, Stephen L.] Swansea Univ, Dept Geog, Coll Sci, Swansea SA2 8PP, W Glam, Wales; [Graham, Alastair G. C.] Univ Exeter, Coll Life &amp; Environm Sci, Exeter EX4 4RJ, Devon, England; [Spagnolo, Matteo] Univ Aberdeen, Sch Geosci, Aberdeen AB24 3UF, Scotland; [Spagnolo, Matteo] Univ Calif Berkeley, Dept Earth &amp; Planetary Sci, Berkeley, CA 94720 USA; [Marsh, Oliver J.] Univ Canterbury, Gateway Antarctica, Christchurch 8140, New Zealand; [Shean, David E.] Univ Washington, Appl Phys Lab, Seattle, WA 98105 USA</t>
  </si>
  <si>
    <t>University of Edinburgh; UK Research &amp; Innovation (UKRI); Natural Environment Research Council (NERC); NERC British Antarctic Survey; Swansea University; University of Exeter; University of Aberdeen; University of California System; University of California Berkeley; University of Canterbury; University of Washington; University of Washington Seattle</t>
  </si>
  <si>
    <t>Bingham, RG (corresponding author), Univ Edinburgh, Sch GeoSci, Edinburgh EH8 9XP, Midlothian, Scotland.</t>
  </si>
  <si>
    <t>r.bingham@ed.ac.uk</t>
  </si>
  <si>
    <t>Brisbourne, Alex/E-6198-2013; Vaughan, David/C-8348-2011; Marsh, Oliver J/K-7436-2014; Spagnolo, Matteo/G-2415-2011; De Rydt, Jan/H-5692-2018; Bingham, Robert G/G-3576-2017</t>
  </si>
  <si>
    <t>Spagnolo, Matteo/0000-0002-2753-338X; Marsh, Oliver/0000-0001-7874-514X; Cornford, Stephen/0000-0003-1844-274X; Shean, David/0000-0003-3840-3860; Vaughan, David/0000-0002-9065-0570; De Rydt, Jan/0000-0002-2978-8706; Bingham, Robert G/0000-0002-0630-2021; SMITH, ANDREW/0000-0001-8577-482X</t>
  </si>
  <si>
    <t>UK Natural Environment Research Council (NERC) iSTAR Programme [NE/J005665, NE/K011189]; NERC [NE/B502287/1, NE/J004766/1]; British Antarctic Survey (BAS) Polar Science for Planet Earth Programme; NASA NESSF fellowship [NNX12AN36H]; NERC [bas0100034, NE/J005665/1, NE/J004766/1, NE/J005754/1, NE/L005212/1, NE/J005665/2] Funding Source: UKRI; Natural Environment Research Council [1365732, NE/J005665/1, bas0100034, NE/J004766/1, NE/J005665/2, NE/L005212/1, NE/J005754/1] Funding Source: researchfish</t>
  </si>
  <si>
    <t>UK Natural Environment Research Council (NERC) iSTAR Programme(UK Research &amp; Innovation (UKRI)Natural Environment Research Council (NERC)); NERC(UK Research &amp; Innovation (UKRI)Natural Environment Research Council (NERC)); British Antarctic Survey (BAS) Polar Science for Planet Earth Programme; NASA NESSF fellowship; NERC(UK Research &amp; Innovation (UKRI)Natural Environment Research Council (NERC)); Natural Environment Research Council(UK Research &amp; Innovation (UKRI)Natural Environment Research Council (NERC))</t>
  </si>
  <si>
    <t>This work was supported by funding from the UK Natural Environment Research Council (NERC) iSTAR Programme (Grants NE/J005665 and NE/K011189), NERC grants NE/B502287/1 and NE/J004766/1 and the British Antarctic Survey (BAS) Polar Science for Planet Earth Programme. D.E.S. was supported by a NASA NESSF fellowship (NNX12AN36H). Bathymetric data used for Fig. 2c and f were sourced from the Bolin Centre Database Oden Mapping Data (cruise OSO 0910; http://oden.geo.su.se/oso0910) and NSF/IEDA Marine Geoscience Data System (http://www.marine-geo.org/tools/search/Files.php?data_set_uid=20080) respectively, and we thank the lead authors M. Jakobsson and F.O. Nitsche for their lodging. All fieldwork was supported by the staff at BAS's Rothera Research Station and members of the iSTAR Traverse. In particular, we thank James Wake, Tim Gee, Jonny Yates (2013/14), David Routledge (2010/11) and Feargal Buckley, Chris Griffiths and Julian Scott (2007/08) for their help with data acquisition. We thank three anonymous referees for thorough and constructive reviews, which improved the final form of the manuscript.</t>
  </si>
  <si>
    <t>10.1038/s41467-017-01597-y</t>
  </si>
  <si>
    <t>FN1OG</t>
  </si>
  <si>
    <t>WOS:000415759900001</t>
  </si>
  <si>
    <t>Rosier, SHR; Gudmundsson, GH; King, MA; Nicholls, KW; Makinson, K; Corr, HFJ</t>
  </si>
  <si>
    <t>Rosier, Sebastian H. R.; Gudmundsson, G. Hilmar; King, Matt A.; Nicholls, Keith W.; Makinson, Keith; Corr, Hugh F. J.</t>
  </si>
  <si>
    <t>Strong tidal variations in ice flow observed across the entire Ronne Ice Shelf and adjoining ice streams</t>
  </si>
  <si>
    <t>EARTH SYSTEM SCIENCE DATA</t>
  </si>
  <si>
    <t>STICK-SLIP MOTION; ANTARCTICA; TIDES; MODEL; DYNAMICS; VELOCITY; GLACIER</t>
  </si>
  <si>
    <t>We present a compilation of GPS time series, including those for previously unpublished sites, showing that flow across the entire Ronne Ice Shelf and its adjoining ice streams is strongly affected by ocean tides. Previous observations have shown strong horizontal diurnal and semidiurnal motion of the ice shelf, and surface flow speeds of Rutford Ice Stream (RIS) are known to vary with a fortnightly (M-sf) periodicity. Our new data set shows that the M-sf flow modulation, first observed on RIS, is also found on Evans, Talutis, Institute, and Foundation ice streams, i.e. on all ice streams for which data are available. The amplitude of the Msf signal increases downstream of grounding lines, reaching up to 20% of mean flow speeds where ice streams feed into the main ice shelf. Upstream of ice stream grounding lines, decay length scales are relatively uniform for all ice streams but the speed at which the M-sf signal propagates upstream shows more variation. Observations and modelling of tidal variations in ice flow can help constrain crucial parameters that determine the rate and extent of potential ice mass loss from Antarctica. Given that the M-sf modulation in ice flow is readily observed across the entire region at distances of up to 80 km upstream of grounding lines, but is not completely reproduced in any existing numerical model, this new data set suggests a pressing need to identify the missing processes responsible for its generation and propagation. The new GPS data set is publicly available through the UK Polar Data Centre at http://doi.org/10.5285/4fe11286-0e53-4a03-854c-a79a44d1e356.</t>
  </si>
  <si>
    <t>[Rosier, Sebastian H. R.; Gudmundsson, G. Hilmar; Nicholls, Keith W.; Makinson, Keith; Corr, Hugh F. J.] British Antarctic Survey, Madingley Rd, Cambridge, England; [King, Matt A.] Univ Tasmania, Hobart, Tas, Australia</t>
  </si>
  <si>
    <t>UK Research &amp; Innovation (UKRI); Natural Environment Research Council (NERC); NERC British Antarctic Survey; University of Tasmania</t>
  </si>
  <si>
    <t>Rosier, SHR (corresponding author), British Antarctic Survey, Madingley Rd, Cambridge, England.</t>
  </si>
  <si>
    <t>s.rosier@bas.ac.uk</t>
  </si>
  <si>
    <t>Corr, Hugh/C-5398-2011; King, Matt/B-4622-2008; Gudmundsson, Gudmundur Hilmar/AAU-5987-2020; Makinson, Keith/A-2495-2013</t>
  </si>
  <si>
    <t>King, Matt/0000-0001-5611-9498; Gudmundsson, Gudmundur Hilmar/0000-0003-4236-5369; Makinson, Keith/0000-0002-5791-1767</t>
  </si>
  <si>
    <t>UK Natural Environment Research Council [NE/L013770/1]; NERC Geophysical Equipment Facility loan (NERC) [NE/D009960/1]; Australian Research Council Future Fellowship [FT110100207]; Australian Research Council Special Research Initiative for Antarctic Gateway Partnership [SR140300001]; NERC [NE/D009960/1, NE/L013770/1, bas0100034] Funding Source: UKRI</t>
  </si>
  <si>
    <t>UK Natural Environment Research Council(UK Research &amp; Innovation (UKRI)Natural Environment Research Council (NERC)); NERC Geophysical Equipment Facility loan (NERC); Australian Research Council Future Fellowship(Australian Research Council); Australian Research Council Special Research Initiative for Antarctic Gateway Partnership(Australian Research Council); NERC(UK Research &amp; Innovation (UKRI)Natural Environment Research Council (NERC))</t>
  </si>
  <si>
    <t>Sebastian H. R. Rosier was funded by the UK Natural Environment Research Council large grant Ice shelves in a warming world: Filchner Ice Shelf System (NE/L013770/1). The work was also partly supported by a NERC Geophysical Equipment Facility loan (NERC grant NE/D009960/1), an Australian Research Council Future Fellowship (project number FT110100207) and the Australian Research Council Special Research Initiative for Antarctic Gateway Partnership (project ID SR140300001). We are very grateful to BAS logistics, pilots, and field assistants for their tireless work to help acquire the data and we are grateful to Brent Minchew for his help in producing some of the figures. We also thank the reviewers (Laurie Padman and Ryan Walker) and editor (Reinhard Drews) for their helpful comments on the paper.</t>
  </si>
  <si>
    <t>1866-3508</t>
  </si>
  <si>
    <t>1866-3516</t>
  </si>
  <si>
    <t>EARTH SYST SCI DATA</t>
  </si>
  <si>
    <t>Earth Syst. Sci. Data</t>
  </si>
  <si>
    <t>10.5194/essd-9-849-2017</t>
  </si>
  <si>
    <t>FN1PF</t>
  </si>
  <si>
    <t>WOS:000415763000001</t>
  </si>
  <si>
    <t>Annett, AL; Fitzsimmons, JN; Séguret, MJM; Lagerström, M; Meredith, MP; Schofield, O; Sherrell, RM</t>
  </si>
  <si>
    <t>Annett, Amber L.; Fitzsimmons, Jessica N.; Seguret, Marie J. M.; Lagerstrom, Maria; Meredith, Michael P.; Schofield, Oscar; Sherrell, Robert M.</t>
  </si>
  <si>
    <t>Controls on dissolved and particulate iron distributions in surface waters of the Western Antarctic Peninsula shelf</t>
  </si>
  <si>
    <t>GEORGE-VI-SOUND; ICE ZONE WEST; SEA-ICE; DRAKE PASSAGE; CLIMATE-CHANGE; PHYTOPLANKTON BLOOMS; MARGUERITE BAY; AMUNDSEN SEA; MIXED-LAYER; FLUXES</t>
  </si>
  <si>
    <t>The Western Antarctic Peninsula (WAP) displays high but variable productivity and is also undergoing rapid change. Long-term studies of phytoplankton communities and primary production have suggested transient limitation by the micronutrient iron (Fe), but to date no data have been available to test this hypothesis. Here, we present the first spatially extensive, multi-year measurements of dissolved and particulate trace metals in surface waters to investigate the key sources and sinks of Fe in the central WAP shelf. Surface samples of dissolved and particulate metals were collected throughout the 700 x 200 km grid of the Palmer Long-Term Ecological Research program in three consecutive austral summers (2010 - 2012). Iron concentrations varied widely. Both dissolved and particulate Fe were high in coastal waters (up to 8 nmol kg(-1) and 42 nmol kg(-1), respectively). In contrast, very low Fe concentrations (&lt; 0.1 nmol kg(-1)) were widespread in mid- to outer-shelf surface waters, especially in the northern half of the sampling grid, suggesting possible Fe limitation of primary production on the shelf. Sea ice and dust inputs of Fe were minor, although their relative importance increased with distance from shore due to the larger near-shore sources. Sedimentary inputs were inferred from manganese distributions; these were more significant in the northern portion of the grid, and showed interannual variation in intensity. Overall, the interannual distribution of Fe was most closely correlated to that of meteoric water (glacial melt and precipitation). Although the Fe concentrations and relative contributions of dissolved and particulate Fe attributed to meltwater were variable throughout the sampling region, increasing glacial meltwater flux can be expected to increase the delivery of Fe to surface waters of the coastal WAP in the future.</t>
  </si>
  <si>
    <t>[Annett, Amber L.; Fitzsimmons, Jessica N.; Seguret, Marie J. M.; Lagerstrom, Maria; Schofield, Oscar; Sherrell, Robert M.] Rutgers State Univ, Dept Marine &amp; Coastal Sci, 71 Dudley Rd, New Brunswick, NJ 08901 USA; [Meredith, Michael P.] British Antarctic Survey, Cambridge, England; [Sherrell, Robert M.] Rutgers State Univ, Dept Earth &amp; Planetary Sci, Piscataway, NJ USA; [Fitzsimmons, Jessica N.] Texas A&amp;M Univ, Dept Oceanog, College Stn, TX 77843 USA; [Seguret, Marie J. M.] Univ Utrecht, Dept Earth Sci, Utrecht, Netherlands; [Lagerstrom, Maria] Stockholm Univ, Dept Environm Sci &amp; Analyt Chem, Stockholm, Sweden</t>
  </si>
  <si>
    <t>Rutgers University System; Rutgers University New Brunswick; UK Research &amp; Innovation (UKRI); Natural Environment Research Council (NERC); NERC British Antarctic Survey; Rutgers University System; Rutgers University New Brunswick; Texas A&amp;M University System; Texas A&amp;M University College Station; Utrecht University; Stockholm University</t>
  </si>
  <si>
    <t>Annett, AL (corresponding author), Rutgers State Univ, Dept Marine &amp; Coastal Sci, 71 Dudley Rd, New Brunswick, NJ 08901 USA.</t>
  </si>
  <si>
    <t>annett@marine.rutgers.edu</t>
  </si>
  <si>
    <t>Fitzsimmons, Jessica N/G-1343-2011; Schofield, Oscar/H-4169-2018; Lagerstrom, Maria/R-8949-2016</t>
  </si>
  <si>
    <t>Annett, Amber/0000-0002-3730-2438; Schofield, Oscar/0000-0003-2359-4131; Fitzsimmons, Jessica/0000-0002-9829-2464; Meredith, Michael/0000-0002-7342-7756; Lagerstrom, Maria/0000-0002-7526-5295</t>
  </si>
  <si>
    <t>US National Science Foundation [ANT-0838995, ANT-0823101]; NSF [ANT-0823101]; NERC [bas0100033] Funding Source: UKRI; Natural Environment Research Council [bas0100033] Funding Source: researchfish</t>
  </si>
  <si>
    <t>US National Science Foundation(National Science Foundation (NSF)); NSF(National Science Foundation (NSF)); NERC(UK Research &amp; Innovation (UKRI)Natural Environment Research Council (NERC)); Natural Environment Research Council(UK Research &amp; Innovation (UKRI)Natural Environment Research Council (NERC))</t>
  </si>
  <si>
    <t>We are grateful to the captain and crew of ARSV Laurence M. Gould, as well as the USAP technicians, and all the scientific personnel who contributed to sample collection and help during at-sea repairs. The support of Palmer LTER lead scientist Hugh Ducklow is greatly appreciated. We would also like to thank members of the Sherrell and Schofield labs who helped with cruise preparation, and Paul Field for his help with mass spectrometry during the sample analyses. We are also grateful to the journal editors and two anonymous reviewers whose careful comments improved the manuscript. This work was funded by the US National Science Foundation (ANT-0838995 to R.M.S. and ANT-0823101 to O.S.). Field cruise support, hydrographic data and H218O sampling were supported by NSF ANT-0823101 for the Palmer LTER Program.</t>
  </si>
  <si>
    <t>10.1016/j.marchem.2017.06.004</t>
  </si>
  <si>
    <t>WOS:000415773500008</t>
  </si>
  <si>
    <t>Denlinger, DL; Hahn, DA; Merlin, C; Holzapfel, CM; Bradshaw, WE</t>
  </si>
  <si>
    <t>Denlinger, David L.; Hahn, Daniel A.; Merlin, Christine; Holzapfel, Christina M.; Bradshaw, William E.</t>
  </si>
  <si>
    <t>Keeping time without a spine: what can the insect clock teach us about seasonal adaptation?</t>
  </si>
  <si>
    <t>PHILOSOPHICAL TRANSACTIONS OF THE ROYAL SOCIETY B-BIOLOGICAL SCIENCES</t>
  </si>
  <si>
    <t>insect photoperiodism; diapause; migration; clock genes; seasonal adaptations; climate change</t>
  </si>
  <si>
    <t>PITCHER-PLANT MOSQUITO; CIRCADIAN CLOCK; SUN COMPASS; PHOTOPERIODIC DIAPAUSE; MONARCH BUTTERFLIES; PHOTIC ENVIRONMENT; CLIMATE-CHANGE; EVOLUTION; GENE; ORIENTATION</t>
  </si>
  <si>
    <t>Seasonal change in daylength (photoperiod) is widely used by insects to regulate temporal patterns of development and behaviour, including the timing of diapause (dormancy) and migration. Flexibility of the photoperiodic response is critical for rapid shifts to new hosts, survival in the face of global climate change and to reproductive isolation. At the same time, the daily circadian clock is also essential for development, diapause and multiple behaviours, including correct flight orientation during long-distance migration. Although studied for decades, how these two critical biological timing mechanisms are integrated is poorly understood, in part because the core circadian clock genes are all transcription factors or regulators that are able to exert multiple effects throughout the genome. In this chapter, we discuss clocks in the wild from the perspective of diverse insect groups across eco-geographic contexts from the Antarctic to the tropical regions of Earth. Application of the expanding tool box of molecular techniques will lead us to distinguish universal from unique mechanisms underlying the evolution of circadian and photoperiodic timing, and their interaction across taxonomic and ecological contexts represented by insects. This article is part of the themed issue 'Wild clocks: integrating chrono-biology and ecology to understand timekeeping in free-living animals'.</t>
  </si>
  <si>
    <t>[Denlinger, David L.] Ohio State Univ, Dept Entomol &amp; Evolut, Columbus, OH 43210 USA; [Denlinger, David L.] Ohio State Univ, Dept Ecol &amp; Organismal Biol, Columbus, OH 43210 USA; [Hahn, Daniel A.] Univ Florida, Dept Entomol &amp; Nematol, Gainesville, FL 32611 USA; [Merlin, Christine] Texas A&amp;M Univ, Dept Biol, College Stn, TX 77843 USA; [Holzapfel, Christina M.; Bradshaw, William E.] Univ Oregon, Inst Ecol &amp; Evolut, Eugene, OR 97403 USA</t>
  </si>
  <si>
    <t>University System of Ohio; Ohio State University; University System of Ohio; Ohio State University; State University System of Florida; University of Florida; Texas A&amp;M University System; Texas A&amp;M University College Station; University of Oregon</t>
  </si>
  <si>
    <t>Denlinger, DL (corresponding author), Ohio State Univ, Dept Entomol &amp; Evolut, Columbus, OH 43210 USA.;Denlinger, DL (corresponding author), Ohio State Univ, Dept Ecol &amp; Organismal Biol, Columbus, OH 43210 USA.</t>
  </si>
  <si>
    <t>denlinger.1@osu.edu</t>
  </si>
  <si>
    <t>Hahn, Daniel A/B-6971-2012</t>
  </si>
  <si>
    <t>Hahn, Daniel/0000-0003-0165-7488</t>
  </si>
  <si>
    <t>USDA-AFRI [2015-67013-23416]; NSF [IOS-1354377, IOS-1257298, IOS-1456985, DEB-0917827, IOS-1255628, OPUS-1455506]; Florida Ag Experiment Station; FAO/IAEA CRP Dormancy Management to Enable Mass-rearing; Direct For Biological Sciences; Division Of Environmental Biology [1455506] Funding Source: National Science Foundation; Direct For Biological Sciences; Division Of Integrative Organismal Systems [1255628] Funding Source: National Science Foundation; Direct For Biological Sciences; Division Of Integrative Organismal Systems [1456985, 1257298] Funding Source: National Science Foundation</t>
  </si>
  <si>
    <t>USDA-AFRI(United States Department of Agriculture (USDA)); NSF(National Science Foundation (NSF)); Florida Ag Experiment Station; FAO/IAEA CRP Dormancy Management to Enable Mass-rearing; Direct For Biological Sciences; Division Of Environmental Biology(National Science Foundation (NSF)NSF - Directorate for Biological Sciences (BIO)); Direct For Biological Sciences; Division Of Integrative Organismal Systems(National Science Foundation (NSF)NSF - Directorate for Biological Sciences (BIO)NSF - Division of Integrative Organismal Systems (IOS)); Direct For Biological Sciences; Division Of Integrative Organismal Systems(National Science Foundation (NSF)NSF - Directorate for Biological Sciences (BIO)NSF - Division of Integrative Organismal Systems (IOS))</t>
  </si>
  <si>
    <t>D.L.D. was supported by grants from USDA-AFRI (2015-67013-23416) and NSF (IOS-1354377), D.A.H. from NSF (IOS-1257298), the Florida Ag Experiment Station, and the FAO/IAEA CRP Dormancy Management to Enable Mass-rearing, C.M. from NSF (IOS-1456985), and W.E.B. and C.M.H. from NSF (DEB-0917827, IOS-1255628, OPUS-1455506).</t>
  </si>
  <si>
    <t>0962-8436</t>
  </si>
  <si>
    <t>1471-2970</t>
  </si>
  <si>
    <t>PHILOS T R SOC B</t>
  </si>
  <si>
    <t>Philos. Trans. R. Soc. B-Biol. Sci.</t>
  </si>
  <si>
    <t>NOV 19</t>
  </si>
  <si>
    <t>10.1098/rstb.2016.0257</t>
  </si>
  <si>
    <t>FJ3AE</t>
  </si>
  <si>
    <t>WOS:000412601700011</t>
  </si>
  <si>
    <t>Ohata, Y; Toyota, T; Fraser, AD</t>
  </si>
  <si>
    <t>Ohata, Yu; Toyota, Takenobu; Fraser, Alexander D.</t>
  </si>
  <si>
    <t>The role of snow in the thickening processes of lake ice at Lake Abashiri, Hokkaido, Japan</t>
  </si>
  <si>
    <t>TELLUS SERIES A-DYNAMIC METEOROLOGY AND OCEANOGRAPHY</t>
  </si>
  <si>
    <t>lake; ice thickness; snow ice; slush; thermodynamic model; freeze-up and break-up dates; mid-latitudes</t>
  </si>
  <si>
    <t>SEA-ICE; SOUTHERN SEA; TRENDS; MODEL; VARIABILITY; SENSITIVITY; THICKNESS; EVOLUTION; EXCHANGE</t>
  </si>
  <si>
    <t>To clarify the properties of lake ice at mid-latitudes subject to moderate air temperature, heavy snow and abundant solar radiation even in winter, we conducted field observations at Lake Abashiri in Japan for three winters and developed a one-dimensional (1-D) thermo-dynamical ice growth model. Using this model with meteorological datasets, we examined the role of snow in the ice thickening process, as well as the Lake Abashiri ice phenology (including the interannual trend) for the past 55 years to compare with high latitude lakes. The ice was composed of two distinct layers: a snow ice (SI) layer and a congelation ice layer. The SI layer occupied a much greater fraction of total ice thickness than that at high latitude lakes. In-situ observations served to demonstrate the validity of the model. Freeze-up and break-up dates supplied by satellite imagery enabled further model validation prior to the availability of field data (2000/01-2015/16). Based on both observations and numerical experiments, it was found that one important role of snow is to moderate the variability of ice thickness caused by changes in meteorological conditions. Furthermore, ice thickness is more sensitive to snow depth than air temperature. When applied to an extended 55-year period (1961/62-2015/16) for which local meteorological observations are available, the mean dates of freeze-up and break-up, ice cover duration and ice thickness in February were estimated to be 12 December (no significant trend), 17 April (-1.7 d/decade), 127 d (-2.4 d/decade) and 43 cm (-1.4 cm/decade). For this long-term period, while snow still played an important role in ice growth, the surface air temperature warming trend was found to be a strong factor influencing ice growth, as reported for the high latitude lakes.</t>
  </si>
  <si>
    <t>[Ohata, Yu; Toyota, Takenobu] Hokkaido Univ, Inst Low Temp Sci, Sapporo, Hokkaido, Japan; [Fraser, Alexander D.] Univ Tasmania, Antarctic Climate &amp; Ecosyst Cooperat Res Ctr, Hobart, Tas, Australia</t>
  </si>
  <si>
    <t>Hokkaido University; Antarctic Climate &amp; Ecosystems Cooperative Research Centre (ACE CRC); University of Tasmania</t>
  </si>
  <si>
    <t>Ohata, Y (corresponding author), Hokkaido Univ, Inst Low Temp Sci, Sapporo, Hokkaido, Japan.</t>
  </si>
  <si>
    <t>yohata@ees.hokudai.ac.jp</t>
  </si>
  <si>
    <t>Toyota, Takenobu/D-9101-2012; Fraser, Alexander/AFO-7186-2022</t>
  </si>
  <si>
    <t>Fraser, Alexander/0000-0003-1924-0015</t>
  </si>
  <si>
    <t>Grant for Joint Research Program of ILTS; ILTS; Grants-in-Aid for Scientific Research [16K00511] Funding Source: KAKEN</t>
  </si>
  <si>
    <t>Grant for Joint Research Program of ILTS; ILTS; Grants-in-Aid for Scientific Research(Ministry of Education, Culture, Sports, Science and Technology, Japan (MEXT)Japan Society for the Promotion of ScienceGrants-in-Aid for Scientific Research (KAKENHI))</t>
  </si>
  <si>
    <t>This study was carried out by the bilateral cooperative agreement between the Institute of Low Temperature Science (ILTS), Hokkaido University, and Abashiri City, and was financially supported partly by the Grant for Joint Research Program of ILTS. We sincerely thank Toshifumi Kawajiri of Nishi-Abashiri Fishermen's Cooperative Association for his enormous support throughout the field observations, and the Fisheries Science Center of Abashiri City for their kind logistic support. We are very grateful to Takayuki Shiraiwa of ILTS for introducing us the field campaign at Lake Abashiri, Sumito Matoba of ILTS for kind arrangements regarding the measurement of delta18O and suggestions for our analysis and to Jun Nishioka of ILTS for financial support. We thank Eisho Kudo of the Okhotsk Ryu-hyo (drift ice) Museum for providing pictures. We also thank the Abashiri and Memanbetsu tourism associations for providing the records of ice thickness for ice fishing. We appreciate the help of Ryuta Kato and Jun-no Ishiyama of Hokkaido University with field observations. Comments from the anonymous reviewer were very helpful and to improve the manuscript.</t>
  </si>
  <si>
    <t>1600-0870</t>
  </si>
  <si>
    <t>TELLUS A</t>
  </si>
  <si>
    <t>Tellus Ser. A-Dyn. Meteorol. Oceanol.</t>
  </si>
  <si>
    <t>NOV 17</t>
  </si>
  <si>
    <t>10.1080/16000870.2017.1391655</t>
  </si>
  <si>
    <t>FO6OQ</t>
  </si>
  <si>
    <t>WOS:000416985000001</t>
  </si>
  <si>
    <t>Stenni, B; Curran, MAJ; Abram, NJ; Orsi, A; Goursaud, S; Masson-Delmotte, V; Neukom, R; Goosse, H; Divine, D; Van Ommen, T; Steig, EJ; Dixon, DA; Thomas, ER; Bertler, NAN; Isaksson, E; Ekaykin, A; Werner, M; Frezzotti, M</t>
  </si>
  <si>
    <t>Stenni, Barbara; Curran, Mark A. J.; Abram, Nerilie J.; Orsi, Anais; Goursaud, Sentia; Masson-Delmotte, Valerie; Neukom, Raphael; Goosse, Hugues; Divine, Dmitry; Van Ommen, Tas; Steig, Eric J.; Dixon, Daniel A.; Thomas, Elizabeth R.; Bertler, Nancy A. N.; Isaksson, Elisabeth; Ekaykin, Alexey; Werner, Martin; Frezzotti, Massimo</t>
  </si>
  <si>
    <t>Antarctic climate variability on regional and continental scales over the last 2000 years</t>
  </si>
  <si>
    <t>SURFACE MASS-BALANCE; ICE-SHEET SURFACE; ISOTOPIC COMPOSITION; SOUTHERN-HEMISPHERE; EAST ANTARCTICA; STABLE-ISOTOPES; WATER-VAPOR; TEMPERATURE VARIABILITY; NEUMAYER STATION; HOLOCENE CLIMATE</t>
  </si>
  <si>
    <t>Climate trends in the Antarctic region remain poorly characterized, owing to the brevity and scarcity of direct climate observations and the large magnitude of interannual to decadal-scale climate variability. Here, within the framework of the PAGES Antarctica2k working group, we build an enlarged database of ice core water stable isotope records from Antarctica, consisting of 112 records. We produce both unweighted and weighted isotopic (delta O-18) composites and temperature reconstructions since 0 CE, binned at 5- and 10-year resolution, for seven climatically distinct regions covering the Antarctic continent. Following earlier work of the Antarctica2k working group, we also produce composites and reconstructions for the broader regions of East Antarctica, West Antarctica and the whole continent. We use three methods for our temperature reconstructions: (i) a temperature scaling based on the delta O-18-temperature relationship output from an ECHAM5-wiso model simulation nudged to ERA-Interim atmospheric reanalyses from 1979 to 2013, and adjusted for the West Antarctic Ice Sheet region to borehole temperature data, (ii) a temperature scaling of the isotopic normalized anomalies to the variance of the regional reanalysis temperature and (iii) a composite-plus-scaling approach used in a previous continent-scale reconstruction of Antarctic temperature since 1 CE but applied to the new Antarctic ice core database. Our new reconstructions confirm a significant cooling trend from 0 to 1900 CE across all Antarctic regions where records extend back into the 1st millennium, with the exception of the Wilkes Land coast and Weddell Sea coast regions. Within this long-term cooling trend from 0 to 1900 CE, we find that the warmest period occurs between 300 and 1000 CE, and the coldest interval occurs from 1200 to 1900 CE. Since 1900 CE, significant warming trends are identified for the West Antarctic Ice Sheet, the Dronning Maud Land coast and the Antarctic Peninsula regions, and these trends are robust across the distribution of records that contribute to the unweighted isotopic composites and also significant in the weighted temperature reconstructions. Only for the Antarctic Peninsula is this most recent century-scale trend unusual in the context of natural variability over the last 2000 years. However, projected warming of the Antarctic continent during the 21st century may soon see significant and unusual warming develop across other parts of the Antarctic continent. The extended Antarctica2k ice core isotope database developed by this working group opens up many avenues for developing a deeper understanding of the response of Antarctic climate to natural and anthropogenic climate forcings. The first long-term quantification of regional climate in Antarctica presented herein is a basis for data-model comparison and assessments of past, present and future driving factors of Antarctic climate.</t>
  </si>
  <si>
    <t>[Stenni, Barbara] Ca Foscari Univ Venice, Dept Environm Sci Informat &amp; Stat, Venice, Italy; [Stenni, Barbara] CNR, Inst Dynam Environm Proc, Venice, Italy; [Curran, Mark A. J.; Van Ommen, Tas] Australian Antarctic Div, 203 Channel Highway, Kingston, Tas 7050, Australia; [Curran, Mark A. J.; Van Ommen, Tas] Univ Tasmania, Antarctic Climate &amp; Ecosyst Cooperat Res Ctr, Hobart, Tas 7001, Australia; [Abram, Nerilie J.] Australian Natl Univ, Res Sch Earth Sci, Canberra, ACT 2601, Australia; [Abram, Nerilie J.] Australian Natl Univ, ARC Ctr Excellence Climate Syst Sci, Canberra, ACT 2601, Australia; [Orsi, Anais; Goursaud, Sentia; Masson-Delmotte, Valerie] CEA Saclay, Lab Sci Climat &amp; Environm IPSL CEA CNRS UVSQ UMR, F-91191 Gif Sur Yvette, France; [Goursaud, Sentia] Univ Grenoble Alpes, LGGE, F-38041 Grenoble, France; [Neukom, Raphael] Univ Bern, Oeschger Ctr Climate Change Res, CH-3012 Bern, Switzerland; [Neukom, Raphael] Inst Geog, CH-3012 Bern, Switzerland; [Goosse, Hugues] Catholic Univ Louvain, Earth &amp; Life Inst, Ctr Rech Terre &amp; Climat Georges Lemaitre, B-1348 Louvain La Neuve, Belgium; [Divine, Dmitry; Isaksson, Elisabeth] Norwegian Polar Res Inst, Fram Ctr, N-9296 Tromso, Norway; [Divine, Dmitry] Univ Tromso, Fac Sci, Dept Math &amp; Stat, N-9037 Tromso, Norway; [Steig, Eric J.] Univ Washington, Dept Earth &amp; Space Sci, Seattle, WA 98195 USA; [Dixon, Daniel A.] Univ Maine, Climate Change Inst, Orono, ME 04469 USA; [Thomas, Elizabeth R.] British Antarctic Survey, Cambridge CB3 0ET, England; [Bertler, Nancy A. N.] Victoria Univ Wellington, Antarctic Res Ctr, Wellington 6012, New Zealand; [Bertler, Nancy A. N.] GNS Sci, Natl Ice Core Res Facil, Gracefield 5040, New Zealand; [Ekaykin, Alexey] Arctic &amp; Antarctic Res Inst, St Petersburg, Russia; [Ekaykin, Alexey] St Petersburg State Univ, Inst Earth Sci, St Petersburg, Russia; [Werner, Martin] Helmholtz Ctr Polar &amp; Marine Res, Alfred Wegener Inst, D-27570 Bremerhaven, Germany; [Frezzotti, Massimo] ENEA Casaccia, Rome, Italy</t>
  </si>
  <si>
    <t>Universita Ca Foscari Venezia; Consiglio Nazionale delle Ricerche (CNR); Istituto per la Dinamica dei Processi Ambientali (IDPA-CNR); Australian Antarctic Division; University of Tasmania; Antarctic Climate &amp; Ecosystems Cooperative Research Centre (ACE CRC); Australian National University; Australian National University; ARC Centre of Excellence for Climate System Science; CEA; Centre National de la Recherche Scientifique (CNRS); Universite Paris Saclay; Communaute Universite Grenoble Alpes; Universite Grenoble Alpes (UGA); University of Bern; Universite Catholique Louvain; Norwegian Polar Institute; UiT The Arctic University of Tromso; University of Washington; University of Washington Seattle; University of Maine System; University of Maine Orono; UK Research &amp; Innovation (UKRI); Natural Environment Research Council (NERC); NERC British Antarctic Survey; Victoria University Wellington; Arctic &amp; Antarctic Research Institute; Saint Petersburg State University; Helmholtz Association; Alfred Wegener Institute, Helmholtz Centre for Polar &amp; Marine Research; Italian National Agency New Technical Energy &amp; Sustainable Economics Development</t>
  </si>
  <si>
    <t>Stenni, B (corresponding author), Ca Foscari Univ Venice, Dept Environm Sci Informat &amp; Stat, Venice, Italy.;Stenni, B (corresponding author), CNR, Inst Dynam Environm Proc, Venice, Italy.</t>
  </si>
  <si>
    <t>barbara.stenni@unive.it</t>
  </si>
  <si>
    <t>Masson-Delmotte, Valerie L/G-1995-2011; Abram, Nerilie/AAT-5171-2021; Ekaykin, Alexey A./K-9894-2015; Neukom, Raphael/J-7842-2017; Thomas, Elizabeth Ruth/ADF-3660-2022; IPO, PAGES/JXY-7546-2024; Steig, Eric J/G-9088-2015; Werner, Martin/C-8067-2014; Bertler, Nancy A N/F-3967-2011; FREZZOTTI, Massimo/AAK-7275-2020; van Ommen, Tas/B-5020-2012</t>
  </si>
  <si>
    <t>Masson-Delmotte, Valerie L/0000-0001-8296-381X; Thomas, Elizabeth Ruth/0000-0002-3010-6493; Werner, Martin/0000-0002-6473-0243; FREZZOTTI, Massimo/0000-0002-2461-2883; Neukom, Raphael/0000-0001-9392-0997; van Ommen, Tas/0000-0002-2463-1718; Stenni, Barbara/0000-0003-4950-3664; Goursaud Oger, Sentia/0000-0002-9990-4258; Bertler, Nancy/0000-0001-6028-4891; Orsi, Anais/0000-0001-5511-3940; Abram, Nerilie/0000-0003-1246-2344</t>
  </si>
  <si>
    <t>Australian Research Council [DP140102059]; PNRA (Italian Antarctic Research Programme) IPICS-2kyr-It project; Swiss NSF (Ambizione) [PZ00P2_154802]; Swiss National Science Foundation; US National Science Foundation; Natural Environment Research Council [bas0100034] Funding Source: researchfish; NERC [bas0100034] Funding Source: UKRI; Division Of Earth Sciences; Directorate For Geosciences [1440015] Funding Source: National Science Foundation</t>
  </si>
  <si>
    <t>Australian Research Council(Australian Research Council); PNRA (Italian Antarctic Research Programme) IPICS-2kyr-It project; Swiss NSF (Ambizione); Swiss National Science Foundation(Swiss National Science Foundation (SNSF)); US National Science Foundation(National Science Foundation (NSF)); Natural Environment Research Council(UK Research &amp; Innovation (UKRI)Natural Environment Research Council (NERC)); NERC(UK Research &amp; Innovation (UKRI)Natural Environment Research Council (NERC)); Division Of Earth Sciences; Directorate For Geosciences(National Science Foundation (NSF)NSF - Directorate for Geosciences (GEO))</t>
  </si>
  <si>
    <t>This is a contribution to the PAGES 2k Network (through the Antarctica2k working group). Past Global Changes (PAGES) is supported by the US and Swiss National Science Foundations. Nerilie J. Abram acknowledges funding from the Australian Research Council through Discovery Project DP140102059. Barbara Stenni acknowledges funding from the PNRA (Italian Antarctic Research Programme) IPICS-2kyr-It project. Raphael Neukom is funded by the Swiss NSF (Ambizione grant PZ00P2_154802).</t>
  </si>
  <si>
    <t>10.5194/cp-13-1609-2017</t>
  </si>
  <si>
    <t>FN1OL</t>
  </si>
  <si>
    <t>gold, Green Accepted, Green Published, Green Submitted</t>
  </si>
  <si>
    <t>WOS:000415760500002</t>
  </si>
  <si>
    <t>Oaquim, ABJ; Moser, GAO; Evangelista, H; Licínio, MV; Van De Vijver, B</t>
  </si>
  <si>
    <t>Jones Oaquim, Anna Beatriz; Moser, Gleyci A. O.; Evangelista, Heitor; Vinicius Licinio, Marcus; Van De Vijver, Bart</t>
  </si>
  <si>
    <t>Aulacoseira glubokoyensis sp nov (Bacillariophyceae), a new centric diatom from the Maritime Antarctic region</t>
  </si>
  <si>
    <t>Maritime Antarctic Region; morphology; sediment core; ultrastructure</t>
  </si>
  <si>
    <t>FRESH-WATER DIATOM; KING-GEORGE ISLAND; COMMUNITIES; COSCINODISCOPHYCEAE; TAXONOMY; TAXA; MORPHOLOGY; THWAITES; BODIES; BRAZIL</t>
  </si>
  <si>
    <t>A new centric diatom, Aulacoseira glubokoyensis sp. nov., is described from the Maritime Antarctic region. The morphology of the species is illustrated using detailed light and scanning electron microscopy observations. Its main discriminating features include the presence of typical irregularly shaped dendritic spines, at least two rimoportulae, marginal striae on the discus and a very large Ringleiste. The new species is compared to similar species worldwide. Aulacoseira glubokoyensis has only been observed in a sediment core taken from Profound Lake on the Fildes Peninsula (King George Island, South Shetland Islands).</t>
  </si>
  <si>
    <t>[Jones Oaquim, Anna Beatriz] Univ Fed Fluminense, Postgrad Program Environm Geochem, Chem Inst, Campus Valonguinho, Niteroi, RJ, Brazil; [Moser, Gleyci A. O.] Univ Estado Rio De Janeiro, DOB, Fac Oceanog, R Sao Francisco Xavier 524, Rio De Janeiro, RJ, Brazil; [Evangelista, Heitor] Univ Estado Rio De Janeiro, Dept Inst Biol Roberto Alcantara Gomes IBRAG, R Sao Francisco Xavier 524, Rio De Janeiro, RJ, Brazil; [Vinicius Licinio, Marcus] UFES, Dept Ciencias Fisiol, CCS, Ave Marechal Rocha Campos 1468, Vitoria, ES, Spain; [Van De Vijver, Bart] Botan Garden Meise, Res Dept, B-1860 Domein Van Bouchout, Meise, Belgium; [Van De Vijver, Bart] Univ Antwerp, Dept Biol, ECOBE, Univ Pl 1, B-2610 Antwerp, Belgium</t>
  </si>
  <si>
    <t>Universidade Federal Fluminense; Universidade do Estado do Rio de Janeiro; Universidade do Estado do Rio de Janeiro; University of Antwerp</t>
  </si>
  <si>
    <t>Van De Vijver, B (corresponding author), Botan Garden Meise, Res Dept, B-1860 Domein Van Bouchout, Meise, Belgium.;Van De Vijver, B (corresponding author), Univ Antwerp, Dept Biol, ECOBE, Univ Pl 1, B-2610 Antwerp, Belgium.</t>
  </si>
  <si>
    <t>Moser, Gleyci A./ABA-4395-2021; Evangelista, Heitor/C-7561-2013</t>
  </si>
  <si>
    <t>Moser, Gleyci A./0000-0003-3773-2400;</t>
  </si>
  <si>
    <t>IAEA (International Atomic Energy Agency) [INT/5/153]; FAPERJ (Fundacao de Amparo a Pesquisa do Estado do Rio de Janeiro) [22132]</t>
  </si>
  <si>
    <t>IAEA (International Atomic Energy Agency)(International Atomic Energy Agency); FAPERJ (Fundacao de Amparo a Pesquisa do Estado do Rio de Janeiro)(Fundacao Carlos Chagas Filho de Amparo a Pesquisa do Estado do Rio De Janeiro (FAPERJ))</t>
  </si>
  <si>
    <t>Dr. Vaclav Houk is acknowledged for his stimulating discussions regarding the identification of this taxon. Mrs. Myriam de Haan is thanked for her help with the preparation of the sample used in this study. INCT da Criosfera (Intituto Nacional de Ciencia e Tecnologia-CNPq-Conselho Nacional de Pesquisa-Edital MCTI/CNPQ no 015/2008-INCT- Process: 573720/2008-8), PROANTAR (Projeto Antartico Brasileiro) and SECIRM (Secretaria da Comissao Interministerial para os Recursos do Mar) is acknowledged for the logistic support and IAEA (International Atomic Energy Agency) for the financial support for this project (INT/5/153-Assessing the Impact of Climate Change and its Effects on Soil and Water Resources in Polar and Mountainous Regions). The Artigas Scientific Antarctic Base staff is acknowledged for the logistic support with the coring of the material. The author A.J.O. thanks FAPERJ (Fundacao de Amparo a Pesquisa do Estado do Rio de Janeiro) for the Grant (Process 22132). The reviewers and the editor are thanked for their valuable comments that greatly improved this manuscript.</t>
  </si>
  <si>
    <t>10.11646/phytotaxa.328.2.5</t>
  </si>
  <si>
    <t>FM8NT</t>
  </si>
  <si>
    <t>WOS:000415346600005</t>
  </si>
  <si>
    <t>Mallet, MD; Desservettaz, MJ; Miljevic, B; Milic, A; Ristovski, ZD; Alroe, J; Cravigan, LT; Jayaratne, ER; Paton-Walsh, C; Griffith, DWT; Wilson, SR; Kettlewell, G; van der Schoot, MV; Selleck, P; Reisen, F; Lawson, SJ; Ward, J; Harnwell, J; Cheng, M; Gillett, RW; Molloy, SB; Howard, D; Nelson, PF; Morrison, AL; Edwards, GC; Williams, AG; Chambers, SD; Werczynski, S; Williams, LR; Winton, VHL; Atkinson, B; Wang, XY; Keywood, MD</t>
  </si>
  <si>
    <t>Mallet, Marc D.; Desservettaz, Maximilien J.; Miljevic, Branka; Milic, Andelija; Ristovski, Zoran D.; Alroe, Joel; Cravigan, Luke T.; Jayaratne, E. Rohan; Paton-Walsh, Clare; Griffith, David W. T.; Wilson, Stephen R.; Kettlewell, Graham; van der Schoot, Marcel V.; Selleck, Paul; Reisen, Fabienne; Lawson, Sarah J.; Ward, Jason; Harnwell, James; Cheng, Min; Gillett, Rob W.; Molloy, Suzie B.; Howard, Dean; Nelson, Peter F.; Morrison, Anthony L.; Edwards, Grant C.; Williams, Alastair G.; Chambers, Scott D.; Werczynski, Sylvester; Williams, Leah R.; Winton, V. Holly L.; Atkinson, Brad; Wang, Xianyu; Keywood, Melita D.</t>
  </si>
  <si>
    <t>Biomass burning emissions in north Australia during the early dry season: an overview of the 2014 SAFIRED campaign</t>
  </si>
  <si>
    <t>VOLATILE ORGANIC-COMPOUNDS; GLOBAL FIRE EMISSIONS; TRACE GASES; ATMOSPHERIC MERCURY; IRON SOLUBILITY; MARINE AIR; CAPE-GRIM; AEROSOL; SAVANNA; PARTICLES</t>
  </si>
  <si>
    <t>The SAFIRED (Savannah Fires in the Early Dry Season) campaign took place from 29 May until 30 June 2014 at the Australian Tropical Atmospheric Research Station (ATARS) in the Northern Territory, Australia. The purpose of this campaign was to investigate emissions from fires in the early dry season in northern Australia. Measurements were made of biomass burning aerosols, volatile organic compounds, polycyclic aromatic carbons, greenhouse gases, radon, speciated atmospheric mercury and trace metals. Aspects of the biomass burning aerosol emissions investigated included; emission factors of various species, physical and chemical aerosol properties, aerosol aging, micronutrient supply to the ocean, nucleation, and aerosol water uptake. Over the course of the month-long campaign, biomass burning signals were prevalent and emissions from several large single burning events were observed at ATARS. Biomass burning emissions dominated the gas and aerosol concentrations in this region. Dry season fires are extremely frequent and widespread across the northern region of Australia, which suggests that the measured aerosol and gaseous emissions at ATARS are likely representative of signals across the entire region of north Australia. Air mass forward trajectories show that these biomass burning emissions are carried north-west over the Timor Sea and could influence the atmosphere over Indonesia and the tropical atmosphere over the Indian Ocean. Here we present characteristics of the biomass burning observed at the sampling site and provide an overview of the more specific outcomes of the SAFIRED campaign.</t>
  </si>
  <si>
    <t>[Mallet, Marc D.; Miljevic, Branka; Milic, Andelija; Ristovski, Zoran D.; Alroe, Joel; Cravigan, Luke T.; Jayaratne, E. Rohan] Queensland Univ Technol, Sch Chem Phys &amp; Mech Engn, Brisbane, Qld 4000, Australia; [Desservettaz, Maximilien J.; Paton-Walsh, Clare; Griffith, David W. T.; Wilson, Stephen R.; Kettlewell, Graham] Univ Wollongong, Ctr Atmospher Chem, Wollongong, NSW 2522, Australia; [van der Schoot, Marcel V.; Selleck, Paul; Reisen, Fabienne; Lawson, Sarah J.; Ward, Jason; Harnwell, James; Gillett, Rob W.; Molloy, Suzie B.; Keywood, Melita D.] CSIRO, Oceans &amp; Atmosphere, Aspendale, Vic 3195, Australia; [Howard, Dean; Nelson, Peter F.; Morrison, Anthony L.; Edwards, Grant C.] Macquarie Univ, Dept Environm Sci, Sydney, NSW 2109, Australia; [Williams, Alastair G.; Chambers, Scott D.; Werczynski, Sylvester] Australian Nucl Sci &amp; Technol Org, Sydney, NSW 2232, Australia; [Williams, Leah R.] Aerodyne Res Inc, Billerica, MA 01821 USA; [Winton, V. Holly L.] Curtin Univ, Phys &amp; Astron, Perth, WA 6102, Australia; [Atkinson, Brad] Bur Meteorol, Darwin, NT 0810, Australia; [Wang, Xianyu] Univ Queensland, Queensland Alliance Environm Hlth Sci, Brisbane, Qld 4108, Australia; [Winton, V. Holly L.] British Antarctic Survey, Cambridge CB3 0ET, England</t>
  </si>
  <si>
    <t>Queensland University of Technology (QUT); University of Wollongong; Commonwealth Scientific &amp; Industrial Research Organisation (CSIRO); Macquarie University; Australian Nuclear Science &amp; Technology Organisation; Aerodyne Research; Curtin University; Bureau of Meteorology - Australia; University of Queensland; UK Research &amp; Innovation (UKRI); Natural Environment Research Council (NERC); NERC British Antarctic Survey</t>
  </si>
  <si>
    <t>Miljevic, B (corresponding author), Queensland Univ Technol, Sch Chem Phys &amp; Mech Engn, Brisbane, Qld 4000, Australia.;Keywood, MD (corresponding author), CSIRO, Oceans &amp; Atmosphere, Aspendale, Vic 3195, Australia.</t>
  </si>
  <si>
    <t>b.miljevic@qut.edu.au; melita.keywood@csiro.au</t>
  </si>
  <si>
    <t>Williams, Alastair/N-3193-2019; Jayaratne, Emil R/B-4143-2011; cheng, min/AAM-6401-2021; Ristovski, Zoran/AAF-5217-2019; Wilson, Stephen R/B-8541-2008; Lawson, Sarah J/F-4372-2014; Winton, Holly/J-5486-2019; Desservettaz, Maximilien/B-2295-2017; Wilson, Stephen R/O-6151-2018; Paton-Walsh, Clare/B-2774-2009; Ristovski, Zoran D/D-3308-2009; Doussin, Jean-Francois/C-5246-2012; , Scott/AAI-6917-2020; Reisen, Fabienne/A-7883-2011; keywood, melita/C-5139-2011</t>
  </si>
  <si>
    <t>Williams, Alastair/0000-0002-0568-8487; cheng, min/0000-0003-1086-4008; Ristovski, Zoran/0000-0001-6066-6638; Wilson, Stephen R/0000-0003-4546-2527; Winton, Holly/0000-0001-7112-6768; Desservettaz, Maximilien/0000-0002-9550-6674; Wilson, Stephen R/0000-0003-4546-2527; Paton-Walsh, Clare/0000-0003-1156-4138; Ristovski, Zoran D/0000-0001-6066-6638; Morrison, Anthony/0000-0001-5647-0528; Reisen, Fabienne/0000-0002-8500-6545; Griffith, David/0000-0002-7986-1924; Miljevic, Branka/0000-0003-4408-2047; Wang, Xianyu/0000-0002-5917-3366; keywood, melita/0000-0001-9953-6806; Nelson, Peter/0000-0001-6082-937X; Cravigan, Luke/0000-0003-2636-928X; Alroe, Joel/0000-0003-2618-7320; Chambers, Scott/0000-0002-2521-959X; Mallet, Marc/0000-0003-2749-8833</t>
  </si>
  <si>
    <t>Australian Research Council Discovery [DP120100126]; Curtin University [RES-SE-DAP_AW-47679-1]; University of Tasmania [B0019024]; Australian Research Council [FT130100037]; Australian Research Council [FT130100037] Funding Source: Australian Research Council</t>
  </si>
  <si>
    <t>Australian Research Council Discovery(Australian Research Council); Curtin University; University of Tasmania; Australian Research Council(Australian Research Council); Australian Research Council</t>
  </si>
  <si>
    <t>The majority of the campaign was internally funded. The input of Queensland University of Technology was supported by the Australian Research Council Discovery (grant DP120100126). The work on aerosol iron solubility was supported by Curtin University (RES-SE-DAP_AW-47679-1), the University of Tasmania (B0019024) and the Australian Research Council (grant FT130100037).</t>
  </si>
  <si>
    <t>10.5194/acp-17-13681-2017</t>
  </si>
  <si>
    <t>GM2TA</t>
  </si>
  <si>
    <t>WOS:000437943000002</t>
  </si>
  <si>
    <t>Wannamaker, P; Hill, G; Stodt, J; Maris, V; Ogawa, Y; Selway, K; Boren, G; Bertrand, E; Uhlmann, D; Ayling, B; Green, AM; Feucht, D</t>
  </si>
  <si>
    <t>Wannamaker, Phil; Hill, Graham; Stodt, John; Maris, Virginie; Ogawa, Yasuo; Selway, Kate; Boren, Goran; Bertrand, Edward; Uhlmann, Daniel; Ayling, Bridget; Green, A. Marie; Feucht, Daniel</t>
  </si>
  <si>
    <t>Uplift of the central transantarctic mountains</t>
  </si>
  <si>
    <t>ELECTRICAL-CONDUCTIVITY; FLEXURAL UPLIFT; ARC MAGMATISM; UPPER-MANTLE; RIFT FLANKS; SOUTH-POLE; EAST; BENEATH; ANTARCTICA; EXTENSION</t>
  </si>
  <si>
    <t>The Transantarctic Mountains (TAM) are the world's longest rift shoulder but the source of their high elevation is enigmatic. To discriminate the importance of mechanical vs. thermal sources of support, a 550 km-long transect of magnetotelluric geophysical soundings spanning the central TAM was acquired. These data reveal a lithosphere of high electrical resistivity to at least 150 km depth, implying a cold stable state well into the upper mantle. Here we find that the central TAM most likely are elevated by a non-thermal, flexural cantilever mechanism which is perhaps the most clearly expressed example anywhere. West Antarctica in this region exhibits a low resistivity, moderately hydrated asthenosphere, and concentrated extension (rift necking) near the central TAM range front but with negligible thermal encroachment into the TAM. Broader scale heat flow of east-central West Antarctica appears moderate, on the order of 60-70mWm(-2), lower than that of the U.S. Great Basin.</t>
  </si>
  <si>
    <t>[Wannamaker, Phil; Maris, Virginie] Univ Utah, Energy &amp; Geosci Inst, Salt Lake City, UT 84108 USA; [Hill, Graham] Univ Canterbury, Gateway Antarctica, Christchurch 8041, New Zealand; [Hill, Graham] Antarctica Sci Ltd, Wellington 6011, New Zealand; [Hill, Graham] GNS Sci, Nat Hazards Div, Lower Hutt 5011, New Zealand; [Stodt, John] Numer Resources LLC, Salt Lake City, UT 84108 USA; [Ogawa, Yasuo] Tokyo Inst Technol, Volcan Fluid Res Ctr, Tokyo 1528550, Japan; [Selway, Kate] Macquarie Univ, Dept Earth &amp; Planetary Sci, Sydney, NSW 2109, Australia; [Boren, Goran] Univ Adelaide, Dept Geol &amp; Geophys, Adelaide, SA 5005, Australia; [Bertrand, Edward] GNS Sci, Nat Hazards Div, Lower Hutt 5011, New Zealand; [Uhlmann, Daniel] First Light Mt Guides, F-74400 Chamonix Mt Blanc, France; [Ayling, Bridget] Univ Nevada, Great Basin Ctr Geothermal Energy, Reno, NV 89557 USA; [Green, A. Marie] Univ Utah, Dept Geol &amp; Geophys, Salt Lake City, UT 84112 USA; [Feucht, Daniel] Univ Colorado, Dept Geol Sci, Boulder, CO 80309 USA</t>
  </si>
  <si>
    <t>Utah System of Higher Education; University of Utah; University of Canterbury; GNS Science - New Zealand; Tokyo Institute of Technology; Macquarie University; University of Adelaide; GNS Science - New Zealand; Nevada System of Higher Education (NSHE); University of Nevada Reno; Utah System of Higher Education; University of Utah; University of Colorado System; University of Colorado Boulder</t>
  </si>
  <si>
    <t>Wannamaker, P (corresponding author), Univ Utah, Energy &amp; Geosci Inst, Salt Lake City, UT 84108 USA.</t>
  </si>
  <si>
    <t>pewanna@egi.utah.edu</t>
  </si>
  <si>
    <t>Bertrand, Edward A/H-7016-2012; Ogawa, Yasuo/B-4094-2009</t>
  </si>
  <si>
    <t>Ogawa, Yasuo/0000-0002-6663-401X; Wannamaker, Phil/0000-0001-5744-6474; Bertrand, Edward/0000-0002-7379-2569; Hill, Graham/0000-0003-0058-3173; Feucht, Daniel/0000-0002-3672-4719; Ayling, Bridget/0000-0002-0102-5280</t>
  </si>
  <si>
    <t>U.S. National Science Foundation [OPP-0838914, OPP-1243559]; GNS Science AMT program; Royal Society of New Zealand Marsden Fund award [ASL 1301]; Grants-in-Aid for Scientific Research [16H06475, 17H05416] Funding Source: KAKEN</t>
  </si>
  <si>
    <t>U.S. National Science Foundation(National Science Foundation (NSF)); GNS Science AMT program; Royal Society of New Zealand Marsden Fund award(Royal Society of New Zealand); Grants-in-Aid for Scientific Research(Ministry of Education, Culture, Sports, Science and Technology, Japan (MEXT)Japan Society for the Promotion of ScienceGrants-in-Aid for Scientific Research (KAKENHI))</t>
  </si>
  <si>
    <t>The Antarctic fieldwork and data analysis of this project were supported by U.S. National Science Foundation Grants OPP-0838914 and OPP-1243559 to P.W. G.H. was supported under the GNS Science AMT program and under Royal Society of New Zealand Marsden Fund award ASL 1301. We are grateful to the U.S. Antarctic program for logistical support within the multi-investigator CTAM field camp of season one and the dedicated RISC fly camp of season two. Field safety/mountaineering support was provided by J. Pierce, S. Norman, M. Smith and J. Hanna, and by D.U. Any use of trade, product, or firm names is for descriptive purposes only.</t>
  </si>
  <si>
    <t>10.1038/s41467-017-01577-2</t>
  </si>
  <si>
    <t>FN0EB</t>
  </si>
  <si>
    <t>WOS:000415649500001</t>
  </si>
  <si>
    <t>Rourke, S; Mulligan, FJ; French, WJR; Murphy, DJ</t>
  </si>
  <si>
    <t>Rourke, S.; Mulligan, F. J.; French, W. J. R.; Murphy, D. J.</t>
  </si>
  <si>
    <t>A Climatological Study of Short-Period Gravity Waves and Ripples at Davis Station, Antarctica (68°S, 78°E), During the (Austral Winter February-October) Period 1999-2013</t>
  </si>
  <si>
    <t>gravity waves; mesopause; Antarctica</t>
  </si>
  <si>
    <t>RADIOSONDE OBSERVATIONS; MIDDLE ATMOSPHERE; OH AIRGLOW; SEASONAL-VARIATIONS; CLIMATE MODELS; MF RADAR; LIDAR; NIGHTGLOW; IMAGERS; 69-DEGREES-S</t>
  </si>
  <si>
    <t>A scanning radiometer deployed at Davis Station, Antarctica (68 degrees S, 78 degrees E), has been recording infrared (1.10-1.65 mu m) images of a small region (24 km x 24 km) of the zenith night sky once per minute each austral winter night since February 1999. These images have been processed to extract information on the passage of gravity waves (GWs) (horizontal wavelength, lambda(h) &gt; 15 km) and ripples (lambda(h) &lt;= 15 km) over the observing station. Phase speeds, periods, horizontal wavelengths, and predominant propagation directions have been deduced. Observed speeds were found to be highly correlated with horizontal wavelengths as has been reported in previous studies. Reverse ray tracing of the detected GWs only enabled us to identify four distinct groups. On average, only 15% of waves detected can be traced back to the troposphere, and a large proportion (similar to 45%) were not successfully reverse traced substantially below the airglow layer. Two smaller groups were found to reach a termination condition for reverse ray tracing at altitudes near 50 km and 75 km. Of those that reached the termination altitude in the troposphere (10 km), most of the end points fell within a radius of 300 km of the station, with a very pronounced concentration of wave initiation to the northwest of the observing point. The predominant direction of propagation was southward, and they were observed throughout the year. Recent reports suggest the interaction of planetary waves with the background wind field as a potential source for these waves.</t>
  </si>
  <si>
    <t>[Rourke, S.; Mulligan, F. J.] Natl Univ Ireland, Dept Expt Phys, Maynooth, Kildare, Ireland; [French, W. J. R.; Murphy, D. J.] Australian Antarctic Div, Kingston, Tas, Australia</t>
  </si>
  <si>
    <t>Maynooth University; Australian Antarctic Division</t>
  </si>
  <si>
    <t>Rourke, S (corresponding author), Natl Univ Ireland, Dept Expt Phys, Maynooth, Kildare, Ireland.</t>
  </si>
  <si>
    <t>sharon.rourke@mu.ie</t>
  </si>
  <si>
    <t>French, John/0000-0001-9305-6190</t>
  </si>
  <si>
    <t>John and Pat Hume Scholarship; Australian Antarctic Science program [674,4025, 4157]</t>
  </si>
  <si>
    <t>John and Pat Hume Scholarship; Australian Antarctic Science program</t>
  </si>
  <si>
    <t>The UWOSCR instrument was conceived and developed by R. P. Lowe formerly of the University of Western Ontario. R. P. Lowe died during the preparation of this manuscript, and his passing is a great loss to the authors as well as to the many collaborators over the course of a lifetime in science. The authors would like to thank the staff at Davis Station, Antarctica, for operating and maintaining the instrument over many years. Valuable exchanges with Mike Taylor and Dominique Pautet of Utah State University as well as R. G. Stockwell of GATS, Inc., Boulder, Colorado, on analysis of the data are gratefully acknowledged. We also thank David Turnbull, Ron De Serrano, and Kelly Ward of the University of Western Ontario, Canada, for the use of their analysis software. We are grateful to three anonymous reviewers for their valuable comments. S. R. acknowledges Maynooth University for personal support through a John and Pat Hume Scholarship. The Davis UWOSCR data used in this manuscript are archived in the Australian Antarctic Data Center at data.aad.gov.au. This work is supported by the Australian Antarctic Science program under projects 674,4025 and 4157.</t>
  </si>
  <si>
    <t>NOV 16</t>
  </si>
  <si>
    <t>10.1002/2017JD026998</t>
  </si>
  <si>
    <t>FO9GH</t>
  </si>
  <si>
    <t>WOS:000417195500020</t>
  </si>
  <si>
    <t>Bramberger, M; Dörnbrack, A; Bossert, K; Ehard, B; Fritts, DC; Kaifler, B; Mallaun, C; Orr, A; Pautet, PD; Rapp, M; Taylor, MJ; Vosper, S; Williams, BP; Witschas, B</t>
  </si>
  <si>
    <t>Bramberger, Martina; Doernbrack, Andreas; Bossert, Katrina; Ehard, Benedikt; Fritts, David C.; Kaifler, Bernd; Mallaun, Christian; Orr, Andrew; Pautet, P. -Dominique; Rapp, Markus; Taylor, Michael J.; Vosper, Simon; Williams, Bifford P.; Witschas, Benjamin</t>
  </si>
  <si>
    <t>Does Strong Tropospheric Forcing Cause Large-Amplitude Mesospheric Gravity Waves? A DEEPWAVE Case Study</t>
  </si>
  <si>
    <t>mountain wave propagation; observation of gravity waves from troposphere to mesosphere; influence of the lower stratospheric valve layer on deep propagation; DEEPWAVE</t>
  </si>
  <si>
    <t>MOUNTAIN WAVES; MIDDLE-ATMOSPHERE; MOMENTUM FLUXES; NEW-ZEALAND; WIND; ENERGY; STRATOSPHERE; SCANDINAVIA; DIAGNOSTICS; CALIBRATION</t>
  </si>
  <si>
    <t>On 4 July 2014, during the Deep Propagating Gravity Wave Experiment (DEEPWAVE), strong low-level horizontal winds of up to 35 m s(-1) over the Southern Alps, New Zealand, caused the excitation of gravity waves having the largest vertical energy fluxes of the whole campaign (38 W m(-2)). At the same time, large-amplitude mesospheric gravity waves were detected by the Temperature Lidar for Middle Atmospheric Research (TELMA) located at Lauder (45.0 degrees S, 169.7 degrees E), New Zealand. The coincidence of these two events leads to the question of whether the mesospheric gravity waves were generated by the strong tropospheric forcing. To answer this, an extensive data set is analyzed, comprising TELMA, in situ aircraft measurements, radiosondes, wind lidar measurements aboard the DLR Falcon as well as Rayleigh lidar and advanced mesospheric temperature mapper measurements aboard the National Science Foundation/National Center for Atmospheric Research Gulfstream V. These measurements are further complemented by limited area simulations using a numerical weather prediction model. This unique data set confirms that strong tropospheric forcing can cause large-amplitude gravity waves in the mesosphere, and that three essential ingredients are required to achieve this: first, nearly linear propagation across the tropopause; second, leakage through the stratospheric wind minimum; and third, amplification in the polar night jet. Stationary gravity waves were detected in all atmospheric layers up to the mesosphere with horizontal wavelengths between 20 and 100 km. The complete coverage of our data set from troposphere to mesosphere proved to be valuable to identify the processes involved in deep gravity wave propagation.</t>
  </si>
  <si>
    <t>[Bramberger, Martina; Doernbrack, Andreas; Ehard, Benedikt; Kaifler, Bernd; Rapp, Markus; Witschas, Benjamin] Deutsch Zentrum Luft &amp; Raumfahrt, Inst Phys Atmosphare, Oberpfaffenhofen, Germany; [Bossert, Katrina; Fritts, David C.; Williams, Bifford P.] GATS Inc, Boulder, CO USA; [Mallaun, Christian] Deutsch Zentrum Luft &amp; Raumfahrt, Flugexpt, Oberpfaffenhofen, Germany; [Orr, Andrew] British Antarctic Survey, Cambridge, England; [Pautet, P. -Dominique; Taylor, Michael J.] Utah State Univ, Logan, UT 84322 USA; [Rapp, Markus] Ludwig Maximilians Univ Munchen, Meteorol Inst Munich, Munich, Germany; [Vosper, Simon] Met Off, Exeter, Devon, England</t>
  </si>
  <si>
    <t>Helmholtz Association; German Aerospace Centre (DLR); Helmholtz Association; German Aerospace Centre (DLR); UK Research &amp; Innovation (UKRI); Natural Environment Research Council (NERC); NERC British Antarctic Survey; Utah System of Higher Education; Utah State University; University of Munich; Met Office - UK</t>
  </si>
  <si>
    <t>Bramberger, M (corresponding author), Deutsch Zentrum Luft &amp; Raumfahrt, Inst Phys Atmosphare, Oberpfaffenhofen, Germany.</t>
  </si>
  <si>
    <t>martina.bramberger@dlr.de</t>
  </si>
  <si>
    <t>Bramberger, Martina/ABD-2999-2020; Rapp, Markus/K-6081-2015; Kaifler, Bernd/AAK-7237-2021; Pautet, Pierre-Dominique/HRC-1681-2023</t>
  </si>
  <si>
    <t>Bramberger, Martina/0000-0002-4892-9615; Rapp, Markus/0000-0003-1508-5900; Kaifler, Bernd/0000-0002-5891-242X; Pautet, Pierre-Dominique/0000-0001-9452-7337; Fritts, Dave/0000-0002-6402-105X; Bossert, Katrina/0000-0002-7076-0449</t>
  </si>
  <si>
    <t>German research initiative [ROMIC/01LG1206A]; German Ministry of Research and Education; Deutsche Forschungsgemeinschaft (DFG) via Project MS-GWaves [GW-TP/DO 1020/9-1, PACOG/RA 1400/6-1]; NSF [AGS-1061892, AGS-1261619, AGS-1338666, AGS-1338646]; Natural Environment Research Council [bas0100032] Funding Source: researchfish; Div Atmospheric &amp; Geospace Sciences; Directorate For Geosciences [1524598] Funding Source: National Science Foundation; NERC [bas0100032] Funding Source: UKRI</t>
  </si>
  <si>
    <t>German research initiative; German Ministry of Research and Education(Federal Ministry of Education &amp; Research (BMBF)); Deutsche Forschungsgemeinschaft (DFG) via Project MS-GWaves(German Research Foundation (DFG)); NSF(National Science Foundation (NSF)); Natural Environment Research Council(UK Research &amp; Innovation (UKRI)Natural Environment Research Council (NERC)); Div Atmospheric &amp; Geospace Sciences; Directorate For Geosciences(National Science Foundation (NSF)NSF - Directorate for Geosciences (GEO)); NERC(UK Research &amp; Innovation (UKRI)Natural Environment Research Council (NERC))</t>
  </si>
  <si>
    <t>Part of this research was funded by the German research initiative Role of the Middle Atmosphere in Climate (ROMIC/01LG1206A), by the German Ministry of Research and Education in the project  Investigation of the life cycle of gravity waves (GW-LCYCLE), and by the Deutsche Forschungsgemeinschaft (DFG) via the Project MS-GWaves (GW-TP/DO 1020/9-1 and PACOG/RA 1400/6-1). Access to the ECMWF data was possible through the special project  HALO Mission Support System. The UM simulations were conducted with the MONSooN system, a collaborative facility supplied under the Joint Weather and Climate Research Programme, a strategic partnership between the Met Office and the Natural Environment Research Council. M. Bramberger wants to thank Kaoru Sato and Ron Smith for insightful discussions and Sonja Gisinger for help with radiosonde data analysis. The developments of the GV instruments were funded by the NSF grants AGS-1061892 (USU) and AGS-1261619 (GATS). The DEEPWAVE campaign was sponsored by the NSF grants AGS-1338666 (USU) and AGS-1338646 (GATS). DEEPWAVE data are stored and maintained by NCAR and are available at https://www.eol.ucar.edu/field_projects/deepwave. We thank three anonymous reviewers for insightful comments and suggestions that have contributed to improve this paper.</t>
  </si>
  <si>
    <t>10.1002/2017JD027371</t>
  </si>
  <si>
    <t>Bronze, Green Published, Green Submitted, Green Accepted</t>
  </si>
  <si>
    <t>WOS:000417195500011</t>
  </si>
  <si>
    <t>Stone, KA; Solomon, S; Kinnison, DE; Pitts, MC; Poole, LR; Mills, MJ; Schmidt, A; Neely, RR; Ivy, D; Schwartz, MJ; Vernier, JP; Johnson, BJ; Tully, MB; Klekociuk, AR; König-Langlo, G; Hagiya, S</t>
  </si>
  <si>
    <t>Stone, Kane A.; Solomon, Susan; Kinnison, Doug E.; Pitts, Michael C.; Poole, Lamont R.; Mills, Michael J.; Schmidt, Anja; Neely, Ryan R., III; Ivy, Diane; Schwartz, Michael J.; Vernier, Jean-Paul; Johnson, Bryan J.; Tully, Matthew B.; Klekociuk, Andrew R.; Konig-Langlo, Gert; Hagiya, Satoshi</t>
  </si>
  <si>
    <t>Observing the Impact of Calbuco Volcanic Aerosols on South Polar Ozone Depletion in 2015</t>
  </si>
  <si>
    <t>Calbuco; Ozone hole; Stratosphere; Volcano; Sulfur; Observations</t>
  </si>
  <si>
    <t>STRATOSPHERIC AEROSOL; ANTARCTIC OZONE; NORTHERN MIDLATITUDES; SULFURIC-ACID; MT. PINATUBO; ERUPTION; CLIMATE; CLOUDS; MODEL; LAYER</t>
  </si>
  <si>
    <t>The Southern Hemisphere Antarctic stratosphere experienced two noteworthy events in 2015: a significant injection of sulfur from the Calbuco volcanic eruption in Chile in April and a record-large Antarctic ozone hole in October and November. Here we quantify Calbuco's influence on stratospheric ozone depletion in austral spring 2015 using observations and an Earth system model. We analyze ozonesondes, as well as data from the Microwave Limb Sounder. We employ the Community Earth System Model, version 1, with the Whole Atmosphere Community Climate Model (WACCM) in a specified dynamics setup, which includes calculations of volcanic effects. The Cloud-Aerosol Lidar with Orthogonal Polarization data indicate enhanced volcanic liquid sulfate 532 nm backscatter values as far poleward as 68 degrees S during October and November (in broad agreement with WACCM). Comparison of the location of the enhanced aerosols to ozone data supports the view that aerosols played a major role in increasing the ozone hole size, especially at pressure levels between 150 and 100 hPa. Ozonesonde vertical ozone profiles from the sites of Syowa, South Pole, and Neumayer display the lowest individual October or November measurements at 150 hPa since the 1991 Mount Pinatubo eruption period, with Davis showing similarly low values, but no available 1990 data. The analysis suggests that under the cold conditions ideal for ozone depletion, stratospheric volcanic aerosol particles from the moderate-magnitude eruption of Calbuco in 2015 greatly enhanced austral ozone depletion, particularly at 55-68 degrees S, where liquid binary sulfate aerosols have a large influence on ozone concentrations.</t>
  </si>
  <si>
    <t>[Stone, Kane A.; Solomon, Susan; Ivy, Diane] MIT, Dept Earth Atmospher &amp; Planetary Sci, Cambridge, MA 02139 USA; [Kinnison, Doug E.; Mills, Michael J.] Natl Ctr Atmospher Res, Atmospher Chem Observat &amp; Modeling Lab, POB 3000, Boulder, CO 80307 USA; [Pitts, Michael C.] NASA, Langley Res Ctr, Hampton, VA 23665 USA; [Poole, Lamont R.; Vernier, Jean-Paul] Sci Syst &amp; Applicat, Hampton, VA USA; [Schmidt, Anja; Neely, Ryan R., III] Univ Leeds, Sch Earth &amp; Environm, Leeds, W Yorkshire, England; [Schmidt, Anja] Univ Cambridge, Dept Chem, Cambridge, England; [Schmidt, Anja] Univ Cambridge, Dept Geog, Cambridge, England; [Neely, Ryan R., III] Univ Leeds, Natl Ctr Atmospher Sci, Leeds, W Yorkshire, England; [Schwartz, Michael J.] CALTECH, Jet Prop Lab, Pasadena, CA USA; [Johnson, Bryan J.] NOAA, ESRL, Global Monitoring Div, Boulder, CO USA; [Tully, Matthew B.] Bur Meteorol, Melbourne, Vic, Australia; [Klekociuk, Andrew R.] Australian Antarctic Div, Hobart, Tas, Australia; [Klekociuk, Andrew R.] Antarctic Climate &amp; Ecosyst Cooperat Res Ctr, Hobart, Tas, Australia; [Konig-Langlo, Gert] Alfred Wegener Inst Polar &amp; Marine Res, Bremerhaven, Germany; [Hagiya, Satoshi] Japan Meteorol Agcy, Meteorol Instrument Ctr, Tsukuba, Ibaraki, Japan</t>
  </si>
  <si>
    <t>Massachusetts Institute of Technology (MIT); National Center Atmospheric Research (NCAR) - USA; National Aeronautics &amp; Space Administration (NASA); NASA Langley Research Center; University of Leeds; University of Cambridge; University of Cambridge; University of Leeds; UK Research &amp; Innovation (UKRI); Natural Environment Research Council (NERC); NERC National Centre for Atmospheric Science; National Aeronautics &amp; Space Administration (NASA); NASA Jet Propulsion Laboratory (JPL); California Institute of Technology; National Oceanic Atmospheric Admin (NOAA) - USA; Bureau of Meteorology - Australia; Australian Antarctic Division; Antarctic Climate &amp; Ecosystems Cooperative Research Centre (ACE CRC); Helmholtz Association; Alfred Wegener Institute, Helmholtz Centre for Polar &amp; Marine Research; Japan Meteorological Agency</t>
  </si>
  <si>
    <t>Stone, KA (corresponding author), MIT, Dept Earth Atmospher &amp; Planetary Sci, Cambridge, MA 02139 USA.</t>
  </si>
  <si>
    <t>stonek@mit.edu</t>
  </si>
  <si>
    <t>Tully, Matthew/AAG-1730-2020; Schwartz, Michael J/F-5172-2016; Klekociuk, Andrew R/A-4498-2015; Schmidt, Anja/ABD-7113-2021; Mills, Michael/B-5068-2010; Konig-Langlo, Gert/K-5048-2012; Neely III, Ryan R./F-8702-2010</t>
  </si>
  <si>
    <t>Tully, Matthew/0000-0002-6153-5610; Schmidt, Anja/0000-0001-8759-2843; Mills, Michael/0000-0002-8054-1346; Konig-Langlo, Gert/0000-0002-6100-4107; Neely III, Ryan R./0000-0003-4560-4812; Kinnison, Douglas/0000-0002-3418-0834</t>
  </si>
  <si>
    <t>National Science Foundation (NSF) [OCE-1338814]; National Science Foundation; NASA; Australian Antarctic Science project [4293]; NASA CALIPSO/CloudSat Science Team; Directorate For Geosciences; Div Atmospheric &amp; Geospace Sciences [1539972] Funding Source: National Science Foundation</t>
  </si>
  <si>
    <t>National Science Foundation (NSF)(National Science Foundation (NSF)); National Science Foundation(National Science Foundation (NSF)); NASA(National Aeronautics &amp; Space Administration (NASA)); Australian Antarctic Science project; NASA CALIPSO/CloudSat Science Team; Directorate For Geosciences; Div Atmospheric &amp; Geospace Sciences(National Science Foundation (NSF)NSF - Directorate for Geosciences (GEO))</t>
  </si>
  <si>
    <t>Douglas E. Kinnison and Susan Solomon were supported by National Science Foundation (NSF) Frontiers in Earth System Dynamics grant OCE-1338814. WACCM is a component of the Community Earth System Model (CESM), which is supported by the National Science Foundation. Computing resources (ark:/85065/d7wd3xhc) were provided by the Climate Simulation Laboratory at National Center for Atmospheric Research (NCAR)'s Computational and Information Systems Laboratory, sponsored by the National Science Foundation and other agencies. Simulations were carried out on the Yellowstone high-performance computer platform (Computational and Information Systems Laboratory, 2012). The contributions of Michael Pitts, Lamont Poole, and Jean-Paul Vernier were supported by the NASA CALIPSO/CloudSat Science Team. Work at the Jet Propulsion Laboratory, California Institute of Technology, was carried out under contract with NASA. Ozonesonde data for the sites of Syowa and Davis are provided by the World Ozone and Ultraviolet Radiation Data Centre (WOUDC; woudc.org). The Davis ozonesonde data were collected under Australian Antarctic Science project 4293. Neumayer ozonesonde data are provided by the National Oceanic and Atmospheric Administration Network for the Detection of Atmospheric Composition Change (NOAA NDACC; http://www.ndsc.ncep.noaa.gov/sites/stat_reps/neumayer/). South Pole ozonesonde data are provided by the NOAA (esrl.noaa.gov/gmd/dv/spo_oz). OMI and MLS data are provided by the National Aeronautic and Space Administration (NASA; https://disc.sci.gsfc.nasa.gov/Aura/data-holdings). The CALIPSO level 1 and level 2 science data products are archived and distributed by the Atmospheric Science Data Center (ASDC; https://eosweb.larc.nasa.gov/). Model results shown in this paper are available on request to the WACCM liaison, Michael J. Mills (mmills@ucar.edu).</t>
  </si>
  <si>
    <t>10.1002/2017JD026987</t>
  </si>
  <si>
    <t>Green Published, Bronze, Green Accepted, Green Submitted</t>
  </si>
  <si>
    <t>WOS:000417195500017</t>
  </si>
  <si>
    <t>de Laat, ATJ; van Weele, M; van der A, RJ</t>
  </si>
  <si>
    <t>de Laat, A. T. J.; van Weele, M.; van der A, R. J.</t>
  </si>
  <si>
    <t>Onset of Stratospheric Ozone Recovery in the Antarctic Ozone Hole in Assimilated Daily Total Ozone Columns</t>
  </si>
  <si>
    <t>stratospheric ozone; ozone hole; recovery</t>
  </si>
  <si>
    <t>STATIONARY PLANETARY-WAVES; MULTI SENSOR REANALYSIS; REGRESSION-ANALYSIS; ZONAL ASYMMETRY; LATE WINTER; MEAN AGE; TEMPERATURE; PERIOD; TREND; EESC</t>
  </si>
  <si>
    <t>In this paper we evaluate the long-term changes in ozone depletion within the Antarctic ozone hole using a 37 years (1979-2015) of daily ozone mass deficits (OMDs) derived from assimilated total ozone column data. For each year an average daily OMD is calculated over a 60 day preferential time period (day of year 220-280). Excluding years with a reduced polar stratospheric cloud (PSC) volume (the so-called PSC-limited years), the 1979-2015 time series of spatially integrated average daily OMD correlates very well with long-term changes in equivalent effective stratospheric chlorine (EESC; R-2=0.89). We find a corresponding statistically highly significant post-2000 decrease in OMD of -0.77 +/- 0.17 megaton (trend significance of 9.8 sigma), with an associated post-2000 change in OMD of approximately -30%, consistent with the post-2000 change in EESC relative to 1980 EESC levels of approximately -30%. The post-2000 trend significance is robust to the choice of start year. The spatial distribution of the average daily OMD trends reveals a vortex-core region (approximately covering the region [90 degrees W-0 degrees-90 degrees E/75 degrees S-85 degrees S]) largely unaffected by dynamics with a post-2000 trend significance of &gt;8 sigma, and a vortex-edge region in which the trend is locally strongly affected by vortex dynamics though not spatially integrated over the whole vortex-edge region (trend significance &gt;9 sigma). For the trend significance we do not find consistent evidence for long-term changes in wave driving, vortex mixing, preozone hole conditions, or the applied assimilation method, playing a role. Our observation/assimilation-based analysis provides robust evidence of a post-2000 statistically highly significant decrease in the average daily OMD that is consistent with the long-term decrease in ozone-depleting substances since 2000, following international emission regulations.</t>
  </si>
  <si>
    <t>[de Laat, A. T. J.; van Weele, M.; van der A, R. J.] Royal Netherlands Meteorol Inst, De Bilt, Netherlands</t>
  </si>
  <si>
    <t>Royal Netherlands Meteorological Institute</t>
  </si>
  <si>
    <t>de Laat, ATJ (corresponding author), Royal Netherlands Meteorol Inst, De Bilt, Netherlands.</t>
  </si>
  <si>
    <t>laatdej@knmi.nl</t>
  </si>
  <si>
    <t>de Laat, Jos/0000-0003-1078-5334</t>
  </si>
  <si>
    <t>10.1002/2016JD025723</t>
  </si>
  <si>
    <t>WOS:000417195500019</t>
  </si>
  <si>
    <t>Mekhaldi, F; McConnell, JR; Adolphi, F; Arienzo, MM; Chellman, NJ; Maselli, OJ; Moy, AD; Plummer, CT; Sigl, M; Muscheler, R</t>
  </si>
  <si>
    <t>Mekhaldi, F.; McConnell, J. R.; Adolphi, F.; Arienzo, M. M.; Chellman, N. J.; Maselli, O. J.; Moy, A. D.; Plummer, C. T.; Sigl, M.; Muscheler, R.</t>
  </si>
  <si>
    <t>No Coincident Nitrate Enhancement Events in Polar Ice Cores Following the Largest Known Solar Storms</t>
  </si>
  <si>
    <t>TIME RESOLUTION ANALYSIS; PROTON EVENTS; TREE-RINGS; ATMOSPHERIC IONIZATION; RADIONUCLIDE RECORDS; PROBABLE APPEARANCE; COASTAL ANTARCTICA; COSMIC-RADIATION; ODD NITROGEN; HIGH-FLUENCE</t>
  </si>
  <si>
    <t>Knowledge on the occurrence rate of extreme solar storms is strongly limited by the relatively recent advent of satellite monitoring of the Sun. To extend our perspective of solar storms prior to the satellite era and because atmospheric ionization induced by solar energetic particles (SEPs) can lead to the production of odd nitrogen, nitrate spikes in ice cores have been tentatively used to document both the occurrence and intensity of past SEP events. However, the reliability of the use of nitrate in ice records as a proxy for SEP events is strongly debated. This is partly due to equivocal detection of nitrate spikes in single ice cores and possible alternative sources, such as biomass burning plumes. Here we present new continuous high-resolution measurements of nitrate and of the biomass burning species ammonium and black carbon, from several Antarctic and Greenland ice cores. We investigate periods covering the two largest known SEP events of 775 and 994 Common Era as well as the Carrington event and the hard SEP event of February 1956. We report no coincident nitrate spikes associated with any of these benchmark events. We also demonstrate the low reproducibility of the nitrate signal in multiple ice cores and confirm the significant relationship between biomass burning plumes and nitrate spikes in individual ice cores. In the light of these new data, there is no line of evidence that supports the hypothesis that ice cores preserve or document detectable amounts of nitrate produced by SEPs, even for the most extreme events known to date.</t>
  </si>
  <si>
    <t>[Mekhaldi, F.; Adolphi, F.; Muscheler, R.] Lund Univ, Dept Geol Quaternary Sci, Lund, Sweden; [McConnell, J. R.; Arienzo, M. M.; Chellman, N. J.; Maselli, O. J.; Sigl, M.] Desert Res Inst, Div Hydrol Sci, Reno, NV USA; [Adolphi, F.] Univ Bern, Climate &amp; Environm Phys, Bern, Switzerland; [Moy, A. D.] Australian Antarctic Div, Kingston, Tas, Australia; [Moy, A. D.; Plummer, C. T.] Univ Tasmania, Antarctic Climate &amp; Ecosyst Cooperat Res Ctr, Hobart, Tas, Australia; [Plummer, C. T.] Univ Tasmania, Inst Marine &amp; Antarctic Studies, Hobart, Tas, Australia; [Sigl, M.] Paul Scherrer Inst, Lab Environm Chem, Villigen, Switzerland</t>
  </si>
  <si>
    <t>Lund University; Nevada System of Higher Education (NSHE); Desert Research Institute NSHE; University of Bern; Australian Antarctic Division; Antarctic Climate &amp; Ecosystems Cooperative Research Centre (ACE CRC); University of Tasmania; University of Tasmania; Swiss Federal Institutes of Technology Domain; Paul Scherrer Institute</t>
  </si>
  <si>
    <t>Mekhaldi, F (corresponding author), Lund Univ, Dept Geol Quaternary Sci, Lund, Sweden.</t>
  </si>
  <si>
    <t>florian.mekhaldi@geol.lu.se</t>
  </si>
  <si>
    <t>Mekhaldi, Florian/AAA-3301-2022; Mekhaldi, Florian/IZD-7414-2023</t>
  </si>
  <si>
    <t>Adolphi, Florian/0000-0003-0014-8753; Mekhaldi, Florian/0000-0001-8323-2955; Muscheler, Raimund/0000-0003-2772-3631; Sigl, Michael/0000-0002-9028-9703</t>
  </si>
  <si>
    <t>U.S. National Science Foundation; NASA; Australian polar program [4075]; Norwegian polar program [4075]; University of Oxford's John Fell Foundation; Desert Research Institute; Swedish Research Council [DNR2013-8421]; Danish polar program [4075]; German polar program [4075]</t>
  </si>
  <si>
    <t>U.S. National Science Foundation(National Science Foundation (NSF)); NASA(National Aeronautics &amp; Space Administration (NASA)); Australian polar program; Norwegian polar program; University of Oxford's John Fell Foundation; Desert Research Institute; Swedish Research Council(Swedish Research Council); Danish polar program; German polar program</t>
  </si>
  <si>
    <t>Funding for collection and analyses of the intermediate ice cores used in this study primarily was provided by the U.S. National Science Foundation and NASA, as well as the Australian (AAS#4075), Danish, German, and Norwegian polar programs. Analyses of the NGRIP2 ice core at the Desert Research Institute were funded by the University of Oxford's John Fell Foundation. Analyses of the B19, B40, and Aurora Basin North cores were funded by the Desert Research Institute. This study was also supported by the Swedish Research Council (grant DNR2013-8421 to R.M.) We gratefully acknowledge the national research programs for their support and the efforts of field teams and others for help in collecting and analyzing the ice cores. The authors also thank the WAIS Divide Science Coordination Office and the NEEM and NGRIP deep drilling programs led by the University of Copenhagen. All measurements used in this study are available in the supporting information.</t>
  </si>
  <si>
    <t>10.1002/2017JD027325</t>
  </si>
  <si>
    <t>WOS:000417195500026</t>
  </si>
  <si>
    <t>Holloway, MD; Sime, LC; Allen, CS; Hillenbrand, CD; Bunch, P; Wolff, E; Valdes, PJ</t>
  </si>
  <si>
    <t>Holloway, Max D.; Sime, Louise C.; Allen, Claire S.; Hillenbrand, Claus-Dieter; Bunch, Pete; Wolff, Eric; Valdes, Paul J.</t>
  </si>
  <si>
    <t>The Spatial Structure of the 128ka Antarctic Sea Ice Minimum</t>
  </si>
  <si>
    <t>LAST GLACIAL MAXIMUM; MARINE ISOTOPE STAGE-6; PAST 800,000 YEARS; SOUTHERN-OCEAN; ATLANTIC SECTOR; SURFACE TEMPERATURE; INTERGLACIAL PERIODS; CLIMATE VARIABILITY; EAST ANTARCTICA; OUTLET GLACIERS</t>
  </si>
  <si>
    <t>We compare multi-ice core data with delta O-18 model output for the early last interglacial Antarctic sea ice minimum. The spatial pattern of delta O-18 across Antarctica is sensitive to the spatial pattern of sea ice retreat. Local sea ice retreat increases the proportion of winter precipitation, depleting delta O-18 at ice core sites. However, retreat also enriches delta O-18 because of the reduced source-to-site distance for atmospheric vapor. The joint overall effect is for delta O-18 to increase as sea ice is reduced. Our data-model comparison indicates a winter sea ice retreat of 67, 59, and 43% relative to preindustrial in the Atlantic, Indian, and Pacific sectors of the Southern Ocean. A compilation of Southern Ocean sea ice proxy data provides weak support for this reconstruction. However, most published marine core sites are located too far north of the 128,000 years B.P. sea ice edge, preventing independent corroboration for this sea ice reconstruction. Plain Language Summary The Antarctic isotope and temperature maximum, which occurred approximately 128,000 years before present (B.P.) during the warmer than present last interglacial period, is associated with a major retreat of Antarctic sea ice. Understanding the details of this major sea ice retreat is crucial in order to understand the sensitivity of the Southern Hemisphere sea ice system and to evaluate the performance of climate model simulations in response to future warming. This work uses a multi-ice and ocean core data-model evaluation to assess the magnitude and spatial pattern of this sea ice retreat. Our results suggest that sea ice retreat was greatest in the Atlantic and Indian sectors of the Southern Ocean and less in the Pacific sector. These results may have had serious implications for the stability of marine terminating glaciers around the Antarctic Ice Sheet and their contribution to the last interglacial sea level rise. These results also support a hypothesized slowdown in northward ocean heat transport during the early last interglacial.</t>
  </si>
  <si>
    <t>[Holloway, Max D.; Sime, Louise C.; Allen, Claire S.; Hillenbrand, Claus-Dieter] British Antarctic Survey, Cambridge, England; [Holloway, Max D.; Valdes, Paul J.] Univ Bristol, Sch Geog Sci, Bristol, Avon, England; [Bunch, Pete] Univ Cambridge, Dept Engn, Cambridge, England; [Wolff, Eric] Univ Cambridge, Dept Earth Sci, Cambridge, England</t>
  </si>
  <si>
    <t>UK Research &amp; Innovation (UKRI); Natural Environment Research Council (NERC); NERC British Antarctic Survey; University of Bristol; University of Cambridge; University of Cambridge</t>
  </si>
  <si>
    <t>Holloway, MD (corresponding author), British Antarctic Survey, Cambridge, England.;Holloway, MD (corresponding author), Univ Bristol, Sch Geog Sci, Bristol, Avon, England.</t>
  </si>
  <si>
    <t>maxllo15@bas.ac.uk</t>
  </si>
  <si>
    <t>Valdes, Paul/T-2004-2019; Sime, Louise/AAX-7730-2021; Valdes, Paul J/C-4129-2013; Wolff, Eric W/D-7925-2014</t>
  </si>
  <si>
    <t>Valdes, Paul/0000-0002-1902-3283; Sime, Louise/0000-0002-9093-7926; Wolff, Eric W/0000-0002-5914-8531; Holloway, Max/0000-0003-0709-3644</t>
  </si>
  <si>
    <t>NERC [NE/P009271/1, NE/P013279/1, NE/K004514/1]; EPSRC [EP/M008363/1]; Royal Society Professorship; Engineering and Physical Sciences Research Council [EP/M008363/1] Funding Source: researchfish; Natural Environment Research Council [bas0100030, NE/P013279/1, NE/P009271/1, bas0100034, NE/K004514/1] Funding Source: researchfish; EPSRC [EP/M008363/1] Funding Source: UKRI; NERC [bas0100030, NE/K004514/1, NE/P009271/1, bas0100034, NE/P013279/1] Funding Source: UKRI</t>
  </si>
  <si>
    <t>NERC(UK Research &amp; Innovation (UKRI)Natural Environment Research Council (NERC)); EPSRC(UK Research &amp; Innovation (UKRI)Engineering &amp; Physical Sciences Research Council (EPSRC)); Royal Society Professorship(Royal Society);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</si>
  <si>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This work was funded by NERC grants NE/P009271/1, NE/P013279/1, and NE/K004514/1. M.H. was also supported by the EPSRC-funded Past Earth Network (grant EP/M008363/1). E.W. is supported by a Royal Society Professorship. The data used are listed in the references, tables, and supporting information. Access to the Met Office Unified Model source code is available under license from the Met Office at http://www.metoffice.gov.uk/research/collaboration/um-collaboration. The climate model data are available on request from http://www.bridge.bris.ac.uk/resources/simulations.</t>
  </si>
  <si>
    <t>10.1002/2017GL074594</t>
  </si>
  <si>
    <t>FQ7WA</t>
  </si>
  <si>
    <t>Green Published, Green Accepted, Bronze</t>
  </si>
  <si>
    <t>WOS:000418572900029</t>
  </si>
  <si>
    <t>Williams, PD; Alexander, MJ; Barnes, EA; Butler, AH; Davies, HC; Garfinkel, CI; Kushnir, Y; Lane, TP; Lundquist, JK; Martius, O; Maue, RN; Peltier, WR; Sato, K; Scaife, AA; Zhang, CD</t>
  </si>
  <si>
    <t>Williams, Paul D.; Alexander, M. Joan; Barnes, Elizabeth A.; Butler, Amy H.; Davies, Huw C.; Garfinkel, Chaim I.; Kushnir, Yochanan; Lane, Todd P.; Lundquist, Julie K.; Martius, Olivia; Maue, Ryan N.; Peltier, W. Richard; Sato, Kaoru; Scaife, Adam A.; Zhang, Chidong</t>
  </si>
  <si>
    <t>A Census of Atmospheric Variability From Seconds to Decades</t>
  </si>
  <si>
    <t>MADDEN-JULIAN OSCILLATION; QUASI-BIENNIAL OSCILLATION; NORTH-ATLANTIC OSCILLATION; CLEAR-AIR TURBULENCE; WAVE MOMENTUM FLUX; EL-NINO; GRAVITY-WAVES; CIRCULATION RESPONSE; OCEANIC RESPONSE; STORM-TRACK</t>
  </si>
  <si>
    <t>This paper synthesizes and summarizes atmospheric variability on time scales from seconds to decades through a phenomenological census. We focus mainly on unforced variability in the troposphere, stratosphere, and mesosphere. In addition to atmosphere-only modes, our scope also includes coupled modes, in which the atmosphere interacts with the other components of the Earth system, such as the ocean, hydrosphere, and cryosphere. The topics covered include turbulence on time scales of seconds and minutes, gravity waves on time scales of hours, weather systems on time scales of days, atmospheric blocking on time scales of weeks, the Madden-Julian Oscillation on time scales of months, the Quasi-Biennial Oscillation and El Nino-Southern Oscillation on time scales of years, and the North Atlantic, Arctic, Antarctic, Pacific Decadal, and Atlantic Multidecadal Oscillations on time scales of decades. The paper serves as an introduction to a special collection of Geophysical Research Letters on atmospheric variability. We hope that both this paper and the collection will serve as a useful resource for the atmospheric science community and will act as inspiration for setting future research directions.</t>
  </si>
  <si>
    <t>[Williams, Paul D.] Univ Reading, Dept Meteorol, Reading, Berks, England; [Alexander, M. Joan] NorthWest Res Associates, Boulder, CO USA; [Barnes, Elizabeth A.] Colorado State Univ, Dept Atmospher Sci, Ft Collins, CO 80523 USA; [Butler, Amy H.] Cooperat Inst Res Environm Sci, Boulder, CO USA; [Butler, Amy H.] NOAA, Chem Sci Div, Earth Syst Res Lab, Boulder, CO USA; [Davies, Huw C.] Swiss Fed Inst Technol, Inst Atmospher &amp; Climate Sci, Zurich, Switzerland; [Garfinkel, Chaim I.] Hebrew Univ Jerusalem, Fredy &amp; Nadine Herrmann Inst Earth Sci, Jerusalem, Israel; [Kushnir, Yochanan] Lamont Doherty Earth Observ, Palisades, NY USA; [Lane, Todd P.] Univ Melbourne, Sch Earth Sci, Melbourne, Vic, Australia; [Lundquist, Julie K.] Univ Colorado Boulder, Dept Atmospher &amp; Ocean Sci, Boulder, CO USA; [Martius, Olivia] Univ Bern, Oeschger Ctr Climate Change Res, Inst Geog, Bern, Switzerland; [Maue, Ryan N.] Weather Us, Atlanta, GA USA; [Peltier, W. Richard] Univ Toronto, Dept Phys, Toronto, ON, Canada; [Sato, Kaoru] Univ Tokyo, Dept Earth &amp; Planetary Sci, Tokyo, Japan; [Scaife, Adam A.] Hadley Ctr, Met Off, Exeter, Devon, England; [Scaife, Adam A.] Univ Exeter, Coll Engn Math &amp; Phys Sci, Exeter, Devon, England; [Zhang, Chidong] NOAA, Pacific Marine Environm Lab, 7600 Sand Point Way Ne, Seattle, WA 98115 USA</t>
  </si>
  <si>
    <t>University of Reading; NorthWest Research Associates; Colorado State University; National Oceanic Atmospheric Admin (NOAA) - USA; Swiss Federal Institutes of Technology Domain; ETH Zurich; Hebrew University of Jerusalem; Columbia University; University of Melbourne; Melbourne Bioinformatics; University of Colorado System; University of Colorado Boulder; University of Bern; University of Toronto; University of Tokyo; Met Office - UK; Hadley Centre; University of Exeter; National Oceanic Atmospheric Admin (NOAA) - USA</t>
  </si>
  <si>
    <t>Williams, PD (corresponding author), Univ Reading, Dept Meteorol, Reading, Berks, England.</t>
  </si>
  <si>
    <t>p.d.williams@reading.ac.uk</t>
  </si>
  <si>
    <t>zhang, chao/HTO-2468-2023; Barnes, Elizabeth A./O-1790-2014; Butler, Amy H/K-6190-2012; zhang, jt/JVE-1333-2024; garfinkel, chaim I/AAA-1134-2020; zhang, chao/IXD-9965-2023; Zhang, Cheng/JAD-2236-2023; Peltier, William R./A-1102-2008; Maue, Ryan/AAT-8870-2020; DAVIES, HUW C/A-6654-2008; Williams, Paul/B-2432-2012; Sato, Kaoru/E-1693-2012; Lane, Todd/A-8804-2011</t>
  </si>
  <si>
    <t>Barnes, Elizabeth A./0000-0003-4284-9320; Butler, Amy H/0000-0002-3632-0925; garfinkel, chaim I/0000-0001-7258-666X; LUNDQUIST, JULIE/0000-0001-5490-2702; Kushnir, Yochanan/0000-0003-3312-5160; Williams, Paul/0000-0002-9713-9820; Alexander, M. Joan/0000-0003-2495-3597; Martius, Olivia/0000-0002-8645-4702; Sato, Kaoru/0000-0002-6225-6066; Lane, Todd/0000-0003-0171-6927</t>
  </si>
  <si>
    <t>Royal Society [UF130571]; National Science Foundation [AGS-1545675]; Israel Science Foundation [1558/14]; European Union Horizon research and innovation program under European Research Council starting grant [677756]; Australian Research Council's Centre of Excellence for Climate Extremes [CE170100023]; National Science Foundation under CAREER award [AGS-1554055]; Swiss National Science Foundation [200021-156059]; Japan Society for the Promotion of Science [25247075]; Japan Science and Technology Agency under CREST grant [JPMJCR1663]; joint DECC/DEFRA Met Office Hadley Centre Climate Programme [GA01101]; Swiss National Science Foundation (SNF) [200021_156059] Funding Source: Swiss National Science Foundation (SNF); Royal Society [UF130571] Funding Source: Royal Society; Div Atmospheric &amp; Geospace Sciences; Directorate For Geosciences [1545675] Funding Source: National Science Foundation</t>
  </si>
  <si>
    <t>Royal Society(Royal Society); National Science Foundation(National Science Foundation (NSF)); Israel Science Foundation(Israel Science Foundation); European Union Horizon research and innovation program under European Research Council starting grant; Australian Research Council's Centre of Excellence for Climate Extremes(Australian Research Council); National Science Foundation under CAREER award; Swiss National Science Foundation(Swiss National Science Foundation (SNSF)); Japan Society for the Promotion of Science(Ministry of Education, Culture, Sports, Science and Technology, Japan (MEXT)Japan Society for the Promotion of Science); Japan Science and Technology Agency under CREST grant; joint DECC/DEFRA Met Office Hadley Centre Climate Programme; Swiss National Science Foundation (SNF)(Swiss National Science Foundation (SNSF)); Royal Society(Royal Society); Div Atmospheric &amp; Geospace Sciences; Directorate For Geosciences(National Science Foundation (NSF)NSF - Directorate for Geosciences (GEO))</t>
  </si>
  <si>
    <t>P.D.W. is funded by the Royal Society under a University Research Fellowship award UF130571. E.A.B. is funded by the National Science Foundation under grant AGS-1545675. C.I.G. is funded by the Israel Science Foundation under grant 1558/14 and by the European Union Horizon 2020 research and innovation program under European Research Council starting grant 677756. T.P.L. is funded by the Australian Research Council's Centre of Excellence for Climate Extremes under grant CE170100023. J.K.L. is funded by the National Science Foundation under CAREER award AGS-1554055. O.M. is supported by the Swiss National Science Foundation under grant 200021-156059. K.S. is funded by the Japan Society for the Promotion of Science Grants-in-Aid for Scientific Research grant 25247075 and by the Japan Science and Technology Agency under CREST grant JPMJCR1663. A.A.S. is funded by the joint DECC/DEFRA Met Office Hadley Centre Climate Programme under grant GA01101. Through the coauthorship of C.Z., this paper is Pacific Marine Environmental Laboratory contribution number 4703. This paper contains no new data or models.</t>
  </si>
  <si>
    <t>10.1002/2017GL075483</t>
  </si>
  <si>
    <t>WOS:000418572900028</t>
  </si>
  <si>
    <t>Blake, C; Thiel, M; López, BA; Fraser, CI</t>
  </si>
  <si>
    <t>Blake, Callum; Thiel, Martin; Lopez, Boris A.; Fraser, Ceridwen I.</t>
  </si>
  <si>
    <t>Gall-forming protistan parasites infect southern bull kelp across the Southern Ocean, with prevalence increasing to the south</t>
  </si>
  <si>
    <t>Pathogen; Macroalgae; Host; specificity; Intertidal; Dispersal; Durvillaea; Maullinia</t>
  </si>
  <si>
    <t>LONG-DISTANCE DISPERSAL; TEMPERATURE TOLERANCE; MARINE-ALGAE; BROWN-ALGAE; PHAEOPHYCEAE; PACIFIC; PATTERNS; HOST; POPULATIONS; FUCALES</t>
  </si>
  <si>
    <t>Protistan pathogens can have devastating effects on marine plants, yet the processes that affect their distributions and infection intensities are poorly understood. Species within the brown algal genus Durvillaea are major ecosystem engineers throughout the sub-Antarctic and cold-temperate Southern Hemisphere, and a newly described genus of protistan parasite, Maullinia, was recently found infecting D. antarctica in Chile. We set out to address 3 key questions. (1) Is there evidence for trans-oceanic dispersal of Maullinia? (2) Does Maullinia infect other Durvillaea species? (3) Does infection prevalence vary throughout the hosts' ranges? We sampled Maullinia on Durvillaea populations along coasts in Chile (D. antarctica, from 32 degrees to 42 degrees S: 8 sites), Australia (D. potatorum and D. amatheiae, from 36 degrees to 38 degrees S: 5 sites) and sub-Antarctic Marion Island (46 degrees 53' 47 '' S, 37 degrees 43' 32 '' E). We used a genetic marker (18S rRNA) to verify the presence of Maullinia on Durvillaea at all sites and visual surveys of Maullinia galls to assess infection prevalence in Chile and Australia. We confirm that Maullinia infects Australian Durvillaea species, but our results indicate that each host species is parasitised by a different Maullinia lineage. Maullinia infection prevalence increased with latitude. Long- and short-distance dispersal events are inferred to have occurred based on genetic patterns. We conclude that Maullinia protists are broadly distributed and affect multiple host species, including at least 3 Durvillaea species (2 in Australia, and 1 in both Chile and Marion Island), and that environmental factors influence host susceptibility to infection.</t>
  </si>
  <si>
    <t>[Blake, Callum; Fraser, Ceridwen I.] Australian Natl Univ, Fenner Sch Environm &amp; Soc, Bldg 141 Linnaeus Way, Acton, ACT 2601, Australia; [Thiel, Martin; Lopez, Boris A.] Univ Catolica Norte, Fac Ciencias Mar, Larrondo 1281, Coquimbo, Chile; [Thiel, Martin] Millennium Nucleus Ecol &amp; Sustainable Management, Coquimbo, Chile; [Thiel, Martin] CEAZA, Coquimbo, Chile; [Lopez, Boris A.] Univ Los Lagos, Dept Acuicultura &amp; Recursos Agroalimentarios, Ave Fuchslocher 1305, Osorno, Chile</t>
  </si>
  <si>
    <t>Australian National University; Universidad Catolica del Norte; Universidad de Los Lagos</t>
  </si>
  <si>
    <t>Fraser, CI (corresponding author), Australian Natl Univ, Fenner Sch Environm &amp; Soc, Bldg 141 Linnaeus Way, Acton, ACT 2601, Australia.</t>
  </si>
  <si>
    <t>ceridwen.fraser@gmail.com</t>
  </si>
  <si>
    <t>Lopez, Boris/S-3260-2019; Lopez, Boris/E-6814-2011</t>
  </si>
  <si>
    <t>Lopez, Boris/0000-0002-1980-6616</t>
  </si>
  <si>
    <t>Fondecyt grant [CONICYT-FONDECYT 1131082]; Fenner School of Environment and Society at the Australian National University; PhD fellowship Beca CONICYT-PCHA/DoctoradoNacional [2014-21140010]</t>
  </si>
  <si>
    <t>Fondecyt grant(Comision Nacional de Investigacion Cientifica y Tecnologica (CONICYT)CONICYT FONDECYT); Fenner School of Environment and Society at the Australian National University; PhD fellowship Beca CONICYT-PCHA/DoctoradoNacional</t>
  </si>
  <si>
    <t>We thank Frank Gleason, Sigrid Neu-hauser, Fadia Tala, Oscar Pino, Vieia Villalobos and Amanda Padovan for theoretical, field and laboratory assistance and Hwan-Jin Yoon for statistical advice. Peter Ryan, Stefan Schoombie and Janine Schoombie kindly collected the samples from Marion Island. This project was funded by Fondecyt grant (CONICYT-FONDECYT 1131082), the Fenner School of Environment and Society at the Australian National University and a PhD fellowship Beca CONICYT-PCHA/DoctoradoNacional/2014-21140010 to B.A.L.</t>
  </si>
  <si>
    <t>10.3354/meps12346</t>
  </si>
  <si>
    <t>FQ3PD</t>
  </si>
  <si>
    <t>WOS:000418268200007</t>
  </si>
  <si>
    <t>Davidson, AD; Shoemaker, KT; Weinstein, B; Costa, GC; Brooks, TM; Ceballos, G; Radeloff, VC; Rondinini, C; Graham, CH</t>
  </si>
  <si>
    <t>Davidson, Ana D.; Shoemaker, Kevin T.; Weinstein, Ben; Costa, Gabriel C.; Brooks, Thomas M.; Ceballos, Gerardo; Radeloff, Volker C.; Rondinini, Carlo; Graham, Catherine H.</t>
  </si>
  <si>
    <t>Geography of current and future global mammal extinction risk</t>
  </si>
  <si>
    <t>NONRANDOM EXTINCTION; RANDOM FORESTS; BODY-SIZE; CLIMATE; CONSERVATION; CLASSIFICATION; BIODIVERSITY; DECLINE; DIVERSITY; PATTERNS</t>
  </si>
  <si>
    <t>Identifying which species are at greatest risk, what makes them vulnerable, and where they are distributed are central goals for conservation science. While knowledge of which factors influence extinction risk is increasingly available for some taxonomic groups, a deeper understanding of extinction correlates and the geography of risk remains lacking. Here, we develop a predictive random forest model using both geospatial and mammalian species' trait data to uncover the statistical and geographic distributions of extinction correlates. We also explore how this geography of risk may change under a rapidly warming climate. We found distinctive macroecological relationships between species-level risk and extinction correlates, including the intrinsic biological traits of geographic range size, body size and taxonomy, and extrinsic geographic settings such as seasonality, habitat type, land use and human population density. Each extinction correlate exhibited ranges of values that were especially associated with risk, and the importance of different risk factors was not geographically uniform across the globe. We also found that about 10% of mammals not currently recognized as at-risk have biological traits and occur in environments that predispose them towards extinction. Southeast Asia had the most actually and potentially threatened species, underscoring the urgent need for conservation in this region. Additionally, nearly 40% of currently threatened species were predicted to experience rapid climate change at 0.5 km/year or more. Biological and environmental correlates of mammalian extinction risk exhibit distinct statistical and geographic distributions. These results provide insight into species-level patterns and processes underlying geographic variation in extinction risk. They also offer guidance for future conservation research focused on specific geographic regions, or evaluating the degree to which species-level patterns mirror spatial variation in the pressures faced by populations within the ranges of individual species. The added impacts from climate change may increase the susceptibility of at-risk species to extinction and expand the regions where mammals are most vulnerable globally.</t>
  </si>
  <si>
    <t>[Davidson, Ana D.; Weinstein, Ben; Graham, Catherine H.] SUNY Stony Brook, Dept Ecol &amp; Evolut, Stony Brook, NY 11794 USA; [Davidson, Ana D.] NatureServe, Arlington, VA 22203 USA; [Shoemaker, Kevin T.] Univ Nevada, Dept Nat Resources &amp; Environm Sci, Reno, NV 89557 USA; [Costa, Gabriel C.] Auburn Univ, Dept Biol, Montgomery, AL 36117 USA; [Brooks, Thomas M.] Int Union Conservat Nat, Gland, Switzerland; [Brooks, Thomas M.] Univ Philippines Los Banos, World Agroforestry Ctr, Laguna, Philippines; [Brooks, Thomas M.] Univ Tasmania, Inst Marine &amp; Antarctic Studies, Hobart, Tas, Australia; [Ceballos, Gerardo] Univ Nacl Autonoma Mexico, Inst Ecol, Mexico City, DF, Mexico; [Radeloff, Volker C.] Univ Wisconsin, Dept Forest &amp; Wildlife Ecol, Madison, WI 53706 USA; [Rondinini, Carlo] Sapienza Univ Rome, Dept Biol &amp; Biotechnol, Global Mammal Assessment Program, Rome, Italy; [Graham, Catherine H.] Swiss Fed Res Inst, Unit Biodivers &amp; Conservat, WSL, Birmensdorf, Switzerland; [Davidson, Ana D.] Colorado State Univ, Colorado Nat Heritage Program, Warner Coll Nat Resources, Ft Collins, CO 80523 USA; [Davidson, Ana D.] Colorado State Univ, Dept Fish Wildlife &amp; Conservat Biol, Warner Coll Nat Resources, Ft Collins, CO 80523 USA</t>
  </si>
  <si>
    <t>State University of New York (SUNY) System; State University of New York (SUNY) Stony Brook; Nature Conservancy; Nevada System of Higher Education (NSHE); University of Nevada Reno; Auburn University System; Auburn University Montgomery; Auburn University; University of the Philippines System; University of the Philippines Los Banos; CGIAR; World Agroforestry (ICRAF); University of Tasmania; Universidad Nacional Autonoma de Mexico; University of Wisconsin System; University of Wisconsin Madison; Sapienza University Rome; Swiss Federal Institutes of Technology Domain; Swiss Federal Institute for Forest, Snow &amp; Landscape Research; Colorado State University; Colorado State University</t>
  </si>
  <si>
    <t>Davidson, AD (corresponding author), SUNY Stony Brook, Dept Ecol &amp; Evolut, Stony Brook, NY 11794 USA.;Davidson, AD (corresponding author), NatureServe, Arlington, VA 22203 USA.;Davidson, AD (corresponding author), Colorado State Univ, Colorado Nat Heritage Program, Warner Coll Nat Resources, Ft Collins, CO 80523 USA.;Davidson, AD (corresponding author), Colorado State Univ, Dept Fish Wildlife &amp; Conservat Biol, Warner Coll Nat Resources, Ft Collins, CO 80523 USA.</t>
  </si>
  <si>
    <t>ana.davidson@colostate.edu</t>
  </si>
  <si>
    <t>Graham, Catherine H/A-9560-2011; Shoemaker, Kevin T/IZD-8166-2023; Rondinini, Carlo/E-9027-2011; Costa, Gabriel C/A-4147-2008; Radeloff, Volker C/B-6124-2016</t>
  </si>
  <si>
    <t>Shoemaker, Kevin T/0000-0002-3789-3856; Costa, Gabriel C/0000-0002-6777-6706; Rondinini, Carlo/0000-0002-6617-018X; Davidson, Ana/0000-0003-4701-5923</t>
  </si>
  <si>
    <t>National Science Foundation's Dimensions of Biodiversity program [DEB-1136586]; NSF [DEB-1136586, DEB-1146198]; CNPq [302776/2012-5, 563352/2010-8]; CAPES/Science without Borders grant [PVE 018/2012]; NASA Biodiversity Program; Direct For Biological Sciences; Division Of Environmental Biology [1136705, 1146198] Funding Source: National Science Foundation</t>
  </si>
  <si>
    <t>National Science Foundation's Dimensions of Biodiversity program(National Science Foundation (NSF)NSF - Directorate for Biological Sciences (BIO)); NSF(National Science Foundation (NSF)); CNPq(Conselho Nacional de Desenvolvimento Cientifico e Tecnologico (CNPQ)); CAPES/Science without Borders grant; NASA Biodiversity Program(National Aeronautics &amp; Space Administration (NASA)); Direct For Biological Sciences; Division Of Environmental Biology(National Science Foundation (NSF)NSF - Directorate for Biological Sciences (BIO))</t>
  </si>
  <si>
    <t>Our research was funded by the National Science Foundation's Dimensions of Biodiversity program (grant DEB-1136586). ADD, BW, and CHG were supported by NSF grant DEB-1136586, and KTS was supported by NSF grant DEB-1146198. GCC was supported by CNPq grants 302776/2012-5 and 563352/2010-8. GCC, CHG., and ADD were also supported by CAPES/Science without Borders grant PVE 018/2012, and VCR by the NASA Biodiversity Program. The funders had no role in study design, data collection and analysis, decision to publish, or preparation of the manuscript.; We thank Bruce Young and Blair Hedges, co-PIs partly responsible for obtaining NSF DEB-1136586 grant. We thank Brody Sandel for sharing R code to produce Fig 3, and Joshua Ginsberg and an anonymous reviewer for helpful comments on a previous version of our manuscript.</t>
  </si>
  <si>
    <t>e0186934</t>
  </si>
  <si>
    <t>10.1371/journal.pone.0186934</t>
  </si>
  <si>
    <t>FM8YO</t>
  </si>
  <si>
    <t>gold, Green Published, Green Accepted, Green Submitted</t>
  </si>
  <si>
    <t>WOS:000415378800006</t>
  </si>
  <si>
    <t>Morlighem, M; Williams, CN; Rignot, E; An, L; Arndt, JE; Bamber, JL; Catania, G; Chauché, N; Dowdeswell, JA; Dorschel, B; Fenty, I; Hogan, K; Howat, I; Hubbard, A; Jakobsson, M; Jordan, TM; Kjeldsen, KK; Millan, R; Mayer, L; Mouginot, J; Noël, BPY; O'Cofaigh, C; Palmer, S; Rysgaard, S; Seroussi, H; Siegert, MJ; Slabon, P; Straneo, F; van den Broeke, MR; Weinrebe, W; Wood, M; Zinglersen, KB</t>
  </si>
  <si>
    <t>Morlighem, M.; Williams, C. N.; Rignot, E.; An, L.; Arndt, J. E.; Bamber, J. L.; Catania, G.; Chauche, N.; Dowdeswell, J. A.; Dorschel, B.; Fenty, I.; Hogan, K.; Howat, I.; Hubbard, A.; Jakobsson, M.; Jordan, T. M.; Kjeldsen, K. K.; Millan, R.; Mayer, L.; Mouginot, J.; Noel, B. P. Y.; O'Cofaigh, C.; Palmer, S.; Rysgaard, S.; Seroussi, H.; Siegert, M. J.; Slabon, P.; Straneo, F.; van den Broeke, M. R.; Weinrebe, W.; Wood, M.; Zinglersen, K. B.</t>
  </si>
  <si>
    <t>BedMachine v3: Complete Bed Topography and Ocean Bathymetry Mapping of Greenland From Multibeam Echo Sounding Combined With Mass Conservation</t>
  </si>
  <si>
    <t>RESOLUTION ICE-THICKNESS; WEST GREENLAND; GLACIER DYNAMICS; CALVING FRONT; FJORD; SHEET; RETREAT; WATERS; SHELF; ANTARCTICA</t>
  </si>
  <si>
    <t>Greenland's bed topography is a primary control on ice flow, grounding line migration, calving dynamics, and subglacial drainage. Moreover, fjord bathymetry regulates the penetration of warm Atlantic water (AW) that rapidly melts and undercuts Greenland's marine-terminating glaciers. Here we present a new compilation of Greenland bed topography that assimilates seafloor bathymetry and ice thickness data through a mass conservation approach. A new 150m horizontal resolution bed topography/bathymetric map of Greenland is constructed with seamless transitions at the ice/ocean interface, yielding major improvements over previous data sets, particularly in the marine-terminating sectors of northwest and southeast Greenland. Our map reveals that the total sea level potential of the Greenland ice sheet is 7.420.05m, which is 7cm greater than previous estimates. Furthermore, it explains recent calving front response of numerous outlet glaciers and reveals new pathways by which AW can access glaciers with marine-based basins, thereby highlighting sectors of Greenland that are most vulnerable to future oceanic forcing.</t>
  </si>
  <si>
    <t>[Morlighem, M.; Rignot, E.; An, L.; Millan, R.; Mouginot, J.; Wood, M.] Univ Calif Irvine, Dept Earth Syst Sci, Irvine, CA USA; [Williams, C. N.; Bamber, J. L.; Jordan, T. M.] Univ Bristol, Sch Geog Sci, Bristol Glaciol Ctr, Bristol, Avon, England; [Williams, C. N.] British Geol Survey, Nottingham, England; [Rignot, E.; Fenty, I.; Seroussi, H.] CALTECH, Jet Prop Lab, Pasadena, CA USA; [Arndt, J. E.; Dorschel, B.; Slabon, P.; Weinrebe, W.] Helmholtz Ctr Polar &amp; Marine Res, Alfred Wegener Inst, Bremerhaven, Germany; [Catania, G.] Univ Texas Austin, Inst Geophys, Austin, TX USA; [Chauche, N.; Hubbard, A.] Aberystwyth Univ, Dept Geog &amp; Earth Sci, Aberystwyth, Dyfed, Wales; [Dowdeswell, J. A.] Univ Cambridge, Scott Polar Res Inst, Cambridge, England; [Hogan, K.] NERC, British Antarctic Survey, Cambridge, England; [Howat, I.] Ohio State Univ, Byrd Polar &amp; Climate Res Ctr, Columbus, OH USA; [Hubbard, A.] UiT Arctic Univ Norway, Dept Geosci, Ctr Arctic Gas Hydrate Environm &amp; Climate, Tromso, Norway; [Jakobsson, M.] Stockholm Univ, Dept Geol &amp; Geochem, Stockholm, Sweden; [Kjeldsen, K. K.] Univ Copenhagen, Ctr GeoGenet, Nat Hist Museum Denmark, Copenhagen, Denmark; [Kjeldsen, K. K.] Univ Ottawa, Dept Earth Sci, Ottawa, ON, Canada; [Kjeldsen, K. K.] Tech Univ Denmark, Natl Space Inst, Dept Geodesy, DTU Space, Kongens Lyngby, Denmark; [Mayer, L.] Univ New Hampshire, Ctr Coastal &amp; Ocean Mapping, Durham, NH 03824 USA; [Noel, B. P. Y.; van den Broeke, M. R.] Univ Utrecht, Inst Marine &amp; Atmospher Res Utrecht, Utrecht, Netherlands; [O'Cofaigh, C.] Univ Durham, Dept Geog, Durham, England; [Palmer, S.] Univ Exeter, Coll Life &amp; Environm Sci, Exeter, Devon, England; [Rysgaard, S.] Univ Manitoba, Dept Environm &amp; Geog, Ctr Earth Observat Sci, Winnipeg, MB, Canada; [Rysgaard, S.; Zinglersen, K. B.] Greenland Inst Nat Resources, Nuuk, Greenland; [Rysgaard, S.] Aarhus Univ, Arctic Res Ctr, Aarhus, Denmark; [Siegert, M. J.] Imperial Coll London, Grantham Inst, London, England; [Siegert, M. J.] Imperial Coll London, Dept Earth Sci &amp; Engn, London, England; [Straneo, F.] Woods Hole Oceanog Inst, Dept Phys Oceanog, Woods Hole, MA 02543 USA</t>
  </si>
  <si>
    <t>University of California System; University of California Irvine; University of Bristol; UK Research &amp; Innovation (UKRI); Natural Environment Research Council (NERC); NERC British Geological Survey; National Aeronautics &amp; Space Administration (NASA); NASA Jet Propulsion Laboratory (JPL); California Institute of Technology; Helmholtz Association; Alfred Wegener Institute, Helmholtz Centre for Polar &amp; Marine Research; University of Texas System; University of Texas Austin; Aberystwyth University; University of Cambridge; UK Research &amp; Innovation (UKRI); Natural Environment Research Council (NERC); NERC British Antarctic Survey; University System of Ohio; Ohio State University; UiT The Arctic University of Tromso; Stockholm University; University of Copenhagen; University of Ottawa; Technical University of Denmark; University System Of New Hampshire; University of New Hampshire; Utrecht University; Durham University; University of Exeter; University of Manitoba; Greenland Institute of Natural Resources; Aarhus University; Imperial College London; Imperial College London; Woods Hole Oceanographic Institution</t>
  </si>
  <si>
    <t>Morlighem, M (corresponding author), Univ Calif Irvine, Dept Earth Syst Sci, Irvine, CA USA.</t>
  </si>
  <si>
    <t>mathieu.morlighem@uci.edu</t>
  </si>
  <si>
    <t>Jakobsson, Martin/F-6214-2010; Fenty, Ian/AAP-9569-2021; Jakobsson, Martin/JAN-6828-2023; Van den Broeke, Michiel R./F-7867-2011; Williams, Christopher/A-2723-2015; An, Lu/J-9744-2019; Bamber, Jonathan/C-7608-2011; Palmer, Steven J/D-5170-2013; Siegert, Martin J/A-3826-2008; Siegert, Martin/M-9939-2019; Rignot, Eric/A-4560-2014; An, Lu/ISS-6776-2023; Wood, Michael/AAH-4991-2020; Morlighem, Mathieu/O-9942-2014; Mouginot, Jeremie/G-7045-2015; Rysgaard, Søren/K-6689-2013; Seroussi, Helene/AAX-5342-2021; Zinglersen, Karl Brix/AAC-4356-2019; Catania, Ginny/B-9787-2008; Howat, Ian/A-3474-2008; Hubbard, Alun/R-5085-2017; Kjeldsen, Kristian Kjellerup/A-9592-2013</t>
  </si>
  <si>
    <t>Fenty, Ian/0000-0001-6662-6346; Van den Broeke, Michiel R./0000-0003-4662-7565; An, Lu/0000-0003-3507-5953; Bamber, Jonathan/0000-0002-2280-2819; Siegert, Martin J/0000-0002-0090-4806; Siegert, Martin/0000-0002-0090-4806; Rignot, Eric/0000-0002-3366-0481; Morlighem, Mathieu/0000-0001-5219-1310; Mouginot, Jeremie/0000-0001-9155-5455; Seroussi, Helene/0000-0001-9201-1644; Zinglersen, Karl Brix/0000-0003-1466-9680; Straneo, Fiammetta/0000-0002-1735-2366; Slabon, Patricia/0000-0002-6965-7401; Rysgaard, Soren/0000-0003-1726-2958; Catania, Ginny/0000-0002-7561-5902; Howat, Ian/0000-0002-8072-6260; Hubbard, Alun/0000-0002-0503-3915; Kjeldsen, Kristian Kjellerup/0000-0002-8557-5131; Palmer, Steven/0000-0003-3977-8509; Arndt, Jan Erik/0000-0002-9413-1612; Dowdeswell, Julian/0000-0003-1369-9482; Mayer, Larry/0000-0003-1846-5140; Dorschel, Boris/0000-0002-3495-5927; Wood, Mike/0000-0003-3074-7845; Jordan, Thomas/0000-0002-2096-8858; Williams, Chris/0000-0003-1436-6479; Jakobsson, Martin/0000-0002-9033-3559</t>
  </si>
  <si>
    <t>National Aeronautics and Space Administration, Cryospheric Sciences Program [NNX15AD55G]; National Science Foundation's ARCSS program [1504230]; University of Bristol as part of the Basal Properties of the Greenland Ice Sheet project (BPoG, NERC grant) [NE/M000869/1]; Directorate For Geosciences [1504230] Funding Source: National Science Foundation; Directorate For Geosciences; Office of Polar Programs (OPP) [1417787] Funding Source: National Science Foundation; ICER; Directorate For Geosciences [1541390] Funding Source: National Science Foundation; ICER; Directorate For Geosciences [1743687] Funding Source: National Science Foundation; Office of Polar Programs (OPP) [1504230] Funding Source: National Science Foundation; NERC [NE/K004956/2, NE/K004999/1, NE/M000869/1, bas0100030, NE/H020667/1, NE/D001986/1] Funding Source: UKRI; Natural Environment Research Council [bas0100030, NE/K004956/2, NE/M000869/1, NE/H020667/1, NER/T/S/2000/00986, NE/D001986/1, NE/K004999/1] Funding Source: researchfish</t>
  </si>
  <si>
    <t>National Aeronautics and Space Administration, Cryospheric Sciences Program; National Science Foundation's ARCSS program; University of Bristol as part of the Basal Properties of the Greenland Ice Sheet project (BPoG, NERC grant); Directorate For Geosciences(National Science Foundation (NSF)NSF - Directorate for Geosciences (GEO)); Directorate For Geosciences; Office of Polar Programs (OPP)(National Science Foundation (NSF)NSF - Directorate for Geosciences (GEO)); ICER; Directorate For Geosciences(National Science Foundation (NSF)NSF - Directorate for Geosciences (GEO)); ICER; Directorate For Geosciences(National Science Foundation (NSF)NSF - Directorate for Geosciences (GEO)); Office of Polar Programs (OPP)(National Science Foundation (NSF)NSF - Directorate for Geosciences (GEO)); NERC(UK Research &amp; Innovation (UKRI)Natural Environment Research Council (NERC)); Natural Environment Research Council(UK Research &amp; Innovation (UKRI)Natural Environment Research Council (NERC))</t>
  </si>
  <si>
    <t>This work was performed at the University of California, Irvine, under a contract with the National Aeronautics and Space Administration, Cryospheric Sciences Program (NNX15AD55G), and the National Science Foundation's ARCSS program (1504230), and in cooperation with the University of Bristol as part of the Basal Properties of the Greenland Ice Sheet project (BPoG, NERC grant NE/M000869/1). We thank the Danish Geodata Agency and the Greenland Institute of Natural Resources for providing bathymetry data in the fjord of Narsap Sermia. We also thank David and Denise Holland, from New York University, for providing bathymetry data in Illulisat Icefjord, and Don Blankenship and Duncan Young, from the University of Texas, Institute for Geophysics, for their participation in collecting the HiCARS data. Finally, we would like to thank GRISO RCN (Greenland Ice Sheet Ocean Research Coordination Network) for their help in finding available bathymetry data. BedMachine v3 will be available at the National Snow and Ice Data Center (NSIDC): http://nsidc.org/data/IDBMG4.</t>
  </si>
  <si>
    <t>10.1002/2017GL074954</t>
  </si>
  <si>
    <t>WOS:000418572900041</t>
  </si>
  <si>
    <t>Landrum, LL; Holland, MM; Raphael, MN; Polvani, LM</t>
  </si>
  <si>
    <t>Landrum, Laura L.; Holland, Marika M.; Raphael, Marilyn N.; Polvani, Lorenzo M.</t>
  </si>
  <si>
    <t>Stratospheric Ozone Depletion: An Unlikely Driver of the Regional Trends in Antarctic Sea Ice in Austral Fall in the Late Twentieth Century</t>
  </si>
  <si>
    <t>Antarctic sea ice trends; stratrospheric ozone depletion; Amundsen Sea Low</t>
  </si>
  <si>
    <t>CLIMATE-CHANGE; MODELS; OCEAN; VARIABILITY; CIRCULATION; SYSTEM; CMIP5; HOLE</t>
  </si>
  <si>
    <t>It has been suggested that recent regional trends in Antarctic sea ice might have been caused by the formation of the ozone hole in the late twentieth century. Here we explore this by examining two ensembles of a climate model over the ozone hole formation period (1955-2005). One ensemble includes all known historical forcings; the other is identical except for ozone levels, which are fixed at 1955 levels. We demonstrate that the model is able to capture, on interannual and decadal timescales, the observed statistical relationship between summer Amundsen Sea Low strength (when ozone loss causes a robust deepening) and fall sea ice concentrations (when observed trends are largest). In spite of this, the modeled regional trends caused by ozone depletion are found to be almost exactly opposite to the observed ones. We deduce that the regional character of observed sea ice trends is likely not caused by ozone depletion.</t>
  </si>
  <si>
    <t>[Landrum, Laura L.; Holland, Marika M.; Polvani, Lorenzo M.] Natl Ctr Atmospher Res, POB 3000, Boulder, CO 80307 USA; [Raphael, Marilyn N.] Univ Calif Los Angeles, Los Angeles, CA USA; [Polvani, Lorenzo M.] Columbia Univ, New York, NY USA; [Polvani, Lorenzo M.] Lamont Doherty Earth Observ, Palisades, NY USA</t>
  </si>
  <si>
    <t>National Center Atmospheric Research (NCAR) - USA; University of California System; University of California Los Angeles; Columbia University; Columbia University</t>
  </si>
  <si>
    <t>Landrum, LL (corresponding author), Natl Ctr Atmospher Res, POB 3000, Boulder, CO 80307 USA.</t>
  </si>
  <si>
    <t>landrum@ucar.edu</t>
  </si>
  <si>
    <t>Polvani, Lorenzo M/E-5949-2011</t>
  </si>
  <si>
    <t>Holland, Marika/0000-0001-5621-8939; Landrum, Laura/0000-0002-6003-1146</t>
  </si>
  <si>
    <t>Frontiers of Earth System Dynamics (FESD) - U.S. National Science Foundation [1338814]; National Science Foundation; Division Of Ocean Sciences; Directorate For Geosciences [1338814] Funding Source: National Science Foundation</t>
  </si>
  <si>
    <t>Frontiers of Earth System Dynamics (FESD) - U.S. National Science Foundation; National Science Foundation(National Science Foundation (NSF)); Division Of Ocean Sciences; Directorate For Geosciences(National Science Foundation (NSF)NSF - Directorate for Geosciences (GEO))</t>
  </si>
  <si>
    <t>This work is funded by a Frontiers of Earth System Dynamics (FESD) grant from the U.S. National Science Foundation (1338814). The computations were carried out with high-performance computing support from Yellowstone (ark:/85065/d7wd3xhc) provided by the National Center for Atmospheric Research's (NCAR) Computational and Information Systems Laboratory (CISL), which is sponsored by the National Science Foundation. The data produced for and analyzed in this paper are archived on the Earth System Grid at NCAR, doi: 10.5065/D6JQ0ZRK, and are available at https://www.earthsystemgrid.org/dataset/ucar.cgd.ccsm4.b.e11.B20LE_fixedO3.html. CESM Large Ensemble Community Project and supercomputing resources were provided by NSF/CISL/Yellowstone.</t>
  </si>
  <si>
    <t>10.1002/2017GL075618</t>
  </si>
  <si>
    <t>WOS:000418572900035</t>
  </si>
  <si>
    <t>Ziegler, AF; Smith, CR; Edwards, KF; Vernet, M</t>
  </si>
  <si>
    <t>Ziegler, A. F.; Smith, C. R.; Edwards, K. F.; Vernet, M.</t>
  </si>
  <si>
    <t>Glacial dropstones: islands enhancing seafloor species richness of benthic megafauna in West Antarctic Peninsula fjords</t>
  </si>
  <si>
    <t>Antarctica; Diversity; Heterogeneity; Dropstones; Fjord; Benthos</t>
  </si>
  <si>
    <t>CLIMATE-CHANGE; CHAENOCEPHALUS-ACERATUS; FOOD BANKS; SHELF; COMMUNITIES; ECOLOGY; SCALE; OCEAN; DISTURBANCE; DIVERSITY</t>
  </si>
  <si>
    <t>The West Antarctic Peninsula (WAP) margin is dominated by glaciomarine fjords and has experienced rapid climate warming in recent de cades. Glacial calving along the peninsula delivers icerafted debris (e.g. dropstones) to heavily sedimented fjord basins and the open continental shelf. Dropstones provide hard substrate, increase habitat heterogeneity, and may function as island habitats surrounded by mud. We used seafloor photographic transects to evaluate the distribution and community structure of Antarctic hard-substrate megafauna and the role of dropstones as island habitats in 3 WAP fjords and at 3 nearby shelf stations. Several lines of evidence indicate that dropstones function as island habitats; their communities adhere to principles of island biogeography theory with (1) a positive correlation between dropstone size and species richness, (2) an increase in the proportion of colonized dropstones with increasing dropstone size, and (3) a species-area scaling exponent consistent with island habitats measured globally. Previous work on the soft-sediment megafauna of this region found strong differences in community composition between fjord and shelf sites, whereas we found that dropstone communities differed within sites at small scales (1 km and smaller). We identified 73 megafaunal morphotypes associated with dropstones, 29 of which were not previously documented in the soft-sediment mega fauna. While dropstones constituted &lt; 1% of the total seafloor area surveyed, they contributed 20% of the overall species richness of WAP megabenthos at depths of 437-724 m. WAP dropstone communities adhere to key principles of island biogeography theory, contribute environmental heterogeneity, and increase biodiversity in the WAP region.</t>
  </si>
  <si>
    <t>[Ziegler, A. F.; Smith, C. R.; Edwards, K. F.] Univ Hawaii Manoa, Dept Oceanog, Honolulu, HI 96822 USA; [Vernet, M.] Scripps Inst Oceanog, Integrat Oceanog Div, La Jolla, CA 92093 USA</t>
  </si>
  <si>
    <t>University of Hawaii System; University of Hawaii Manoa; University of California System; University of California San Diego; Scripps Institution of Oceanography</t>
  </si>
  <si>
    <t>Ziegler, AF (corresponding author), Univ Hawaii Manoa, Dept Oceanog, Honolulu, HI 96822 USA.</t>
  </si>
  <si>
    <t>ziegler8@hawaii.edu</t>
  </si>
  <si>
    <t>Ziegler, Amanda Fern/P-8041-2019</t>
  </si>
  <si>
    <t>National Science Foundation [OPP 0732711, OPP 0636806, OPP 1443 680]; Directorate For Geosciences; Office of Polar Programs (OPP) [1443680] Funding Source: National Science Foundation</t>
  </si>
  <si>
    <t>Funding was provided by National Science Foundation grants for the LARISSA (OPP 0732711), FOODBANCS2 (OPP 0636806), and FjordEco (OPP 1443 680) projects to C.R.S. We thank the captains and crews of the AVIB 'Nathaniel B. Palmer' and ASRV 'Laurence M. Gould' as well as the numerous United States Antarctic Program (USAP) personnel and scientists who assisted in the field. We also thank Thomas Desvignes (Oregon State University) for fish identifications and Dr. Laura Grange and Christian Clark for their help in the field and processing of the original benthic imagery.</t>
  </si>
  <si>
    <t>10.3354/meps12363</t>
  </si>
  <si>
    <t>WOS:000418268200001</t>
  </si>
  <si>
    <t>Rudduck, OA; Lavers, JL; Fischer, AM; Stuckenbrock, S; Sharp, PB; Banati, RB</t>
  </si>
  <si>
    <t>Rudduck, Osha-Ann; Lavers, Jennifer L.; Fischer, Andrew M.; Stuckenbrock, Silke; Sharp, Paul B.; Banati, Richard B.</t>
  </si>
  <si>
    <t>Inter-annual variation in the density of anthropogenic debris in the Tasman Sea</t>
  </si>
  <si>
    <t>Australia; Marine debris; Plastic pollution; Tasman Sea</t>
  </si>
  <si>
    <t>PLASTIC DEBRIS; COASTAL WATERS; MARINE DEBRIS; OCEAN; POLLUTION; ENVIRONMENT; LITTER; LAND</t>
  </si>
  <si>
    <t>An increasing number of studies highlight the risk of plastic pollution in the marine environment. However, systematic longitudinal data on the distribution and abundance of plastic debris remain sparse. Here we present the results of a two-year study of plastic pollution within the Tasman Sea, contrasted with a further year of data from the same region, in order to document how the density of debris varies across years in this area. Surface net tows were collected between Hobart, Tasmania and Sydney, Australia during the spring of 2013 and 2014 and compared with a subset of data from autumn 2012 from the same region. Substantial inter-annual variation in mean plastic abundance was observed over the three year period, ranging from to 248.04-3711.64 pieces km(-2), confirming the need for multiple years of sampling to fully estimate the extent of, and trends in, plastic pollution.</t>
  </si>
  <si>
    <t>[Rudduck, Osha-Ann; Fischer, Andrew M.] Univ Tasmania, Inst Marine &amp; Antarctic Studies, Old Sch Rd, Newnham, Tas 7250, Australia; [Lavers, Jennifer L.] Univ Tasmania, Inst Marine &amp; Antarctic Studies, 20 Castray Esplanade, Battery Point, Tas 7004, Australia; [Stuckenbrock, Silke; Sharp, Paul B.] Two Hands Project, POB 4296, North Curl Curl, NSW 2101, Australia; [Banati, Richard B.] ANSTO, Life Sci Div, Bioanalyt Grp, Lucas Heights, NSW 2234, Australia</t>
  </si>
  <si>
    <t>University of Tasmania; University of Tasmania; Australian Nuclear Science &amp; Technology Organisation</t>
  </si>
  <si>
    <t>Lavers, JL (corresponding author), Univ Tasmania, Inst Marine &amp; Antarctic Studies, 20 Castray Esplanade, Battery Point, Tas 7004, Australia.</t>
  </si>
  <si>
    <t>jennifer.lavers@utas.edu.au</t>
  </si>
  <si>
    <t>Lavers, Jennifer/O-4831-2017; Lavers, Jennifer/IWM-5417-2023</t>
  </si>
  <si>
    <t>Lavers, Jennifer/0000-0001-7596-6588; Fischer, Andrew/0000-0001-5284-6428</t>
  </si>
  <si>
    <t>Australian Nuclear Science and Technology Organization (ANSTO); Australian Institute of Nuclear Science and Engineering (AINSE)</t>
  </si>
  <si>
    <t>We extend our gratitude to the crew aboard the East Coast Odyssey that made our sampling a success, including all members of the Two Hands Project team, S. Mustoe (Wildiaries ), and D. Nash, the skipper of the Yukon. We also thank the Australian Nuclear Science and Technology Organization (ANSTO) who provided funds for the 2014 voyage and access to FT-IR equipment. We also thank the Australian Institute of Nuclear Science and Engineering (AINSE) (http://www.ainse.edu.au/grad_students2/postgraduate_awards) for providing a scholarship to OR. Finally, thank you to A. Bond, M. Eriksen, N. Howell, S. Cannon and T. Bolton for providing technical support and VT and an anonymous reviewer for comments on earlier drafts of this manuscript.</t>
  </si>
  <si>
    <t>NOV 15</t>
  </si>
  <si>
    <t>10.1016/j.marpolbul.2017.07.010</t>
  </si>
  <si>
    <t>FM9CI</t>
  </si>
  <si>
    <t>WOS:000415391200018</t>
  </si>
  <si>
    <t>Fyke, J; Lenaerts, JTM; Wang, HL</t>
  </si>
  <si>
    <t>Fyke, Jeremy; Lenaerts, Jan T. M.; Wang, Hailong</t>
  </si>
  <si>
    <t>Basin-scale heterogeneity in Antarctic precipitation and its impact on surface mass variability</t>
  </si>
  <si>
    <t>ICE-SHEET; WEST ANTARCTICA; SEA-ICE; SNOW ACCUMULATION; CLIMATE; BALANCE; MODEL; REPRESENTATION; TEMPERATURE; CIRCULATION</t>
  </si>
  <si>
    <t>Annually averaged precipitation in the form of snow, the dominant term of the Antarctic Ice Sheet surface mass balance, displays large spatial and temporal variability. Here we present an analysis of spatial patterns of regional Antarctic precipitation variability and their impact on integrated Antarctic surface mass balance variability simulated as part of a preindustrial 1800-year global, fully coupled Community Earth System Model simulation. Correlation and composite analyses based on this output allow for a robust exploration of Antarctic precipitation variability. We identify statistically significant relationships between precipitation patterns across Antarctica that are corroborated by climate reanalyses, regional modeling and ice core records. These patterns are driven by variability in large-scale atmospheric moisture transport, which itself is characterized by decadal-to centennial-scale oscillations around the long-term mean. We suggest that this heterogeneity in Antarctic precipitation variability has a dampening effect on overall Antarctic surface mass balance variability, with implications for regulation of Antarctic-sourced sea level variability, detection of an emergent anthropogenic signal in Antarctic mass trends and identification of Antarctic mass loss accelerations.</t>
  </si>
  <si>
    <t>[Fyke, Jeremy] Los Alamos Natl Lab, Los Alamos, NM 87545 USA; [Lenaerts, Jan T. M.] Univ Colorado, Dept Atmospher &amp; Ocean Sci, Boulder, CO 80309 USA; [Lenaerts, Jan T. M.] Univ Utrecht, Inst Marine &amp; Atmospher Res, Utrecht, Netherlands; [Wang, Hailong] Pacific Northwest Natl Lab, Richland, WA USA</t>
  </si>
  <si>
    <t>United States Department of Energy (DOE); Los Alamos National Laboratory; University of Colorado System; University of Colorado Boulder; Utrecht University; United States Department of Energy (DOE); Pacific Northwest National Laboratory</t>
  </si>
  <si>
    <t>Fyke, J (corresponding author), Los Alamos Natl Lab, Los Alamos, NM 87545 USA.</t>
  </si>
  <si>
    <t>fyke@lanl.gov</t>
  </si>
  <si>
    <t>Wang, Hailong/AAM-1464-2021; Lenaerts, Jan/D-9423-2012</t>
  </si>
  <si>
    <t>Wang, Hailong/0000-0002-1994-4402; Lenaerts, Jan/0000-0003-4309-4011; Fyke, Jeremy/0000-0002-4522-3019</t>
  </si>
  <si>
    <t>Netherlands Science Organization through the Innovational Research Incentives Scheme Veni; HiLAT project - US Department of Energy, Office of Science Regional and Global Climate Modeling program; Netherlands Science Organization through the Innovational Research Incentives Scheme Veni; HiLAT project - US Department of Energy, Office of Science Regional and Global Climate Modeling program</t>
  </si>
  <si>
    <t>Netherlands Science Organization through the Innovational Research Incentives Scheme Veni; HiLAT project - US Department of Energy, Office of Science Regional and Global Climate Modeling program(United States Department of Energy (DOE)); Netherlands Science Organization through the Innovational Research Incentives Scheme Veni; HiLAT project - US Department of Energy, Office of Science Regional and Global Climate Modeling program(United States Department of Energy (DOE))</t>
  </si>
  <si>
    <t>We thank Christophe Genthon, Hansi Singh, Marika Holland and Nicole Jeffrey for useful feedback. Jeremy Fyke and Hailong Wang are supported in this work by the HiLAT project, funded by the US Department of Energy, Office of Science Regional and Global Climate Modeling program. Jan Lenaerts is supported by the Netherlands Science Organization through the Innovational Research Incentives Scheme Veni. We thank the Community Earth System Model Large Ensemble coordinators for making simulation output available.</t>
  </si>
  <si>
    <t>10.5194/tc-11-2595-2017</t>
  </si>
  <si>
    <t>FM6YN</t>
  </si>
  <si>
    <t>WOS:000415210200001</t>
  </si>
  <si>
    <t>Barrat, JA; Sansjofre, P; Yamaguchi, A; Greenwood, RC; Gillet, P</t>
  </si>
  <si>
    <t>Barrat, Jean-Alix; Sansjofre, Pierre; Yamaguchi, Akira; Greenwood, Richard C.; Gillet, Philippe</t>
  </si>
  <si>
    <t>Carbon isotopic variation in ureilites: Evidence for an early, volatile-rich Inner Solar System</t>
  </si>
  <si>
    <t>carbon isotopes; ureilite; planetary differentiation; volatiles</t>
  </si>
  <si>
    <t>PRESSURE-TEMPERATURE RELATIONSHIPS; ALMAHATA SITTA; PARENT BODY; TERRESTRIAL PLANETS; OXYGEN-ISOTOPE; GENETIC LINK; NOBLE-GASES; NITROGEN; FRACTIONATION; ACHONDRITES</t>
  </si>
  <si>
    <t>We analyzed the C isotopic compositions of 32 unbrecciated ureilites, which represent mantle debris from a now disrupted, C-rich, differentiated body. The delta C-13 values of their C fractions range from -8.48 to +0.11%o. The correlations obtained between delta C-13, delta O-18 and Delta O-17 values and the compositions of the olivine cores, indicate that the ureilite parent body (UPB) accreted from two reservoirs displaying distinct O and C isotopic compositions. The range of Fe/Mg ratios shown by its mantle was not the result of melting processes involving reduction with C (smelting), but was chiefly inherited from the mixing of these two components. Because smelting reactions are pressure-dependent, this result has strong implications for the size of the UPB, and points to a large parent body, at least 690 km in diameter. It demonstrates that C-rich primitive matter distinct from that represented by carbonaceous chondrites was present in some areas of the early inner Solar System, and could have contributed to the growth of the terrestrial planets. We speculate that differentiated, C-rich bodies, or debris produced by their disruption, were an additional source of volatiles during the later accretion stages of the rocky planets, including Earth. (C) 2017 Elsevier B.V. All rights reserved.</t>
  </si>
  <si>
    <t>[Barrat, Jean-Alix; Sansjofre, Pierre] Univ Bretagne Occidentale, UMR CNRS 6538, Lab Geosci Ocean, Pl Nicolas Copernic, F-29280 Plouzane, France; [Barrat, Jean-Alix; Sansjofre, Pierre] Inst Univ Europeen Mer, Pl Nicolas Copernic, F-29280 Plouzane, France; [Yamaguchi, Akira] Natl Inst Polar Res, Tachikawa, Tokyo 1908518, Japan; [Yamaguchi, Akira] Grad Univ Adv Sci, Sch Multidisciplinary Sci, Dept Polar Sci, Tachikawa, Tokyo 1908518, Japan; [Greenwood, Richard C.] Open Univ, Sch Phys Sci, Planetary &amp; Space Sci, Walton Hall, Milton Keynes MK7 6AA, Bucks, England; [Gillet, Philippe] Ecole Polytech Federate Lausanne, Inst Condensed Matter Phys, EPSL, Stn 3, CH-1015 Lausanne, Switzerland</t>
  </si>
  <si>
    <t>Universite de Bretagne Occidentale; Universite de Bretagne Occidentale; Institut Universitaire Europeen de la Mer (IUEM); Research Organization of Information &amp; Systems (ROIS); National Institute of Polar Research (NIPR) - Japan; Open University - UK</t>
  </si>
  <si>
    <t>Barrat, JA (corresponding author), Univ Bretagne Occidentale, UMR CNRS 6538, Lab Geosci Ocean, Pl Nicolas Copernic, F-29280 Plouzane, France.;Barrat, JA (corresponding author), Inst Univ Europeen Mer, Pl Nicolas Copernic, F-29280 Plouzane, France.</t>
  </si>
  <si>
    <t>barrat@univ-brest.fr</t>
  </si>
  <si>
    <t>Sansjofre, Pierre/KDO-1176-2024; IMPMC, ROCKS @/U-8478-2017; Barrat, Jean Alix/C-8416-2017</t>
  </si>
  <si>
    <t>Barrat, Jean Alix/0000-0003-3158-3109</t>
  </si>
  <si>
    <t>NSF; NASA; Programme National de Planetologie (CNRS-INSU); STFC [ST/P000657/1] Funding Source: UKRI</t>
  </si>
  <si>
    <t>NSF(National Science Foundation (NSF)); NASA(National Aeronautics &amp; Space Administration (NASA)); Programme National de Planetologie (CNRS-INSU)(Centre National de la Recherche Scientifique (CNRS)); STFC(UK Research &amp; Innovation (UKRI)Science &amp; Technology Facilities Council (STFC))</t>
  </si>
  <si>
    <t>Some of the ureilites from the Sahara were kindly provided by Bruno and Carine Fectay, and Peter Marmet. Samples from Antarctica were kindly provided by the Meteorite Working Group (NASA) and the National Institute of Polar Research, Tokyo.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We are grateful to Pierre Cartigny for sharing the IPGP in-house graphite standard, Albert Jambon and Cyrena Goodrich for their comments made on a previous version of this paper, Sasha Verschovsky for discussions on step-heating procedures and Pascale Barrat for her help. We thank Derek Vance for the editorial handling, Paul Warren, James Day and Ed Scott for their helpful and constructive reviews. This work was funded by a grant from the Programme National de Planetologie (CNRS-INSU) to the first author.</t>
  </si>
  <si>
    <t>10.1016/j.epsl.2017.08.039</t>
  </si>
  <si>
    <t>FK3JA</t>
  </si>
  <si>
    <t>WOS:000413380200015</t>
  </si>
  <si>
    <t>Gui, K; Che, HZ; Chen, QL; Zeng, ZL; Liu, HZ; Wang, YQ; Zheng, Y; Sun, TZ; Liao, TT; Wang, H; Zhang, XY</t>
  </si>
  <si>
    <t>Gui, Ke; Che, Huizheng; Chen, Quanliang; Zeng, Zhaoliang; Liu, Haizhi; Wang, Yaqiang; Zheng, Yu; Sun, Tianze; Liao, Tingting; Wang, Hong; Zhang, Xiaoye</t>
  </si>
  <si>
    <t>Evaluation of radiosonde, MODIS-NIR-Clear, and AERONET precipitable water vapor using IGS ground-based GPS measurements over China</t>
  </si>
  <si>
    <t>ATMOSPHERIC RESEARCH</t>
  </si>
  <si>
    <t>Precipitable water vapor; GPS; Radiosonde; MODIS; AERONET</t>
  </si>
  <si>
    <t>MICROWAVE RADIOMETER; TIBETAN PLATEAU; NETWORK; TEMPERATURE; AEROSOL; RETRIEVALS; VALIDATION; PRODUCTS; TRENDS; CLIMATOLOGY</t>
  </si>
  <si>
    <t>Water vapor is one of the major greenhouse gases in the atmosphere and also the key parameter affecting the hydrological cycle, aerosol properties, aerosol-cloud interactions, the energy budget, and the climate. This study analyzed the temporal and spatial distribution of precipitable water vapor (PWV) in China using MODerate resolution Imaging Spectroradiometer near-infrared (MODIS-NIR)-Clear PWV products from 2011 to 2013. We then compared the four PWV products (Global Positioning System PWV (GPS-PWV), radiosonde PWV (RS-PWV), MODIS-NIR-Clear PWV, and Aerosol Robotic Network sunphotometer PWV (AERONET-PWV)) at six typical sites in China from 2011 to 2013. The analysis of the temporal and spatial distribution showed that the PWV distribution in China has clear geographical differences, and its basic distribution characteristics gradually change from the coast in the southeast to inland in the northwest. Affected by the East Asian monsoon, the PWV over China showed clear seasonal distribution features, with highest values in the summer, followed by autumn and spring, and the lowest values in winter. Intercomparison results showed that GPS-PWV and RS-PWV had a slightly higher correlation (R-2 = 0.975) at 0000 UTC than that at 1200 UTC (R-2 = 0.967). The mean values of Bias, SD, and RMSE between GPS-PWV and RS-PWV (GPS-RS) were 0.03 nun, 2.36 mm, and 2.60 mm at 0000 UTC, and -0.23 nun, 2.76 mm, and 2.95 nun at 1200 UTC, respectively. This showed that GPS-PWV was slightly lower than RS-PWV, and this difference was more obvious during the nighttime. The MODIS-NIR-Clear PWV product showed a similar correlation coefficient (R-2 = 0.88) with GPS-PWV compared with RS-PWV. In addition, MODIS-NIR-Clear PWV was greater than GPS-PWV and RS-PWV. The MODIS-NIR-Clear PWV showed a larger deviation from GPS-PWV (MODIS-GPS Bias = 1.50 mm, RMSE = 5.76 mm) compared with RS PWV (MODIS-RS Bias = 0.75 mm, RMSE = 5.31 mm). The correlation coefficients between AERONET-PWV and the PWV from GPS, RS, and MODIS-NIR-Clear were 0.970, 0.963, and 0.923 (with RMSE of 2.53 mm, 3.67 nun, and 4.39 mm), respectively. In the Beijing area, the overall mean bias of the AERONET-PWV product with GPS-PWV, RS-PWV and MODIS-NIR-Clear PWV was -0.09 mm, -1.82 mm, and -1.54 mm, respectively, which shows that the AERONET-PWV product was lower than the other three PWV products.</t>
  </si>
  <si>
    <t>[Gui, Ke; Che, Huizheng; Wang, Yaqiang; Zheng, Yu; Sun, Tianze; Wang, Hong; Zhang, Xiaoye] CMA, Chinese Acad Meteorol Sci, State Key Lab Severe Weather LASW, Beijing 100081, Peoples R China; [Gui, Ke; Che, Huizheng; Wang, Yaqiang; Zheng, Yu; Sun, Tianze; Wang, Hong; Zhang, Xiaoye] CMA, Chinese Acad Meteorol Sci, Inst Atmospher Composit, Beijing 100081, Peoples R China; [Gui, Ke; Sun, Tianze] Univ Chinese Acad Sci, Coll Earth Sci, Beijing 100049, Peoples R China; [Chen, Quanliang; Liao, Tingting] Chengdu Univ Informat Technol, Coll Atmospher Sci, Plateau Atmospher &amp; Environm Lab Sichuan Prov, Chengdu 610225, Sichuan, Peoples R China; [Zeng, Zhaoliang] Wuhan Univ, Chinese Antarctic Ctr Surveying &amp; Mapping, Wuhan 430079, Hubei, Peoples R China; [Liu, Haizhi] CMA, Natl Meteorol Ctr, Beijing 100081, Peoples R China; [Zheng, Yu] Nanjing Univ Informat Sci &amp; Technol, China Meteorol Adm, Key Lab Aerosol Cloud Precipitat, Nanjing 210044, Jiangsu, Peoples R China</t>
  </si>
  <si>
    <t>China Meteorological Administration; Chinese Academy of Meteorological Sciences (CAMS); China Meteorological Administration; Chinese Academy of Meteorological Sciences (CAMS); Chinese Academy of Sciences; University of Chinese Academy of Sciences, CAS; Chengdu University of Information Technology; Wuhan University; China Meteorological Administration; China Meteorological Administration; Nanjing University of Information Science &amp; Technology</t>
  </si>
  <si>
    <t>Che, HZ (corresponding author), CMA, Chinese Acad Meteorol Sci, State Key Lab Severe Weather LASW, Beijing 100081, Peoples R China.;Che, HZ (corresponding author), CMA, Chinese Acad Meteorol Sci, Inst Atmospher Composit, Beijing 100081, Peoples R China.</t>
  </si>
  <si>
    <t>chehz@camscma.cn</t>
  </si>
  <si>
    <t>Wang, Hong/AAI-4765-2020; Zheng, Yu/AGI-0869-2022; Gui, Ke/F-6377-2016; Zeng, Zhaoliang/AAV-8359-2021; Wang, Yaqiang/ADG-8040-2022; Che, Huizheng/N-1645-2019; CHE, Huizheng/B-1354-2014</t>
  </si>
  <si>
    <t>Zheng, Yu/0000-0002-5991-8014; Gui, Ke/0000-0002-8444-9547; CHE, Huizheng/0000-0002-9458-3387; Zeng, Zhaoliang/0000-0002-9108-8575</t>
  </si>
  <si>
    <t>National Key R &amp; D Program Pilot Projects of China [2016YFA0601901]; National Natural Science Foundation of China [41590874, 41375153, 91537214]; CAMS Basis Research Project [2016Z001, 2014R17]; Climate Change Special Fund of CMA [CCSF201504]</t>
  </si>
  <si>
    <t>National Key R &amp; D Program Pilot Projects of China; National Natural Science Foundation of China(National Natural Science Foundation of China (NSFC)); CAMS Basis Research Project; Climate Change Special Fund of CMA</t>
  </si>
  <si>
    <t>This work was supported by grant from National Key R &amp; D Program Pilot Projects of China (2016YFA0601901), National Natural Science Foundation of China (41590874 &amp; 41375153 &amp; 91537214) the CAMS Basis Research Project (2016Z001 &amp; 2014R17), the Climate Change Special Fund of CMA (CCSF201504).</t>
  </si>
  <si>
    <t>0169-8095</t>
  </si>
  <si>
    <t>1873-2895</t>
  </si>
  <si>
    <t>ATMOS RES</t>
  </si>
  <si>
    <t>Atmos. Res.</t>
  </si>
  <si>
    <t>10.1016/j.atmosres.2017.07.021</t>
  </si>
  <si>
    <t>FI8KE</t>
  </si>
  <si>
    <t>WOS:000412250700038</t>
  </si>
  <si>
    <t>Niu, HW; Kang, SC; Zhang, YL; Shi, XY; Shi, XF; Wang, SJ; Li, G; Yan, XG; Pu, T; He, YQ</t>
  </si>
  <si>
    <t>Niu, Hewen; Kang, Shichang; Zhang, Yulan; Shi, Xiaoyi; Shi, Xiaofei; Wang, Shijin; Li, Gang; Yan, Xingguo; Pu, Tao; He, Yuanqing</t>
  </si>
  <si>
    <t>Distribution of light-absorbing impurities in snow of glacier on Mt. Yulong, southeastern Tibetan Plateau</t>
  </si>
  <si>
    <t>Albedo; Black carbon; ILAIs; Mt. Yulong; Radiative forcing</t>
  </si>
  <si>
    <t>SECONDARY ORGANIC-CARBON; BLACK-CARBON; ELEMENTAL CARBON; ANTARCTIC SNOW; DIRTY SNOW; AEROSOLS; ALBEDO; MATTER; DEPOSITION; SUMMIT</t>
  </si>
  <si>
    <t>Insoluble light-absorbing impurities (ILAIs) in surface snow of glacier reduce snow albedo and accelerate glacier melt. In order to assess effects of ILAIs on glacier melt, we present the first results from field measurements of ILAIs, including black carbon (BC) and dust in snowpacks of glacier on Mt. Yulong, southeastern Tibetan Plateau (TP). Amplification factors because of snow melt were calculated for BC and dust concentrations in surface snow, and melt scavenging rates, effects of ILAIs on snow spectral albedo, and associated radiative forcing (RF) were estimated. Melt amplification generally appeared to be confined to the top few centimeters of the snowpack, and our results indicated that BC was more efficiently scavenged with meltwater than the other insoluble light absorbers (e.g., dust). Absorbing impurities reduced snow spectral albedo more with larger particulate grain radius (r(e)). Spectral albedo reduction was investigated using the SNow ICe Aerosol Radiative (SNICAR) model. Albedo reduction for 1200 ng g(-1) of BC in Mt. Yulong snow was 0.075 for snow with r(e) = 500 compared with r(e) = 200 mu m. If dust (51.37 ppm) was the only impurity in the snowpack, the spectral albedo reduction would be only 0.03, and the associated RF was 42.76 W m(-2). For a BC and dust mixed scenario, the spectral albedo was substantially reduced (0.11 +/- 0.03), and the associated RF (145.23 W m(-2)) was more than three times larger than that for the dust-only scenario. BC in snow is an active factor controlling snow albedo and snow-ice RF. Further observational studies are needed to quantify the contribution of BC and dust to albedo reduction and glacier melt and to characterize the variation of glacier RF.</t>
  </si>
  <si>
    <t>[Niu, Hewen; Kang, Shichang; Zhang, Yulan; Wang, Shijin; Pu, Tao; He, Yuanqing] Chinese Acad Sci, Northwest Inst Ecoenvironm &amp; Resources, State Key Lab Cryospher Sci, Lanzhou 730000, Gansu, Peoples R China; [Niu, Hewen] Nanjing Univ Informat Sci &amp; Technol, Jiangsu Key Lab Atmospher Environm Monitoring &amp; P, Nanjing 210044, Jiangsu, Peoples R China; [Kang, Shichang] CAS Ctr Excellence Tibetan Plateau Earth Sci, Beijing 100101, Peoples R China; [Shi, Xiaofei; Wang, Shijin] Lanzhou Univ, Coll Earth Environm Sci, Lanzhou 730000, Gansu, Peoples R China; [Li, Gang] China Meteorol Adm, Inst Arid Meteorol, Lanzhou 730020, Gansu, Peoples R China; [Yan, Xingguo] Northwest Normal Univ, Coll Geog &amp; Environm Sci, Lanzhou 730030, Gansu, Peoples R China</t>
  </si>
  <si>
    <t>Chinese Academy of Sciences; Nanjing University of Information Science &amp; Technology; Lanzhou University; China Meteorological Administration; Northwest Normal University - China</t>
  </si>
  <si>
    <t>Niu, HW; Kang, SC (corresponding author), 320 Donggang West Rd, Lanzhou 730000, Gansu, Peoples R China.</t>
  </si>
  <si>
    <t>niuhw@lzb.ac.cn; shichang.kang@lzb.ac.cn</t>
  </si>
  <si>
    <t>Yan, xingguo/ITU-3156-2023; Niu, Hewen/AHC-3884-2022; Shi, Xiao/JAN-7908-2023; Kang, Shichang/I-6830-2018</t>
  </si>
  <si>
    <t>Niu, Hewen/0000-0001-7804-217X; Kang, Shichang/0000-0003-2115-9005</t>
  </si>
  <si>
    <t>National Natural Science Foundation of China [41601071, 41421061, 41225002]; Chinese Academy of Sciences (CAS) [KJZD-EW-G03-04]; Light of West China Program [Y62992]; SKLCS [SKLCS-22-2016]; Jiangsu Key Laboratory of Atmospheric Environment Monitoring and Pollution Control [KFK1509]; China Postdoctoral Science Foundation [2015M582725, 2016T90963]; Youth Talent Program of CAREERI CAS [Y551C11001]</t>
  </si>
  <si>
    <t>National Natural Science Foundation of China(National Natural Science Foundation of China (NSFC)); Chinese Academy of Sciences (CAS)(Chinese Academy of Sciences); Light of West China Program; SKLCS; Jiangsu Key Laboratory of Atmospheric Environment Monitoring and Pollution Control; China Postdoctoral Science Foundation(China Postdoctoral Science Foundation); Youth Talent Program of CAREERI CAS</t>
  </si>
  <si>
    <t>This work was supported by the National Natural Science Foundation of China (41601071, 41421061, 41225002), the Chinese Academy of Sciences (CAS) (KJZD-EW-G03-04), the Light of West China Program (Y62992) and the independent program of SKLCS (SKLCS-22-2016), and Jiangsu Key Laboratory of Atmospheric Environment Monitoring and Pollution Control (KFK1509), China Postdoctoral Science Foundation (2015M582725, 2016T90963) and Youth Talent Program of CAREERI CAS (Y551C11001).</t>
  </si>
  <si>
    <t>10.1016/j.atmosres.2017.07.004</t>
  </si>
  <si>
    <t>WOS:000412250700039</t>
  </si>
  <si>
    <t>Pierce, EL; van de Flierdt, T; Williams, T; Hemming, SR; Cook, CP; Passchier, S</t>
  </si>
  <si>
    <t>Pierce, Elizabeth L.; van de Flierdt, Tina; Williams, Trevor; Hemming, Sidney R.; Cook, Carys P.; Passchier, Sandra</t>
  </si>
  <si>
    <t>Evidence for a dynamic East Antarctic ice sheet during the mid-Miocene climate transition</t>
  </si>
  <si>
    <t>East Antarctic ice sheet; mid-Miocene climate transition; Wilkes Subglacial Basin; 40Ar/39Ar thermochronology; detrital provenance; IODP</t>
  </si>
  <si>
    <t>SOUTHERN-OCEAN; SEDIMENT PROVENANCE; MARINE-SEDIMENTS; GAWLER CRATON; ROSS OROGEN; EVOLUTION; PLIOCENE; AGES; ISOTOPE; LAND</t>
  </si>
  <si>
    <t>The East Antarctic ice sheet underwent a major expansion during the Mid-Miocene Climate Transition, around 14 Ma, lowering sea level by similar to 60 m. However, direct or indirect evidence of where changes in the ice sheet occurred is limited. Here we present new insights on timing and locations of ice sheet change from two drill sites offshore East Antarctica. IODP Site U1356, Wilkes Land, and ODP Site 1165, Prydz Bay are located adjacent to two major ice drainage areas, the Wilkes Subglacial Basin and the Lambert Graben. Ice-rafted detritus (IRD), including dropstones, was deposited in concentrations far exceeding those known in the rest of the Miocene succession at both sites between 14.1 and 13.8 Ma, indicating that large amounts of IRD-bearing icebergs were calved from independent drainage basins during this relatively short interval. At Site U1356, the IRD was delivered in distinct pulses, suggesting that the overall ice advance was punctuated by short periods of ice retreat in the Wilkes Subglacial Basin. Provenance analysis of the mid-Miocene IRD and fine-grained sediments provides additional insights on the movement of the ice margin and subglacial geology. At Site U1356, the dominant 40Ar/39Ar thermochronological age of the ice-rafted hornblende grains is 1400-1550 Ma, differing from the majority of recent IRD in the area, from which we infer an inland source area of this thermochronological age extending along the eastern part of the Adelie Craton, which forms the western side of the Wilkes Subglacial Basin. Neodymium isotopic compositions from the terrigenous fine fraction at Site U1356 imply that the ice margin periodically expanded from high ground well into the Wilkes Subglacial Basin during periods of MMCT ice growth. At Site 1165, MMCT pebble-sized IRD are sourced from both the local Lambert Graben and the distant Aurora Subglacial Basin drainage area. Together, the occurrence and provenance of the IRD and glacially-eroded sediment at these two marine drill sites proximal to the Antarctic continent provide a previously undocumented record of dynamic ice margin change during the 14.1-13.8 Ma interval in three major East Antarctic drainage basins. (C) 2017 Elsevier B.V. All rights reserved.</t>
  </si>
  <si>
    <t>[Pierce, Elizabeth L.; Hemming, Sidney R.] Columbia Univ, Dept Earth &amp; Environm Sci, New York, NY 10027 USA; [van de Flierdt, Tina] Imperial Coll London, Dept Earth Sci &amp; Engn, London SW7 2AZ, England; [Williams, Trevor] Texas A&amp;M Univ, Int Ocean Discovery Program, College Stn, TX 77845 USA; [Williams, Trevor; Hemming, Sidney R.] Columbia Univ, Lamont Doherty Earth Observ, Palisades, NY 10964 USA; [Cook, Carys P.] Imperial Coll London, Dept Geol Sci, London SW7 2AZ, England; [Passchier, Sandra] Montclair State Univ, Earth &amp; Environm Studies, Montclair, NJ 07043 USA</t>
  </si>
  <si>
    <t>Columbia University; Imperial College London; Texas A&amp;M University System; Texas A&amp;M University College Station; Columbia University; Imperial College London; Montclair State University</t>
  </si>
  <si>
    <t>Williams, T (corresponding author), Texas A&amp;M Univ, Int Ocean Discovery Program, College Stn, TX 77845 USA.;Williams, T (corresponding author), Columbia Univ, Lamont Doherty Earth Observ, Palisades, NY 10964 USA.</t>
  </si>
  <si>
    <t>trevor@ldeo.columbia.edu</t>
  </si>
  <si>
    <t>Williams, Trevor/L-7670-2014; Passchier, Sandra/AAQ-2243-2021; Passchier, Sandra/GYU-2381-2022</t>
  </si>
  <si>
    <t>Passchier, Sandra/0000-0001-7204-7025; Hemming, Sidney/0000-0001-8117-2303</t>
  </si>
  <si>
    <t>NSF Grant [ANT 09-44489, ANT 538580, ANT 0838842]; Royal Society Grant [IE110878]; NERC [NE/L004607/1, NE/I006257/1, NE/H014144/1, NE/H025162/1]; NERC [NE/L004607/1, NE/H025162/1, NE/H014144/1, NE/I006257/1] Funding Source: UKRI; Natural Environment Research Council [NE/L004607/1, NE/I006257/1, NE/H025162/1, NE/H014144/1] Funding Source: researchfish</t>
  </si>
  <si>
    <t>NSF Grant(National Science Foundation (NSF)); Royal Society Grant(Royal Society);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</si>
  <si>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NSF Grant ANT 09-44489 to TW, TvdF and SRH; NSF Grant ANT 538580 to SRH, TvdF and SLG; NSF Grant ANT 0838842 to SP; Royal Society Grant IE110878 to SRH and TvdF and NERC funding to TvdF (NE/L004607/1, NE/I006257/1, NE/H014144/1, NE/H025162/1). ELP thanks G. Mesko, J. Gombiner, and K. Kreissig for lab assistance. We thank IODP for the Site U1356 and 1165 core samples.</t>
  </si>
  <si>
    <t>10.1016/j.epsl.2017.08.011</t>
  </si>
  <si>
    <t>WOS:000413380200001</t>
  </si>
  <si>
    <t>Choi, H; Kim, SS; Dyment, J; Granot, R; Park, SH; Hong, JK</t>
  </si>
  <si>
    <t>Choi, Hakkyum; Kim, Seung-Sep; Dyment, Jerome; Granot, Roi; Park, Sung-Hyun; Hong, Jong Kuk</t>
  </si>
  <si>
    <t>The kinematic evolution of the Macquarie Plate: A case study for the fragmentation of oceanic lithosphere</t>
  </si>
  <si>
    <t>marine magnetics; tectonics; plate reconstruction; Macquarie Plate</t>
  </si>
  <si>
    <t>TECTONIC EVOLUTION; INTRAPLATE DEFORMATION; EASTER MICROPLATE; FINITE ROTATIONS; PACIFIC; BOUNDARY; RIDGE; MOTION; MODEL; SOUTH</t>
  </si>
  <si>
    <t>The tectonic evolution of the Southeast Indian Ridge (SEIR), and in particular of its easternmost edge, has not been constrained by high-resolution shipboard data, and therefore the kinematic details of its behavior are uncertain. Using new shipboard magnetic data obtained by R/VIB Araon and MTV L'Astrolabe along the easternmost SEIR and available archived magnetic data, we estimated the finite rotation parameters of the Macquarie-Antarctic and Australian-Antarctic motions for eight anomalies (10, 2, 2Ay, 2Ao, 3y, 30, 3Ay, and 3Ao). These new finite rotations indicate that the Macquarie Plate since its creation similar to 6.24 million years ago behaved as an independent and rigid plate, confirming previous estimates. The change in the Australian-Antarctic spreading direction from N-S to NW-SE appears to coincide with the formation of the Macquarie Plate at similar to 6.24 Ma. Analysis of the estimated plate motions indicates that the initiation and growth stages of the Macquarie Plate resemble the kinematic evolution of other microplates and continental breakup, whereby a rapid acceleration in angular velocity took place after its initial formation, followed by a slow decay, suggesting that a decrease in the resistive strength force might have played a significant role in the kinematic evolution of the microplate. The motions of the Macquarie Plate during its growth stages may have been further enhanced by the increased subducting rates along the Hjort Trench, while the Macquarie Plate has exhibited constant growth by seafloor spreading. (C) 2017 Elsevier B.V. All rights reserved.</t>
  </si>
  <si>
    <t>[Choi, Hakkyum; Park, Sung-Hyun; Hong, Jong Kuk] Korea Polar Res Inst, Incheon 21990, South Korea; [Choi, Hakkyum; Kim, Seung-Sep] Chungnam Natl Univ, Dept Astron Space Sci &amp; Geol, Daejeon 34134, South Korea; [Dyment, Jerome] Univ Paris Diderot, Sorbonne Paris Cite, Inst Phys Globe Paris, CNRS UMR 7154, F-75005 Paris, France; [Granot, Roi] Ben Gurion Univ Negev, Dept Geol &amp; Environm Sci, IL-84105 Beer Sheva, Israel</t>
  </si>
  <si>
    <t>Korea Polar Research Institute (KOPRI); Chungnam National University; Universite Paris Cite; Centre National de la Recherche Scientifique (CNRS); CNRS - National Institute for Earth Sciences &amp; Astronomy (INSU); Ben Gurion University</t>
  </si>
  <si>
    <t>Kim, SS (corresponding author), Chungnam Natl Univ, Dept Astron Space Sci &amp; Geol, Daejeon 34134, South Korea.</t>
  </si>
  <si>
    <t>seungsep@cnu.ac.kr</t>
  </si>
  <si>
    <t>Kim, Seung-Sep/AAI-8606-2020; Granot, Roi/F-4555-2012</t>
  </si>
  <si>
    <t>Granot, Roi/0000-0001-5366-188X; Kim, Seung-Sep/0000-0001-8963-1332; Choi, Hakkyum/0000-0001-9440-3369</t>
  </si>
  <si>
    <t>Korea Polar Research Institute [PE17050]; National Research Foundation (NRF) - Ministry of Science, ICT and Future Planning [NRF-2013R1A1A1076071]; Ministry of Education, Korea [NRF-2017R1D1A1A02018632]</t>
  </si>
  <si>
    <t>Korea Polar Research Institute(Korea Polar Research Institute of Marine Research Placement (KOPRI)); National Research Foundation (NRF) - Ministry of Science, ICT and Future Planning(National Research Foundation of KoreaMinistry of Science, ICT &amp; Future Planning, Republic of Korea); Ministry of Education, Korea(Ministry of Education (MOE), Republic of Korea)</t>
  </si>
  <si>
    <t>We thank the captains and crews of the R/VIB Araon and M/V L'Astrolabe for their efforts during the cruises. This study was supported by PE17050, funded by the Korea Polar Research Institute. SSK acknowledges support from the National Research Foundation (NRF) grant NRF-2013R1A1A1076071 funded by the Ministry of Science, ICT and Future Planning, and grant NRF-2017R1D1A1A02018632 funded by the Ministry of Education, Korea. We thank the editor Peter Shearer and two anonymous reviewers for their thorough and constructive comments that improved the manuscript greatly.</t>
  </si>
  <si>
    <t>10.1016/j.epsl.2017.08.035</t>
  </si>
  <si>
    <t>WOS:000413380200014</t>
  </si>
  <si>
    <t>Chernonozhkin, SM; Weyrauch, M; Goderis, S; Oeser, M; McKibbin, SJ; Horn, I; Hecht, L; Weyer, S; Claeys, P; Vanhaecke, F</t>
  </si>
  <si>
    <t>Chernonozhkin, Stepan M.; Weyrauch, Mona; Goderis, Steven; Oeser, Martin; McKibbin, Seann J.; Horn, Ingo; Hecht, Lutz; Weyer, Stefan; Claeys, Philippe; Vanhaecke, Frank</t>
  </si>
  <si>
    <t>Thermal equilibration of iron meteorite and pallasite parent bodies recorded at the mineral scale by Fe and Ni isotope systematics</t>
  </si>
  <si>
    <t>Pallasites; Iron meteorites; Fe and Ni stable isotope ratios; Core formation; Schreibersite</t>
  </si>
  <si>
    <t>PLASMA-MASS SPECTROMETRY; MC-ICP-MS; FEMTOSECOND LASER-ABLATION; IN-SITU; PLANETARY DIFFERENTIATION; WIDMANSTATTEN PATTERN; TERRESTRIAL PLANETS; FRACTIONATION; NICKEL; DIFFUSION</t>
  </si>
  <si>
    <t>In this work, a femtosecond laser ablation (LA) system coupled to a multi-collector inductively coupled plasma-mass spectrometer (fs-LA-MC-ICP-MS) was used to obtain laterally resolved (30-80 mu m), high-precision combined Ni and Fe stable isotope ratio data for a variety of mineral phases (olivine, kamacite, taenite, schreibersite and troilite) composing main group pallasites (PMG) and iron meteorites. The stable isotopic signatures of Fe and Ni at the mineral scale, in combination with the factors governing the kinetic or equilibrium isotope fractionation processes, are used to interpret the thermal histories of small differentiated asteroidal bodies. As Fe isotopic zoning is only barely resolvable within the internal precision level of the isotope ratio measurements within a single olivine in Esquel PMG, the isotopically lighter olivine core relative to the rim (Delta Fe-56/54(rim-core)-0.059 parts per thousand) suggests that the olivines were largely thermally equilibrated. The observed hint of an isotopic and concentration gradient for Fe of crudely similar width is interpreted here to reflect Fe loss from olivine in the process of partial reduction of the olivine rim. The ranges of the determined Fe and Ni isotopic signatures of troilite (delta Fe-56/54 of -0.66 to -0.09 parts per thousand) and schreibersite (delta Fe-56/54 of -0.48 to -0.09 parts per thousand, and delta Ni-62/60 of -0.64 to +0.29 parts per thousand) may result from thermal equilibration. Schreibersite and troilite likely remained in equilibrium with their enclosing metal to temperatures significantly below their point of crystallization. The Ni isotopic signatures of bulk metal and schreibersite correlate negatively, with isotopically lighter Ni in the metal of PMGs and isotopically heavier Ni in the metal of the iron meteorites analyzed. As such, the light Ni isotopic signatures previously observed in PMG metal relative to chondrites may not result from heterogeneity in the Solar Nebula, but rather reflect fractionation in the metal-schreibersite system. Comparison between the isotope ratio profiles of Fe and Ni determined across kamacite-taenite interfaces (Delta Fe-56/54(kam-tae) = -0.51 to -0.69 parts per thousand and Delta Ni-62/60(kam-tae) = + 1.59 to + 2.50 parts per thousand) and theoretical taenite sub-solidus diffusive isotopic zoning broadly constrain the cooling rates of Esquel, CMS 04071 PMGs and Udei Station IAB to between similar to 25 and 500 degrees C/Myr. (C) 2017 Elsevier Ltd. All rights reserved.</t>
  </si>
  <si>
    <t>[Chernonozhkin, Stepan M.; Goderis, Steven; Vanhaecke, Frank] Univ Ghent, Dept Analyt Chem, Campus Sterre,Krijgslaan 281-S12, B-9000 Ghent, Belgium; [Chernonozhkin, Stepan M.; Goderis, Steven; McKibbin, Seann J.; Claeys, Philippe] Vrije Univ Brussel, Analyt Environm &amp; Geochem, Pl Laan 2, B-1050 Brussels, Belgium; [Weyrauch, Mona; Oeser, Martin; Horn, Ingo; Weyer, Stefan] Leibniz Univ Hannover, Inst Mineral, Callinstr 3, D-30167 Hannover, Germany; [Hecht, Lutz] Leibniz Inst Evolut &amp; Biodivers Sci, Museum Nat Kunde, Invalidenstr 43, D-10115 Berlin, Germany</t>
  </si>
  <si>
    <t>Ghent University; Vrije Universiteit Brussel; Leibniz University Hannover; Leibniz Institut fur Evolutions und Biodiversitatsforschung</t>
  </si>
  <si>
    <t>Goderis, S (corresponding author), Vrije Univ Brussel, Analyt Environm &amp; Geochem, Pl Laan 2, B-1050 Brussels, Belgium.</t>
  </si>
  <si>
    <t>Steven.Goderis@vub.be</t>
  </si>
  <si>
    <t>Vanhaecke, Frank/AAO-4582-2020; Weyer, Stefan/AAA-8827-2020; Goderis, Steven/F-9908-2011; (VUB), VRIJE UNIVERSITEIT BRUSSEL/B-4895-2008</t>
  </si>
  <si>
    <t>Vanhaecke, Frank/0000-0002-1884-3853; Goderis, Steven/0000-0002-6666-7153; (VUB), VRIJE UNIVERSITEIT BRUSSEL/0000-0002-4585-7687; Oeser-Rabe, Martin/0000-0002-0476-7802; Chernonozhkin, Stepan/0000-0003-4521-0805; Hecht, Lutz/0000-0001-8904-0217</t>
  </si>
  <si>
    <t>'Planet Topers' Interuniversity Attraction Poles Program; Belgian Science Policy Office; DFG priority program The first 10 Million years of the Solar System [SPP-1385]; NSF; NASA; FWO-Hercules foundation</t>
  </si>
  <si>
    <t>'Planet Topers' Interuniversity Attraction Poles Program; Belgian Science Policy Office(Belgian Federal Science Policy Office); DFG priority program The first 10 Million years of the Solar System; NSF(National Science Foundation (NSF)); NASA(National Aeronautics &amp; Space Administration (NASA)); FWO-Hercules foundation</t>
  </si>
  <si>
    <t>This research project has been funded by the 'Planet Topers' Interuniversity Attraction Poles Program initiated by the Belgian Science Policy Office. Steven Goderis and Seann J. McKibbin are postdoctoral fellows of the Research Foundation - Flanders. Mona Weyrauch and Stefan Weyer thank for funding by the DFG priority program The first 10 Million years of the Solar System (SPP-1385). US Antarctic meteorite samples are recovered by the Antarctic Search for Meteorites program, which has been funded by NSF and NASA, and characterized and curated by the Department of Mineral Sciences of the Smithsonian Institution and Astromaterials Curation Office at NASA Johnson Space Center. The Research School of Earth Sciences, Australian National University, is thanked for providing an additional pallasite sample. The iron meteorites were kindly donated by Felix P. Lesnov (IGM SB RAS). The FWO-Hercules foundation supported the acquisition of the mu XRF instrumentation. The authors acknowledge constructive comments by three anonymous reviewers and associate editor Nicolas Dauphas (University of Chicago).</t>
  </si>
  <si>
    <t>10.1016/j.gca.2017.08.022</t>
  </si>
  <si>
    <t>FH7JD</t>
  </si>
  <si>
    <t>WOS:000411362000006</t>
  </si>
  <si>
    <t>Lague, SL; Chua, B; Alza, L; Scott, GR; Frappell, PB; Zhong, Y; Farrell, AP; McCracken, KG; Wang, YX; Milsom, WK</t>
  </si>
  <si>
    <t>Lague, Sabine L.; Chua, Beverly; Alza, Luis; Scott, Graham R.; Frappell, Peter B.; Zhong, Yang; Farrell, Anthony P.; McCracken, Kevin G.; Wang, Yuxiang; Milsom, William K.</t>
  </si>
  <si>
    <t>Divergent respiratory and cardiovascular responses to hypoxia in bar-headed geese and Andean birds</t>
  </si>
  <si>
    <t>Altitude; Ventilation; Cardiac output; Metabolism; Goose; Duck</t>
  </si>
  <si>
    <t>HIGH-ALTITUDE TIBETANS; HEMOGLOBIN CONCENTRATION; BOLIVIAN AYMARA; ANSER-INDICUS; ADAPTATION; GOOSE; WATERFOWL; HIMALAYAS; NATIVES; FLIGHT</t>
  </si>
  <si>
    <t>Many high-altitude vertebrates have evolved increased capacities in their oxygen transport cascade (ventilation, pulmonary diffusion, circulation and tissue diffusion), enhancing oxygen transfer from the atmosphere to mitochondria. However, the extent of interspecies variation in the control processes that dictate hypoxia responses remains largely unknown. We compared the metabolic, cardiovascular and respiratory responses to progressive decreases in inspired oxygen levels of bar-headed geese (Anser indicus), birds that biannually migrate across the Himalayan mountains, with those of Andean geese (Chloephaga melanoptera) and crested ducks (Lophonetta specularioides), lifelong residents of the high Andes. We show that Andean geese and crested ducks have evolved fundamentally different mechanisms for maintaining oxygen supply during low oxygen (hypoxia) from those of bar-headed geese. Bar-headed geese respond to hypoxia with robust increases in ventilation and heart rate, whereas Andean species increase lung oxygen extraction and cardiac stroke volume. We propose that transient high-altitude performance has favoured the evolution of robust convective oxygen transport recruitment in hypoxia, whereas life-long high-altitude residency has favoured the evolution of structural enhancements to the lungs and heart that increase lung diffusion and stroke volume.</t>
  </si>
  <si>
    <t>[Lague, Sabine L.; Chua, Beverly; Farrell, Anthony P.; Milsom, William K.] Univ British Columbia, Dept Zool, 4200-6270 Univ Blvd, Vancouver, BC V6T 1Z4, Canada; [Alza, Luis; McCracken, Kevin G.] Univ Miami, Rosenstiel Sch Marine &amp; Atmospher Sci, Dept Biol, Coral Gables, FL 33146 USA; [Alza, Luis; McCracken, Kevin G.] Univ Miami, Rosenstiel Sch Marine &amp; Atmospher Sci, Dept Marine Biol &amp; Ecol, Coral Gables, FL 33146 USA; [Alza, Luis; McCracken, Kevin G.] Univ Alaska Fairbanks, Inst Arctic Biol, Fairbanks, AK 99775 USA; [Alza, Luis; McCracken, Kevin G.] Univ Alaska Fairbanks, Univ Alaska Museum, Fairbanks, AK 99775 USA; [Alza, Luis] Ctr Ornitol &amp; Biodiversidad, Dept Ornithol, Lima, Peru; [Scott, Graham R.] McMaster Univ, Dept Biol, 1280 Main St West, Hamilton, ON L8S 4K1, Canada; [Frappell, Peter B.] Univ Tasmania, Inst Marine &amp; Antarctic Studies, Hobart, Tas 7001, Australia; [Zhong, Yang] Tibet Univ, Inst Biodivers Sci, Lhasa 850000, Peoples R China; [Zhong, Yang] Tibet Univ, Inst High Altitude Med, Lhasa 850000, Peoples R China; [Zhong, Yang] Fudan Univ, Sch Life Sci, Shanghai 200433, Peoples R China; [Farrell, Anthony P.] Univ British Columbia, Fac Land &amp; Food Syst, 2357 Main Mall, Vancouver, BC V6T 1Z4, Canada; [Wang, Yuxiang] Queens Univ, Dept Biol, Kingston, ON K7L 3N6, Canada</t>
  </si>
  <si>
    <t>University of British Columbia; University of Miami; University of Miami; University of Alaska System; University of Alaska Fairbanks; University of Alaska System; University of Alaska Fairbanks; McMaster University; University of Tasmania; Tibet University; Tibet University; Fudan University; University of British Columbia; Queens University - Canada</t>
  </si>
  <si>
    <t>Lague, SL (corresponding author), Univ British Columbia, Dept Zool, 4200-6270 Univ Blvd, Vancouver, BC V6T 1Z4, Canada.</t>
  </si>
  <si>
    <t>lague@zoology.ubc.ca</t>
  </si>
  <si>
    <t>Alza, Luis A/JJC-8284-2023; Milsom, William K/D-2977-2012</t>
  </si>
  <si>
    <t>Alza, Luis A/0000-0002-5926-4460; Lague, Sabine/0000-0002-8724-7297; McCracken, Kevin/0000-0002-1477-8839</t>
  </si>
  <si>
    <t>Natural Sciences and Engineering Research Council of Canada; Canada Research Chair; Natural Sciences and Engineering Research Council of Canada Vanier Canada; University of British Columbia; National Science Foundation [IOS-0949439]; McMaster University; Canadian Innovation Foundation; National Natural Science Foundation of China; Ministry of Education</t>
  </si>
  <si>
    <t>Natural Sciences and Engineering Research Council of Canada(Natural Sciences and Engineering Research Council of Canada (NSERC)CGIAR); Canada Research Chair(Natural Resources CanadaCanadian Forest ServiceCanada Research Chairs); Natural Sciences and Engineering Research Council of Canada Vanier Canada(Natural Sciences and Engineering Research Council of Canada (NSERC)); University of British Columbia; National Science Foundation(National Science Foundation (NSF)); McMaster University; Canadian Innovation Foundation; National Natural Science Foundation of China(National Natural Science Foundation of China (NSFC)); Ministry of Education</t>
  </si>
  <si>
    <t>Our research was supported by Natural Sciences and Engineering Research Council of Canada Discovery Grants to W.K.M and A.P.F. A.P.F. also holds a Canada Research Chair. S.L.L. was supported by a Natural Sciences and Engineering Research Council of Canada Vanier Canada Graduate Scholarship and an Izaak Walton Killam Memorial Doctoral Scholarship awarded by the University of British Columbia. K.G.M. was supported by the National Science Foundation (IOS-0949439). G.R.S. was supported by a Natural Sciences and Engineering Research Council of Canada Discovery Grant and by McMaster University, and holds a Canada Research Chair. Y.S.W. was supported by a Natural Sciences and Engineering Research Council of Canada Discovery Grant, the Canadian Innovation Foundation and research awards from the National Natural Science Foundation of China and Ministry of Education.</t>
  </si>
  <si>
    <t>10.1242/jeb.168799</t>
  </si>
  <si>
    <t>FM8KA</t>
  </si>
  <si>
    <t>WOS:000415334800017</t>
  </si>
  <si>
    <t>Qin, Y; Pang, XP; Zhao, X; Liu, HY; Ren, F; Bi, C; Zhang, DJ; Wu, J</t>
  </si>
  <si>
    <t>Qin, Yu; Pang, Xiaoping; Zhao, Xi; Liu, Haiyan; Ren, Fu; Bi, Ce; Zhang, Dongjie; Wu, Jing</t>
  </si>
  <si>
    <t>Visualization of pesticide residue data</t>
  </si>
  <si>
    <t>JOURNAL OF MAPS</t>
  </si>
  <si>
    <t>Thematic map; pesticide residue; standardized design; map language</t>
  </si>
  <si>
    <t>Compared to common data presentation methods such as tables and diagrams, thematic maps have the advantage of directly presenting complex, multidimensional spatial data. In this study, over 500 thematic maps are planned that present pesticide residue data from the inspection of fruit and vegetable samples. The data contain information on the samples, pesticides, sampling locations, maximum residue limits and inspection. Different calculation strategies are used to transform the original data into highly integrated data for cartography based on the demand investigation. During the map design process, standardized design should be used to ensure rigorous and consistent display of cartographic symbols. Two of the maps are used as examples to explain the data processing and map design procedures. The process can be used on all maps in this study and on more complex data.</t>
  </si>
  <si>
    <t>[Qin, Yu; Pang, Xiaoping; Ren, Fu; Bi, Ce; Zhang, Dongjie; Wu, Jing] Wuhan Univ, Sch Resource &amp; Environm Sci, Wuhan, Hubei, Peoples R China; [Pang, Xiaoping; Zhao, Xi; Liu, Haiyan] Wuhan Univ, Chinese Antarctic Ctr Surveying &amp; Mapping, 129 Luoyu Rd, Wuhan 430079, Hubei, Peoples R China; [Bi, Ce] NavInfo Co Ltd, Beijing, Peoples R China</t>
  </si>
  <si>
    <t>Zhao, X (corresponding author), Wuhan Univ, Chinese Antarctic Ctr Surveying &amp; Mapping, 129 Luoyu Rd, Wuhan 430079, Hubei, Peoples R China.</t>
  </si>
  <si>
    <t>xi.zhao@whu.edu.cn</t>
  </si>
  <si>
    <t>1744-5647</t>
  </si>
  <si>
    <t>J MAPS</t>
  </si>
  <si>
    <t>J. Maps</t>
  </si>
  <si>
    <t>10.1080/17445647.2017.1400477</t>
  </si>
  <si>
    <t>Geography; Geography, Physical</t>
  </si>
  <si>
    <t>Geography; Physical Geography</t>
  </si>
  <si>
    <t>FR1SY</t>
  </si>
  <si>
    <t>WOS:000418848800001</t>
  </si>
  <si>
    <t>Hu, L; Wu, XF; Andreoni, I; Ashley, MCB; Cooke, J; Cui, XQ; Du, FJ; Dai, ZG; Gu, BZ; Hu, Y; Lu, HP; Li, XY; Li, ZY; Liang, ES; Liu, LD; Ma, B; Shang, ZH; Sun, TR; Suntzeff, NB; Tao, C; Uddin, SA; Wang, LF; Wang, XF; Wen, HK; Xiao, D; Xu, J; Yang, J; Yang, SH; Yuan, XY; Zhou, HY; Zhang, H; Zhou, JL; Zhu, ZH</t>
  </si>
  <si>
    <t>Hu, Lei; Wu, Xuefeng; Andreoni, Igor; Ashley, Michael C. B.; Cooke, Jeff; Cui, Xiangqun; Du, Fujia; Dai, Zigao; Gu, Bozhong; Hu, Yi; Lu, Haiping; Li, Xiaoyan; Li, Zhengyang; Liang, Ensi; Liu, Liangduan; Ma, Bin; Shang, Zhaohui; Sun, Tianrui; Suntzeff, N. B.; Tao, Charling; Uddin, Syed A.; Wang, Lifan; Wang, Xiaofeng; Wen, Haikun; Xiao, Di; Xu, Jin; Yang, Ji; Yang, Shihai; Yuan, Xiangyan; Zhou, Hongyan; Zhang, Hui; Zhou, Jilin; Zhu, Zonghong</t>
  </si>
  <si>
    <t>Optical observations of LIGO source GW 170817 by the Antarctic Survey Telescopes at Dome A, Antarctica</t>
  </si>
  <si>
    <t>SCIENCE BULLETIN</t>
  </si>
  <si>
    <t>Gravitational waves; Binary neutron stars; Gamma-ray bursts</t>
  </si>
  <si>
    <t>SITE</t>
  </si>
  <si>
    <t>The LIGO detection of gravitational waves (GW) from merging black holes in 2015 marked the beginning of a new era in observational astronomy. The detection of an electromagnetic signal from a GW source is the critical next step to explore in detail the physics involved. The Antarctic Survey Telescopes (AST3), located at Dome A, Antarctica, is uniquely situated for rapid response time-domain astronomy with its continuous night-time coverage during the austral winter. We report optical observations of the GW source (GW 170817) in the nearby galaxy NGC 4993 using AST3. The data show a rapidly fading transient at around 1 day after the GW trigger, with the i-band magnitude declining from 17.23 +/- 0.13 magnitude to 17.72 +/- 0.09 magnitude in similar to 1.8 h. The brightness and time evolution of the optical transient associated with GW 170817 are broadly consistent with the predictions of models involving merging binary neutron stars. We infer from our data that the merging process ejected about similar to 10(-2) solar mass of radioactive material at a speed of up to 30% the speed of light. (C) 2017 Science China Press. Published by Elsevier B.V. and Science China Press. All rights reserved.</t>
  </si>
  <si>
    <t>[Hu, Lei; Wu, Xuefeng; Sun, Tianrui; Uddin, Syed A.; Wang, Lifan; Yang, Ji] Chinese Acad Sci, Purple Mt Observ, Nanjing 210008, Jiangsu, Peoples R China; [Hu, Lei; Wu, Xuefeng; Cui, Xiangqun; Hu, Yi; Ma, Bin; Shang, Zhaohui; Sun, Tianrui; Uddin, Syed A.; Wang, Lifan; Yuan, Xiangyan] Chinese Ctr Antarctic Astron, Nanjing 210008, Jiangsu, Peoples R China; [Hu, Lei; Wu, Xuefeng] Univ Sci &amp; Technol China, Sch Astron &amp; Space Sci, Hefei 230029, Anhui, Peoples R China; [Andreoni, Igor; Cooke, Jeff] Swinburne Univ Technol, Ctr Astrophys &amp; Supercomp, Hawthorn, Vic 3122, Australia; [Andreoni, Igor; Cooke, Jeff] Australian Res Council, Ctr Excellence Gravitat Wave Discovery OzGrav, Canberra, ACT, Australia; [Andreoni, Igor] Australian Astron Observ, N Ryde, NSW 2113, Australia; [Ashley, Michael C. B.] Univ New South Wales, Sch Phys, Sydney, NSW 2052, Australia; [Cooke, Jeff; Uddin, Syed A.] Australian Res Council, Ctr Excellence All Sky Astrophys CAASTRO, Canberra, ACT, Australia; [Cui, Xiangqun; Du, Fujia; Gu, Bozhong; Lu, Haiping; Li, Xiaoyan; Li, Zhengyang; Wen, Haikun; Xu, Jin; Yang, Shihai; Yuan, Xiangyan] Nanjing Inst Astron Opt &amp; Technol, Nanjing 210042, Jiangsu, Peoples R China; [Dai, Zigao; Liang, Ensi; Liu, Liangduan; Xiao, Di; Zhang, Hui; Zhou, Jilin] Nanjing Univ, Minist Educ, Sch Astron &amp; Space Sci, Nanjing 210093, Jiangsu, Peoples R China; [Dai, Zigao; Liang, Ensi; Liu, Liangduan; Xiao, Di; Zhang, Hui; Zhou, Jilin] Nanjing Univ, Key Lab Modern Astron &amp; Astrophys, Sch Astron &amp; Space Sci, Nanjing 210093, Jiangsu, Peoples R China; [Hu, Yi; Ma, Bin; Shang, Zhaohui] Chinese Acad Sci, Natl Astron Observ, Beijing 100012, Peoples R China; [Shang, Zhaohui] Tianjin Normal Univ, Dept Phys, Tianjin 300074, Peoples R China; [Sun, Tianrui] Shanghai Normal Univ, Shanghai Key Lab Astrophys, Shanghai 200234, Peoples R China; [Suntzeff, N. B.; Wang, Lifan] Texas A&amp;M Univ, George P &amp; Cynthia Woods Mitchell Inst Fundamenta, Dept Phys &amp; Astron, 4242 TAMU, College Stn, TX 77843 USA; [Tao, Charling] Aix Marseille Univ, CNRS, IN2P3, CPPM, Marseille, France; [Tao, Charling; Wang, Xiaofeng] Tsinghua Univ, Phys Dept, Beijing 100084, Peoples R China; [Tao, Charling; Wang, Xiaofeng] Tsinghua Univ, Tsinghua Ctr Astrophys THCA, Beijing 100084, Peoples R China; [Zhou, Hongyan] Polar Res Inst China, Shanghai 200136, Peoples R China; [Zhu, Zonghong] Beijing Normal Univ, Dept Astron, Beijing 100875, Peoples R China; [Zhu, Zonghong] Wuhan Univ, Sch Phys &amp; Technol, Wuhan 430072, Hubei, Peoples R China</t>
  </si>
  <si>
    <t>Purple Mountain Observatory, CAS; Chinese Academy of Sciences; Nanjing Institute of Astronomical Optics &amp; Technology, NAOC, CAS; Chinese Academy of Sciences; University of Science &amp; Technology of China, CAS; Swinburne University of Technology; University of New South Wales Sydney; Chinese Academy of Sciences; Nanjing Institute of Astronomical Optics &amp; Technology, NAOC, CAS; Nanjing University; Nanjing University; Chinese Academy of Sciences; National Astronomical Observatory, CAS; Tianjin Normal University; Shanghai Normal University; Texas A&amp;M University System; Texas A&amp;M University College Station; Aix-Marseille Universite; Centre National de la Recherche Scientifique (CNRS); CNRS - National Institute of Nuclear and Particle Physics (IN2P3); Tsinghua University; Tsinghua University; Polar Research Institute of China; Beijing Normal University; Wuhan University</t>
  </si>
  <si>
    <t>Wang, LF (corresponding author), Chinese Acad Sci, Purple Mt Observ, Nanjing 210008, Jiangsu, Peoples R China.;Wang, LF (corresponding author), Chinese Ctr Antarctic Astron, Nanjing 210008, Jiangsu, Peoples R China.;Wang, LF (corresponding author), Texas A&amp;M Univ, George P &amp; Cynthia Woods Mitchell Inst Fundamenta, Dept Phys &amp; Astron, 4242 TAMU, College Stn, TX 77843 USA.</t>
  </si>
  <si>
    <t>lifanwang@gmail.com</t>
  </si>
  <si>
    <t>Yang, Shihai/J-1593-2012; Xiao, Di/AGY-0842-2022; Liu, Liang-Duan/JAC-5753-2023; Zhang, Huiming/HZH-4348-2023; Zhang, Hui/HHN-8494-2022; Liu, Liang-Duan/JDD-5074-2023; Zhang, Cheng/JAD-2236-2023; Liu, Liang-Duan/ABD-9337-2020</t>
  </si>
  <si>
    <t>Xiao, Di/0000-0002-4304-2759; Ashley, Michael/0000-0003-1412-2028; Liu, Liang-Duan/0000-0002-8708-0597; hu, yi/0000-0003-3317-4771; Suntzeff, Nicholas/0000-0002-8102-181X</t>
  </si>
  <si>
    <t>National Basic Research Program (973 Program) of China [2013CB834900]; Chinese Polar Environment Comprehensive Investigation &amp; Assessment Program [CHINARE2016-02-03]; National Natural Science Foundation of China [11573014, 11673068, 11325313, 11633002, 11433009, 11725314, 11633001, 11373014]; Key Research Program of Frontier Sciences [QYZDY-SSW-SLH010, QYZDB-SSW-SYS005]; Strategic Priority Research Program multi-waveband gravitational wave Universe [XDB23040000]; Youth Innovation Promotion Association of Chinese Academy of Sciences [2011231]; Tsinghua University; 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Observatory of China (NAOC); Robert Martin Ayers Sciences Fund; Australian Research Council (ARC) Centre of Excellence for Gravitational Wave Discovery (OzGrav) [CE170100004]; ARC Centre of Excellence for All-sky Astrophysics (CAASTRO) [CE110001020]; Centre of Excellence for All-sky Astrophysics in 3-Dimensions (ASTRO-3D) [CE170100013]; Australian Astronomical Observatory (AAO); ARC [FT130101219]; National Basic Research Program (Project 973) of China [2014CB845800]; Strategic Priority Research Program of the Chinese Academy of Sciences [XDB23000000]; Australian Research Council [FT130101219] Funding Source: Australian Research Council</t>
  </si>
  <si>
    <t>National Basic Research Program (973 Program) of China(National Basic Research Program of China); Chinese Polar Environment Comprehensive Investigation &amp; Assessment Program; National Natural Science Foundation of China(National Natural Science Foundation of China (NSFC)); Key Research Program of Frontier Sciences; Strategic Priority Research Program multi-waveband gravitational wave Universe; Youth Innovation Promotion Association of Chinese Academy of Sciences; Tsinghua University; Nanjing University(Nanjing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Observatory of China (NAOC); Robert Martin Ayers Sciences Fund; Australian Research Council (ARC) Centre of Excellence for Gravitational Wave Discovery (OzGrav)(Australian Research Council); ARC Centre of Excellence for All-sky Astrophysics (CAASTRO)(Australian Research Council); Centre of Excellence for All-sky Astrophysics in 3-Dimensions (ASTRO-3D); Australian Astronomical Observatory (AAO); ARC(Australian Research Council); National Basic Research Program (Project 973) of China(National Basic Research Program of China); Strategic Priority Research Program of the Chinese Academy of Sciences(Chinese Academy of Sciences); Australian Research Council(Australian Research Council)</t>
  </si>
  <si>
    <t>The AST3 project is supported by the National Basic Research Program (973 Program) of China (2013CB834900), and the Chinese Polar Environment Comprehensive Investigation &amp; Assessment Program (CHINARE2016-02-03), the National Natural Science Foundation of China (11573014, 11673068, 11325313, 11633002, 11433009, 11725314), and the Key Research Program of Frontier Sciences (QYZDY-SSW-SLH010, QYZDB-SSW-SYS005), the Strategic Priority Research Program multi-waveband gravitational wave Universe (XDB23040000) and the Youth Innovation Promotion Association (2011231) of Chinese Academy of Sciences. The construction of the AST3 telescopes was made possible by funds from Tsinghua University, Nanjing University, Beijing Normal University, University of New South Wales, Texas A&amp;M University, the Australian Antarctic Division, and the National Collaborative Research Infrastructure Strategy (NCRIS) of Australia. It has also received funding from the Chinese Academy of Sciences through the Center for Astronomical Mega-Science and National Astronomical Observatory of China (NAOC). This research was made possible through the use of the AAVSO Photometric All-Sky Survey (APASS), funded by the Robert Martin Ayers Sciences Fund. Part of this research was funded by the Australian Research Council (ARC) Centre of Excellence for Gravitational Wave Discovery (OzGrav), CE170100004, the ARC Centre of Excellence for All-sky Astrophysics (CAASTRO), CE110001020, and the Centre of Excellence for All-sky Astrophysics in 3-Dimensions (ASTRO-3D), CE170100013. Research support to IA is provided by the Australian Astronomical Observatory (AAO). JC acknowledges the ARC Future Fellowship grant, FT130101219. Zong-Hong Zhu was supported by the National Basic Research Program (Project 973) of China (2014CB845800), the National Natural Science Foundation of China (11633001 and 11373014), and the Strategic Priority Research Program of the Chinese Academy of Sciences (XDB23000000).</t>
  </si>
  <si>
    <t>2095-9273</t>
  </si>
  <si>
    <t>2095-9281</t>
  </si>
  <si>
    <t>SCI BULL</t>
  </si>
  <si>
    <t>Sci. Bull.</t>
  </si>
  <si>
    <t>10.1016/j.scib.2017.10.006</t>
  </si>
  <si>
    <t>FN7PR</t>
  </si>
  <si>
    <t>WOS:000416211200004</t>
  </si>
  <si>
    <t>Waller, CL; Griffiths, HJ; Waluda, CM; Thorpe, SE; Loaiza, I; Moreno, B; Pacherres, CO; Hughes, KA</t>
  </si>
  <si>
    <t>Waller, Catherine L.; Griffiths, Huw J.; Waluda, Claire M.; Thorpe, Sally E.; Loaiza, Ivan; Moreno, Bernabe; Pacherres, Cesar O.; Hughes, Kevin A.</t>
  </si>
  <si>
    <t>Microplastics in the Antarctic marine system: An emerging area of research</t>
  </si>
  <si>
    <t>Southern Ocean; Wastewater; Macroplastic; Polar Front; Human impact; Tourism</t>
  </si>
  <si>
    <t>PLASTIC DEBRIS; BIRD ISLAND; FUR SEALS; INGESTION; POLLUTION; ENVIRONMENT; ICE; ACCUMULATION; IMPACTS; WASTE</t>
  </si>
  <si>
    <t>It was thought that the Southern Ocean was relatively free of microplastic contamination; however, recent studies and citizen science projects in the Southern Ocean have reported microplastics in deep-sea sediments and surface waters. Here we reviewed available information on microplastics (including macroplastics as a source of microplastics) in the Southern Ocean. We estimated primary microplastic concentrations from personal care products and laundry, and identified potential sources and routes of transmission into the region. Estimates showed the levels of microplastic pollution released into the region from ships and scientific research stations were likely to be negligible at the scale of the Southern Ocean, but may be significant on a local scale. This was demonstrated by the detection of the first microplastics in shallow benthic sediments close to a number of research stations on King George Island. Furthermore, our predictions of primary microplastic concentrations from local sources were five orders of magnitude lower than levels reported in published sampling surveys (assuming an even dispersal at the ocean surface). Sea surface transfer from lower latitudes may contribute, at an as yet unknown level, to Southern Ocean plastic concentrations. Acknowledging the lack of data describing microplastic origins, concentrations, distribution and impacts in the Southern Ocean, we highlight the urgent need for research, and call for routine, standardised monitoring in the Antarctic marine system. (C) 2017 The Authors. Published by Elsevier B.V.</t>
  </si>
  <si>
    <t>[Waller, Catherine L.] Univ Hull, Sch Environm Sci, Kingston Upon Hull, N Humberside, England; [Griffiths, Huw J.; Waluda, Claire M.; Thorpe, Sally E.; Hughes, Kevin A.] British Antarctic Survey, Nat Environm Res Council, Cambridge, England; [Loaiza, Ivan; Moreno, Bernabe; Pacherres, Cesar O.] Cient Sur Univ, Carrera Biol Marina, Lima, Peru</t>
  </si>
  <si>
    <t>University of Hull; UK Research &amp; Innovation (UKRI); Natural Environment Research Council (NERC); NERC British Antarctic Survey; Universidad Cientifica del Sur (CIENTIFICA)</t>
  </si>
  <si>
    <t>Waller, CL (corresponding author), Univ Hull, Sch Environm Sci, Kingston Upon Hull, N Humberside, England.</t>
  </si>
  <si>
    <t>c.l.waller@hull.ac.uk</t>
  </si>
  <si>
    <t>Griffiths, Huw J/D-4234-2009; Hughes, Kevin/JVZ-0793-2024; aubertin, rebeckah/O-9624-2015</t>
  </si>
  <si>
    <t>Griffiths, Huw J/0000-0003-1764-223X; aubertin, rebeckah/0000-0002-0558-7571; Loaiza, Ivan/0000-0001-8061-5678; Moreno, Bernabe/0000-0002-9751-6307; Pacherres, Cesar O./0000-0001-7562-0253; Waller, Catherine L/0000-0002-0836-3223; Thorpe, Sally/0000-0002-5193-6955</t>
  </si>
  <si>
    <t>NERC [bas0100036, bas0100035] Funding Source: UKRI; Natural Environment Research Council [bas0100036, bas0100035] Funding Source: researchfish</t>
  </si>
  <si>
    <t>10.1016/j.scitotenv.2017.03.283</t>
  </si>
  <si>
    <t>EZ1XL</t>
  </si>
  <si>
    <t>WOS:000404504000025</t>
  </si>
  <si>
    <t>Baeza, M; Barahona, S; Alcaíno, J; Cifuentes, V</t>
  </si>
  <si>
    <t>Baeza, Marcelo; Barahona, Salvador; Alcaino, Jennifer; Cifuentes, Victor</t>
  </si>
  <si>
    <t>Amplicon-Metagenomic Analysis of Fungi from Antarctic Terrestrial Habitats</t>
  </si>
  <si>
    <t>FRONTIERS IN MICROBIOLOGY</t>
  </si>
  <si>
    <t>Antarctic microeukaryotes; amplicon-metagenome; Antarctic fungi; Antarctic diatoms; cold-terrestrial microeukaryotes</t>
  </si>
  <si>
    <t>COLD-ADAPTED ENZYMES; MARITIME ANTARCTICA; SOIL METAGENOME; SP NOV.; YEASTS; DIVERSITY; IDENTIFICATION; DNA; MICROORGANISMS; ENVIRONMENTS</t>
  </si>
  <si>
    <t>In cold environments such as polar regions, microorganisms play important ecological roles, and most of our knowledge about them comes from studies of cultivable microorganisms. Metagenomic technologies are powerful tools that can give a more comprehensive assessment of microbial communities, and the amplification of rDNA followed by next-generation sequencing has given good results in studies aimed particularly at environmental microorganisms. Culture-independent studies of microbiota in terrestrial habitats of Antarctica, which is considered the driest, coldestclimate on Earth, are increasing and indicate that micro-diversity is much higher than previously thought. In this work, the microbial diversity of terrestrial habitats including eight islands of the South Shetland Archipelago, two islands on the Antarctic Peninsula and Union Glacier, was studied by amplicon-metagenome analysis. Molecular analysis of the studied localities clustered together the islands of the South Shetland Archipelago, except Greenwich Island, and separated them from the Litchfield and Lagotellerie islands and Union Glacier, which is in agreement with the latitudinal difference among them. Among fungi, 87 genera and 123 species were found, of which species belonging to 37 fungal genera not previously cultivated from Antarctica were detected. Phylogenetic analysis, including the closest BLAST-hit sequences, clustered fungi in 11 classes being the most represented Lecanoromycetes and Eurotiomycetes.</t>
  </si>
  <si>
    <t>[Baeza, Marcelo; Barahona, Salvador; Alcaino, Jennifer; Cifuentes, Victor] Univ Chile, Fac Ciencias, Dept Ciencias Ecol, Lab Genet, Santiago, Chile</t>
  </si>
  <si>
    <t>Baeza, M (corresponding author), Univ Chile, Fac Ciencias, Dept Ciencias Ecol, Lab Genet, Santiago, Chile.</t>
  </si>
  <si>
    <t>mbaeza@u.uchile.cl</t>
  </si>
  <si>
    <t>Alcaino, Jennifer/H-4576-2012</t>
  </si>
  <si>
    <t>Baeza, Marcelo/0000-0001-8853-395X</t>
  </si>
  <si>
    <t>Comision Nacional de Investigacion Cientifica y Tecnologica [1130333]</t>
  </si>
  <si>
    <t>Comision Nacional de Investigacion Cientifica y Tecnologica</t>
  </si>
  <si>
    <t>This work was supported by Comision Nacional de Investigacion Cientifica y Tecnologica (No. FONDECYT grant 1130333).</t>
  </si>
  <si>
    <t>1664-302X</t>
  </si>
  <si>
    <t>FRONT MICROBIOL</t>
  </si>
  <si>
    <t>Front. Microbiol.</t>
  </si>
  <si>
    <t>NOV 14</t>
  </si>
  <si>
    <t>10.3389/fmicb.2017.02235</t>
  </si>
  <si>
    <t>FM4YA</t>
  </si>
  <si>
    <t>WOS:000415034400001</t>
  </si>
  <si>
    <t>Sacristán-Soriano, O; Angulo-Preckler, C; Vázquez, J; Avila, C</t>
  </si>
  <si>
    <t>Sacristan-Soriano, Oriol; Angulo-Preckler, Carlos; Vazquez, Jennifer; Avila, Conxita</t>
  </si>
  <si>
    <t>Potential chemical defenses of Antarctic benthic organisms against marine bacteria</t>
  </si>
  <si>
    <t>POLAR RESEARCH</t>
  </si>
  <si>
    <t>Antibacterial activity; natural products; symbiosis; host-symbiont interactions; microbial ecology</t>
  </si>
  <si>
    <t>ANTIMICROBIAL ACTIVITY; SPATIAL-DISTRIBUTION; SOFT CORAL; COMMUNITY; ECOLOGY; ANTIBACTERIAL; INVERTEBRATES; PALATABILITY; METABOLITES; POLYCHAETE</t>
  </si>
  <si>
    <t>The continental shelf of Antarctica harbours rich suspension-feeding macroinvertebrate communities that are continuously exposed to large populations of free-living microbes. To avoid settlement or fouling by undesirable microorganisms that could cause infection or collapse filter-feeding systems, these macroinvertebrates might regulate the epibiotic microbial mat through chemical interactions. In Antarctic chemical ecology, the antibacterial roles of natural products remain mostly unknown. A necessary first step is to identify organisms that produce compounds with potential ecological relevance. For that reason, we tested the crude organic extracts of 116 taxa of Antarctic benthic organisms for antibacterial activity against a panel of seven strains of marine bacteria. Nine out of 11 phyla tested had antibacterial properties. However, inhibitory activity was quite selective and species-specific. These patterns suggest that Antarctic benthic organisms may produce diverse bioactive metabolites with different antibacterial activities or, alternatively, those contrasting profiles may be shaped by environmental and biological interactions acting at a small spatial scale. The reasons of such selectivity remain to be further investigated and may contribute to the identification of bioactive compounds with pharmaceutical applications.</t>
  </si>
  <si>
    <t>[Sacristan-Soriano, Oriol; Angulo-Preckler, Carlos; Avila, Conxita] Univ Barcelona, Dept Evolutionary Biol Ecol &amp; Environm Sci, Biodivers Res Inst, Fac Biol, Ave Diagonal 643, E-08028 Barcelona, Catalonia, Spain; [Vazquez, Jennifer] Univ Rovira &amp; Virgili, Oenol Biotechnol Res Grp, Dept Biochem &amp; Biotechnol, Fac Oenol, Tarragona, Spain</t>
  </si>
  <si>
    <t>University of Barcelona; Universitat Rovira i Virgili</t>
  </si>
  <si>
    <t>Sacristán-Soriano, O (corresponding author), Univ Barcelona, Dept Evolutionary Biol Ecol &amp; Environm Sci, Biodivers Res Inst, Fac Biol, Ave Diagonal 643, E-08028 Barcelona, Catalonia, Spain.</t>
  </si>
  <si>
    <t>osacriso7@gmail.com</t>
  </si>
  <si>
    <t>Avila, Conxita/B-9466-2008; Sacristán-Soriano, Oriol/A-7105-2008; Sacristan Soriano, Oriol/M-1516-2014; Angulo_Preckler, Carlos/A-6456-2011; Vazquez, Jennifer/K-7579-2017</t>
  </si>
  <si>
    <t>Avila, Conxita/0000-0002-5489-8376; Sacristan Soriano, Oriol/0000-0003-4900-884X; Angulo_Preckler, Carlos/0000-0001-9028-274X; Vazquez, Jennifer/0000-0002-1510-0034</t>
  </si>
  <si>
    <t>Spanish Government [CGL2007-65453/ANT, CTM2010-17415/ANT]</t>
  </si>
  <si>
    <t>This research was developed in the framework of the ACTIQUIM I and II projects (CGL2007-65453/ANT, CTM2010-17415/ANT) with the financial support of the Spanish Government.</t>
  </si>
  <si>
    <t>NORWEGIAN POLAR INST</t>
  </si>
  <si>
    <t>TROMSO</t>
  </si>
  <si>
    <t>POLAR ENVIRONMENTAL CENTRE, HJALMAR JOHANSENSGATE 14, TROMSO, FRAMSENTERET, NORWAY</t>
  </si>
  <si>
    <t>0800-0395</t>
  </si>
  <si>
    <t>1751-8369</t>
  </si>
  <si>
    <t>POLAR RES</t>
  </si>
  <si>
    <t>Polar Res.</t>
  </si>
  <si>
    <t>NOV 13</t>
  </si>
  <si>
    <t>10.1080/17518369.2017.1390385</t>
  </si>
  <si>
    <t>Ecology; Geosciences, Multidisciplinary; Oceanography</t>
  </si>
  <si>
    <t>Environmental Sciences &amp; Ecology; Geology; Oceanography</t>
  </si>
  <si>
    <t>FO6LM</t>
  </si>
  <si>
    <t>WOS:000416974600001</t>
  </si>
  <si>
    <t>Bhambri, R; Hewitt, K; Kawishwar, P; Pratap, B</t>
  </si>
  <si>
    <t>Bhambri, R.; Hewitt, K.; Kawishwar, P.; Pratap, B.</t>
  </si>
  <si>
    <t>Surge-type and surge-modified glaciers in the Karakoram</t>
  </si>
  <si>
    <t>BRIEF COMMUNICATION; OUTBURST FLOODS; FLOW; FLUCTUATIONS; DYNAMICS; HIMALAYA; REGION; HETEROGENEITY; INVENTORY; RANGE</t>
  </si>
  <si>
    <t>Glaciers in the Karakoram exhibit irregular behavior. Terminus fluctuations of individual glaciers lack consistency and, unlike other parts of the Himalaya, total ice mass remained stable or slightly increased since the 1970s. These seeming anomalies are addressed through a comprehensive mapping of surgetype glaciers and surge-related impacts, based on satellite images (Landsat and ASTER), ground observations, and archival material since the 1840s. Some 221 surge-type and surge-like glaciers are identified in six main classes. Their basins cover 7,734 +/- 271 km(2) or similar to 43% of the total Karakoram glacierised area. Active phases range from some months to over 15 years. Surge intervals are identified for 27 glaciers with two or more surges, including 9 not previously reported. Mini-surges and kinematic waves are documented and surface diagnostic features indicative of surging. Surge cycle timing, intervals and mass transfers are unique to each glacier and largely out-of-phase with climate. A broad class of surge-modified ice introduces indirect and post-surge effects that further complicate tracking of climate responses. Mass balance in surge-type and surge-modified glaciers differs from conventional, climate-sensitive profiles. New approaches are required to account for such differing responses of individual glaciers, and effectively project the fate of Karakoram ice during a warming climate.</t>
  </si>
  <si>
    <t>[Bhambri, R.] Wadia Inst Himalayan Geol, Ctr Glaciol, 33 GMS Rd, Dehra Dun 248001, Uttar Pradesh, India; [Hewitt, K.] Wilfrid Laurier Univ, Dept Geog &amp; Environm Studies, Waterloo, ON, Canada; [Kawishwar, P.] Chhattisgarh Council Sci &amp; Technol, Vidhan Sabha Rd, Raipur 492014, CG, India; [Pratap, B.] Natl Ctr Antarctic &amp; Ocean Res, Vasco Da Gama 403804, Goa, India</t>
  </si>
  <si>
    <t>Department of Science &amp; Technology (India); Wadia Institute of Himalayan Geology (WIHG); Wilfrid Laurier University; Ministry of Earth Sciences (MoES) - India; National Centre for Polar and Ocean Research (NCPOR)</t>
  </si>
  <si>
    <t>Bhambri, R (corresponding author), Wadia Inst Himalayan Geol, Ctr Glaciol, 33 GMS Rd, Dehra Dun 248001, Uttar Pradesh, India.</t>
  </si>
  <si>
    <t>rakeshbhambri@gmail.com</t>
  </si>
  <si>
    <t>Bhambri, Rakesh/AAI-2997-2020; Pratap, Bhanu/G-5509-2014</t>
  </si>
  <si>
    <t>Bhambri, Rakesh/0000-0002-4777-894X; Pratap, Bhanu/0000-0001-9454-7274</t>
  </si>
  <si>
    <t>Department of Science and Technology (DST), Government of India, New Delhi; International Development Research Centre (IDRC) Ottawa</t>
  </si>
  <si>
    <t>Department of Science and Technology (DST), Government of India, New Delhi(Department of Science &amp; Technology (India)); International Development Research Centre (IDRC) Ottawa(International Development Research Centre - IDRC)</t>
  </si>
  <si>
    <t>The authors are grateful to Professor Anil K. Gupta, Director, Wadia Institute of Himalayan Geology (WIHG), for providing facilities and ample support to carry out this work. We thank Anders Anker Bjork of Natural History Museum of Denmark for providing glacier length tool to estimate frontal changes in glaciers surge. R.B. thanks Pramod Maurya for assisting to generate surge glaciers inventory. We are grateful to the Department of Science and Technology (DST), Government of India, New Delhi, for financial support. ASTER data was provided at no cost by NASA/USGS under the umbrella of the GLIMS project. We also thank to Professor Andreas Kaab for providing freely Image correlation software (CIAS) to compute glacier surface displacements, United States Geological Survey (USGS) (http://earthexplorer.usgs.gov/) for providing Landsat satellite images and International Development Research Centre (IDRC) Ottawa for funding of related K.H. field work.</t>
  </si>
  <si>
    <t>10.1038/s41598-017-15473-8</t>
  </si>
  <si>
    <t>FM4VF</t>
  </si>
  <si>
    <t>WOS:000415022900027</t>
  </si>
  <si>
    <t>Kwok, R; Kurtz, NT; Brucker, L; Ivanoff, A; Newman, T; Farrell, SL; King, J; Howell, S; Webster, MA; Paden, J; Leuschen, C; MacGregor, JA; Richter-Menge, J; Harbeck, J; Tschudi, M</t>
  </si>
  <si>
    <t>Kwok, Ron; Kurtz, Nathan T.; Brucker, Ludovic; Ivanoff, Alvaro; Newman, Thomas; Farrell, Sinead L.; King, Joshua; Howell, Stephen; Webster, Melinda A.; Paden, John; Leuschen, Carl; MacGregor, Joseph A.; Richter-Menge, Jacqueline; Harbeck, Jeremy; Tschudi, Mark</t>
  </si>
  <si>
    <t>Intercomparison of snow depth retrievals over Arctic sea ice from radar data acquired by Operation IceBridge</t>
  </si>
  <si>
    <t>MELT PONDS; THICKNESS; EVOLUTION; FREEBOARD; OCEAN</t>
  </si>
  <si>
    <t>Since 2009, the ultra-wideband snow radar on Operation IceBridge (OIB; a NASA airborne mission to survey the polar ice covers) has acquired data in annual campaigns conducted during the Arctic and Antarctic springs. Progressive improvements in radar hardware and data processing methodologies have led to improved data quality for subsequent retrieval of snow depth. Existing retrieval algorithms differ in the way the air-snow (a-s) and snow-ice (s-i) interfaces are detected and localized in the radar returns and in how the system limitations are addressed (e.g., noise, resolution). In 2014, the Snow Thickness On Sea Ice Working Group (STOSIWG) was formed and tasked with investigating how radar data quality affects snow depth retrievals and how retrievals from the various algorithms differ. The goal is to understand the limitations of the estimates and to produce a well-documented, long-term record that can be used for understanding broader changes in the Arctic climate system. Here, we assess five retrieval algorithms by comparisons with field measurements from two ground-based campaigns, including the BRomine, Ozone, and Mercury EXperiment (BROMEX) at Barrow, Alaska; a field program by Environment and Climate Change Canada at Eureka, Nunavut; and available climatology and snowfall from ERA-Interim reanalysis. The aim is to examine available algorithms and to use the assessment results to inform the development of future approaches. We present results from these assessments and highlight key considerations for the production of a long-term, calibrated geophysical record of springtime snow thickness over Arctic sea ice.</t>
  </si>
  <si>
    <t>[Kwok, Ron] CALTECH, Jet Prop Lab, Pasadena, CA 91125 USA; [Kurtz, Nathan T.; Brucker, Ludovic; Webster, Melinda A.; MacGregor, Joseph A.] NASA, Goddard Space Flight Ctr, Cryospher Sci Lab, Greenbelt, MD USA; [Brucker, Ludovic] Univ Space Res Assoc, Goddard Earth Sci Technol &amp; Res Studies &amp; Invest, Columbia, MD USA; [Ivanoff, Alvaro; Harbeck, Jeremy] ADNET Syst Inc, Lanham, MD USA; [Newman, Thomas] Univ Toronto, Dept Atmospher Phys, Toronto, ON, Canada; [Farrell, Sinead L.] Univ Maryland, Earth Syst Sci Interdisciplinary Ctr, College Pk, MD 20742 USA; [Farrell, Sinead L.] NOAA, Lab Satellite Altimetry, Satellite Oceanog &amp; Climatol Div, Ctr Weather &amp; Climate Predict, College Pk, MD USA; [King, Joshua; Howell, Stephen] Environm &amp; Climate Change Canada, Climate Res Div, Toronto, ON, Canada; [Paden, John; Leuschen, Carl] Univ Kansas, Ctr Remote Sensing Ice Sheets, Lawrence, KS 66045 USA; [Richter-Menge, Jacqueline] Univ Alaska Fairbanks, Inst Northern Engn, Fairbanks, AK USA; [Tschudi, Mark] Univ Colorado, Colorado Ctr Astrodynam Res, Boulder, CO 80309 USA</t>
  </si>
  <si>
    <t>National Aeronautics &amp; Space Administration (NASA); NASA Jet Propulsion Laboratory (JPL); California Institute of Technology; National Aeronautics &amp; Space Administration (NASA); NASA Goddard Space Flight Center; Universities Space Research Association (USRA); University of Toronto; University System of Maryland; University of Maryland College Park; National Oceanic Atmospheric Admin (NOAA) - USA; Environment &amp; Climate Change Canada; University of Kansas; University of Alaska System; University of Alaska Fairbanks; University of Colorado System; University of Colorado Boulder</t>
  </si>
  <si>
    <t>Kwok, R (corresponding author), CALTECH, Jet Prop Lab, Pasadena, CA 91125 USA.</t>
  </si>
  <si>
    <t>ron.kwok@jpl.nasa.gov</t>
  </si>
  <si>
    <t>Kwok, Ron/A-9762-2008; Brucker, Ludovic/ACJ-3763-2022; Brucker, Ludovic/A-8029-2010; Farrell, Sinead L/F-5586-2010; Brucker, Ludovic/L-5412-2019; Kwok, Ronald/L-3968-2019</t>
  </si>
  <si>
    <t>Kwok, Ron/0000-0003-4051-5896; Brucker, Ludovic/0000-0001-7102-8084; Kwok, Ronald/0000-0003-4051-5896; Webster, Melinda/0000-0002-5976-9485; Newman, Thomas/0009-0005-0440-8366</t>
  </si>
  <si>
    <t>Office of Naval Research [N000141210512]; NOAA Ocean Remote Sensing program</t>
  </si>
  <si>
    <t>Office of Naval Research(Office of Naval Research); NOAA Ocean Remote Sensing program(National Oceanic Atmospheric Admin (NOAA) - USA)</t>
  </si>
  <si>
    <t>We thank Shirley S. Pang for her software support during the course of this work. Ron Kwok and Shirley S. Pang carried out this work at the Jet Propulsion Laboratory, California Institute of Technology, under contract with the National Aeronautics and Space Administration. Development and testing of the Wavelet algorithm was supported by Office of Naval Research award N000141210512 and the NOAA Ocean Remote Sensing program.</t>
  </si>
  <si>
    <t>10.5194/tc-11-2571-2017</t>
  </si>
  <si>
    <t>FM5RP</t>
  </si>
  <si>
    <t>WOS:000415096200001</t>
  </si>
  <si>
    <t>Kim, SY; Metcalfe, NB; da Silva, A; Velando, A</t>
  </si>
  <si>
    <t>Kim, Sin-Yeon; Metcalfe, Neil B.; da Silva, Alberto; Velando, Alberto</t>
  </si>
  <si>
    <t>Thermal conditions during early life influence seasonal maternal strategies in the three-spined stickleback</t>
  </si>
  <si>
    <t>BMC ECOLOGY</t>
  </si>
  <si>
    <t>Carotenoid; Climate change; Life-history; Maternal effect; Phenotypic plasticity</t>
  </si>
  <si>
    <t>GASTEROSTEUS-ACULEATUS L.; SALMON SALMO-SALAR; OXIDATIVE STRESS; CLIMATE-CHANGE; TRADE-OFF; SEXUAL ATTRACTIVENESS; REPRODUCTIVE EFFORT; EGG CAROTENOIDS; ANTARCTIC FISH; SEED BEETLE</t>
  </si>
  <si>
    <t>Background: Conditions experienced by a female during early life may affect her reproductive strategies and maternal investment later in life. This effect of early environmental conditions is a potentially important mechanism by which animals can compensate for the negative impacts of climate change. In this study, we experimentally tested whether three-spined sticklebacks (Gasterosteus aculeatus) change their maternal strategy according to environmental temperatures experienced earlier in life. We studied maternal investment from a life-history perspective because females are expected to adjust their reproductive strategy in relation to their current and future reproductive returns as well as offspring fitness. Results: F1 families were reared in control and elevated winter temperatures and their reproductive trajectories were studied when returned to common conditions. Females that had experienced the warm winter treatment (n = 141) had a lower fecundity and reduced breeding and total lifespan compared to the control individuals (n = 159). Whereas the control females tended to produce their heaviest and largest clutches in their first reproductive attempt, the warm-acclimated females invested less in their first clutch, but then produced increasingly heavy clutches over the course of the breeding season. Egg mass increased with clutch number at a similar rate in the two groups. The warm-acclimated females increased the investment of carotenoids in the first and last clutches of the season. Thus, any transgenerational effects of the maternal thermal environment on offspring phenotype may be mediated by the allocation of antioxidants into eggs but not by egg size. Conclusions: Our results indicate that conditions experienced by females during juvenile life have a profound effect on life-time maternal reproductive strategies. The temperature-induced changes in maternal strategy may be due to constraints imposed by the higher energetic costs of a warm environment, but it is possible that they allow the offspring to compensate for higher energetic costs and damage when they face the same thermal stress as did their mothers.</t>
  </si>
  <si>
    <t>[Kim, Sin-Yeon; da Silva, Alberto; Velando, Alberto] Univ Vigo, Dept Ecol &amp; Biol Anim, Vigo 36310, Spain; [Metcalfe, Neil B.] Univ Glasgow, Inst Biodivers Anim Hlth &amp; Comparat Med, Coll Med Vet &amp; Life Sci, Glasgow G12 8QQ, Lanark, Scotland</t>
  </si>
  <si>
    <t>Universidade de Vigo; University of Glasgow</t>
  </si>
  <si>
    <t>Kim, SY (corresponding author), Univ Vigo, Dept Ecol &amp; Biol Anim, Vigo 36310, Spain.</t>
  </si>
  <si>
    <t>yeonkim@uvigo.es</t>
  </si>
  <si>
    <t>Metcalfe, Neil B./C-5997-2009; Velando, Alberto/B-1701-2009; Kim, Sin-Yeon/K-2770-2014</t>
  </si>
  <si>
    <t>Metcalfe, Neil B./0000-0002-1970-9349; Kim, Sin-Yeon/0000-0002-5170-8477</t>
  </si>
  <si>
    <t>Spanish Ministerio de Economia y Competitividad [CGL2014-60291-JIN, CGL2015-69338-C2-1-P]; ERC [322784]</t>
  </si>
  <si>
    <t>Spanish Ministerio de Economia y Competitividad(Spanish Government); ERC(European Research Council (ERC))</t>
  </si>
  <si>
    <t>This study was supported by the Spanish Ministerio de Economia y Competitividad (CGL2014-60291-JIN and CGL2015-69338-C2-1-P); NBM was funded by an ERC Advanced Grant (322784). None of the funding bodies played a role in the design of the study and collection, analysis, and interpretation of data and in writing the manuscript.</t>
  </si>
  <si>
    <t>1472-6785</t>
  </si>
  <si>
    <t>BMC ECOL</t>
  </si>
  <si>
    <t>BMC Ecol.</t>
  </si>
  <si>
    <t>NOV 10</t>
  </si>
  <si>
    <t>10.1186/s12898-017-0144-x</t>
  </si>
  <si>
    <t>FM4NF</t>
  </si>
  <si>
    <t>WOS:000414993900001</t>
  </si>
  <si>
    <t>Polymeropoulos, ET; Oelkrug, R; Jastroch, M</t>
  </si>
  <si>
    <t>Polymeropoulos, Elias T.; Oelkrug, R.; Jastroch, M.</t>
  </si>
  <si>
    <t>Mitochondrial Proton Leak Compensates for Reduced Oxidative Power during Frequent Hypothermic Events in a Protoendothermic Mammal, Echinops telfairi</t>
  </si>
  <si>
    <t>FRONTIERS IN PHYSIOLOGY</t>
  </si>
  <si>
    <t>mitochondria; proton leak; lesser hedgehog tenrec; endothermy; protoendotherm; cold acclimatization</t>
  </si>
  <si>
    <t>LESSER HEDGEHOG TENREC; BROWN ADIPOSE-TISSUE; METABOLIC-RATE; DAILY TORPOR; TEMPERATURE REGULATION; LIVER-MITOCHONDRIA; SKELETAL-MUSCLE; RESPIRATION; DEPRESSION; HIBERNATION</t>
  </si>
  <si>
    <t>The lesser hedgehog tenrec (Echinops telfairi) displays reptile-like thermoregulatory behavior with markedly high variability in body temperature and metabolic rate. To understand how energy metabolism copes with this flexibility, we studied the bioenergetics of isolated liver mitochondria from cold (20 degrees C) and warm(27 degrees C) acclimated tenrecs. Different acclimation temperatures had no impact on mitochondrial respiration using succinate as the substrate. Mimicking the variation of body temperature by changing assay temperatures from 22 to 32 degrees C highlighted temperature-sensitivity of respiration. The 40% reduction of respiratory control ratio (RCR) at 22 degrees C compared to 32 degrees C, a common estimate for mitochondrial efficiency, was caused by reduced substrate oxidation capacity. The simultaneous measurement of mitochondrial membrane potential enabled the precise assessment of efficiency with corrected respiration rates. Using this method, we show that proton leak respiration at the highest common membrane potential was not affected by acclimation temperature but was markedly decreased by assay temperature. Using membrane potential corrected respiration values, we show that the fraction of ATP-linked respiration (coupling efficiency) was maintained (70-85%) at lower temperatures. Collectively, we demonstrate that compromised substrate oxidation was temperature-compensated by the reduction of proton leak, thus maintaining the efficiency of mitochondrial energy conversion. Therefore, membrane potential data suggest that adjustments of mitochondrial proton leak contribute to energy homeostasis during thermoregulatory flexibility of tenrecs.</t>
  </si>
  <si>
    <t>[Polymeropoulos, Elias T.] Univ Tasmania, Inst Marine &amp; Antarctic Studies, Hobart, Tas, Australia; [Oelkrug, R.] Univ Lubeck, Ctr Brain Behav &amp; Metab, Lubeck, Germany; [Jastroch, M.] Helmholtz Zentrum Munchen, Inst Diabet &amp; Obes, Munich, Germany; [Jastroch, M.] German Ctr Diabet Res DZD, Helmholtz Diabet Ctr, Neuherberg, Germany</t>
  </si>
  <si>
    <t>University of Tasmania; University of Lubeck; Helmholtz Association; Helmholtz-Center Munich - German Research Center for Environmental Health</t>
  </si>
  <si>
    <t>Polymeropoulos, ET (corresponding author), Univ Tasmania, Inst Marine &amp; Antarctic Studies, Hobart, Tas, Australia.</t>
  </si>
  <si>
    <t>eliasp@utas.edu.au</t>
  </si>
  <si>
    <t>Jastroch, Martin/I-7494-2017; Polymeropoulos, Elias T/E-9883-2013</t>
  </si>
  <si>
    <t>Polymeropoulos, Elias Theodor/0000-0002-4816-6005</t>
  </si>
  <si>
    <t>German Center for Diabetes Research (DZD)</t>
  </si>
  <si>
    <t>This work was funded by the German Center for Diabetes Research (DZD).</t>
  </si>
  <si>
    <t>1664-042X</t>
  </si>
  <si>
    <t>FRONT PHYSIOL</t>
  </si>
  <si>
    <t>Front. Physiol.</t>
  </si>
  <si>
    <t>10.3389/fphys.2017.00909</t>
  </si>
  <si>
    <t>Physiology</t>
  </si>
  <si>
    <t>FM2UX</t>
  </si>
  <si>
    <t>WOS:000414857300001</t>
  </si>
  <si>
    <t>Thomas, ER; van Wessem, JM; Roberts, J; Isaksson, E; Schlosser, E; Fudge, TJ; Vallelonga, P; Medley, B; Lenaerts, J; Bertler, N; van den Broeke, MR; Dixon, DA; Frezzotti, M; Stenni, B; Curran, M; Ekaykin, AA</t>
  </si>
  <si>
    <t>Thomas, Elizabeth R.; van Wessem, J. Melchior; Roberts, Jason; Isaksson, Elisabeth; Schlosser, Elisabeth; Fudge, Tyler J.; Vallelonga, Paul; Medley, Brooke; Lenaerts, Jan; Bertler, Nancy; van den Broeke, Michiel R.; Dixon, Daniel A.; Frezzotti, Massimo; Stenni, Barbara; Curran, Mark; Ekaykin, Alexey A.</t>
  </si>
  <si>
    <t>Regional Antarctic snow accumulation over the past 1000 years</t>
  </si>
  <si>
    <t>SURFACE MASS-BALANCE; DRONNING MAUD-LAND; ATMOSPHERIC CLIMATE MODEL; SHALLOW FIRN CORES; COASTAL EAST ANTARCTICA; SOUTHERN ANNULAR MODE; FIMBUL ICE SHELF; WEST ANTARCTICA; SEA-ICE; 20TH-CENTURY INCREASE</t>
  </si>
  <si>
    <t>Here we present Antarctic snow accumulation variability at the regional scale over the past 1000 years. A total of 79 ice core snow accumulation records were gathered and assigned to seven geographical regions, separating the high-accumulation coastal zones below 2000m of elevation from the dry central Antarctic Plateau. The regional composites of annual snow accumulation were evaluated against modelled surface mass balance (SMB) from RACMO2.3p2 and precipitation from ERA-Interim reanalysis. With the exception of the Weddell Sea coast, the low-elevation composites capture the regional precipitation and SMB variability as defined by the models. The central Antarctic sites lack coherency and either do not represent regional precipitation or indicate the model inability to capture relevant precipitation processes in the cold, dry central plateau. Our results show that SMB for the total Antarctic Ice Sheet (including ice shelves) has increased at a rate of 7 +/- 0.13 Gt decade(-1) since 1800 AD, representing a net reduction in sea level of similar to 0.02mm decade(-1) since 1800 and similar to 0.04mm decade(-1) since 1900 AD. The largest contribution is from the Antarctic Peninsula (similar to 75 %) where the annual average SMB during the most recent decade (2001-2010) is 123 +/- 44 Gt yr(-1) higher than the annual average during the first decade of the 19th century. Only four ice core records cover the full 1000 years, and they suggest a decrease in snow accumulation during this period. However, our study emphasizes the importance of low-elevation coastal zones, which have been under-represented in previous investigations of temporal snow accumulation.</t>
  </si>
  <si>
    <t>[Thomas, Elizabeth R.] British Antarctic Survey, Ice Dynam &amp; Paleoclimate, Cambridge CB3 0ET, England; [van Wessem, J. Melchior; Lenaerts, Jan; van den Broeke, Michiel R.] Univ Utrecht, Inst Marine &amp; Atmospher Res Utrecht IMAU, Utrecht, Netherlands; [Roberts, Jason; Curran, Mark] Australian Antarctic Div, Antarctic Climate &amp; Ecosyst, Hobart, Tas 7050, Australia; [Roberts, Jason] Univ Tasmania, Antarctic Climate &amp; Ecosyst Cooperat Res Ctr, Hobart, Tas 7001, Australia; [Isaksson, Elisabeth] Norwegian Polar Res Inst, Geol &amp; Geophys, N-9296 Tromso, Norway; [Schlosser, Elisabeth] Austrian Polar Res Inst, Inst Atmospher &amp; Cryospher Sci, Vienna, Austria; [Schlosser, Elisabeth] Univ Innsbruck, Inst Atmospher &amp; Cryospher Sci, Innsbruck, Austria; [Fudge, Tyler J.] Univ Washington, Earth &amp; Space Sci, Seattle, WA 98195 USA; [Vallelonga, Paul] Univ Copenhagen, Niels Bohr Inst, Ctr Ice &amp; Climate, Copenhagen, Denmark; [Medley, Brooke] NASA, Goddard Space Flight Ctr, Cryospher Sci Lab, Greenbelt, MD USA; [Bertler, Nancy] Victoria Univ, Antarctic Res Ctr, Wellington 6012, New Zealand; [Bertler, Nancy] GNS Sci, Natl Ice Core Res Lab, Lower Hutt 5040, New Zealand; [Dixon, Daniel A.] Univ Maine, Climate Change Inst, Orono, ME 04469 USA; [Frezzotti, Massimo] Agenzia Nazl Nuove Tecnol Energia &amp; Sviluppo Sost, ENEA, Rome, Italy; [Stenni, Barbara] Ca Foscari Univ Venice, Dept Environm Sci Informat &amp; Stat, Venice, Italy; [Stenni, Barbara] CNR, Inst Dynam Environm Proc, Venice, Italy; [Ekaykin, Alexey A.] Arctic &amp; Antarctic Res Inst, Climate &amp; Environm Res Lab, St Petersburg 199397, Russia; [Ekaykin, Alexey A.] St Petersburg State Univ, Inst Earth Sci, St Petersburg 199178, Russia</t>
  </si>
  <si>
    <t>UK Research &amp; Innovation (UKRI); Natural Environment Research Council (NERC); NERC British Antarctic Survey; Utrecht University; Australian Antarctic Division; Antarctic Climate &amp; Ecosystems Cooperative Research Centre (ACE CRC); University of Tasmania; Norwegian Polar Institute; University of Innsbruck; University of Washington; University of Washington Seattle; University of Copenhagen; Niels Bohr Institute; National Aeronautics &amp; Space Administration (NASA); NASA Goddard Space Flight Center; Victoria University Wellington; GNS Science - New Zealand; University of Maine System; University of Maine Orono; Italian National Agency New Technical Energy &amp; Sustainable Economics Development; Universita Ca Foscari Venezia; Consiglio Nazionale delle Ricerche (CNR); Istituto per la Dinamica dei Processi Ambientali (IDPA-CNR); Arctic &amp; Antarctic Research Institute; Saint Petersburg State University</t>
  </si>
  <si>
    <t>Thomas, ER (corresponding author), British Antarctic Survey, Ice Dynam &amp; Paleoclimate, Cambridge CB3 0ET, England.</t>
  </si>
  <si>
    <t>lith@bas.ac.uk</t>
  </si>
  <si>
    <t>IPO, PAGES/JXY-7546-2024; Bertler, Nancy A N/F-3967-2011; Roberts, Jason L/B-2235-2012; FREZZOTTI, Massimo/AAK-7275-2020; Lenaerts, Jan/D-9423-2012; Van den Broeke, Michiel R./F-7867-2011; van Wessem, Melchior/AAB-1987-2019; Thomas, Elizabeth Ruth/ADF-3660-2022; Vallelonga, Paul/I-9650-2016; Ekaykin, Alexey/K-9894-2015</t>
  </si>
  <si>
    <t>Roberts, Jason L/0000-0002-3477-4069; FREZZOTTI, Massimo/0000-0002-2461-2883; Lenaerts, Jan/0000-0003-4309-4011; Van den Broeke, Michiel R./0000-0003-4662-7565; Thomas, Elizabeth Ruth/0000-0002-3010-6493; Bertler, Nancy/0000-0001-6028-4891; Vallelonga, Paul/0000-0003-1055-7235; van Wessem, Melchior/0000-0003-3221-791X; Stenni, Barbara/0000-0003-4950-3664; Fudge, Tyler/0000-0002-6818-7479; Ekaykin, Alexey/0000-0001-9819-2802</t>
  </si>
  <si>
    <t>US National Science Foundation; Swiss Academy of Sciences; British Antarctic Survey (Natural Environment Research Council); NERC [NE/J020710/1, bas0100034] Funding Source: UKRI; Natural Environment Research Council [NE/J020710/1, bas0100034] Funding Source: researchfish; Division Of Earth Sciences; Directorate For Geosciences [1440015] Funding Source: National Science Foundation</t>
  </si>
  <si>
    <t>US National Science Foundation(National Science Foundation (NSF)); Swiss Academy of Sciences; British Antarctic Survey (Natural Environment Research Council); NERC(UK Research &amp; Innovation (UKRI)Natural Environment Research Council (NERC)); Natural Environment Research Council(UK Research &amp; Innovation (UKRI)Natural Environment Research Council (NERC)); Division Of Earth Sciences; Directorate For Geosciences(National Science Foundation (NSF)NSF - Directorate for Geosciences (GEO))</t>
  </si>
  <si>
    <t>This is a contribution to the PAGES 2k Network (through the Antarctica 2k project). Past Global Changes (PAGES) is supported by the US National Science Foundation and the Swiss Academy of Sciences. The project was also supported by the British Antarctic Survey (Natural Environment Research Council). We would like to thank the Antarctic ice core community for making their snow accumulation data available for this study and thank the data managers and PAGES team for their support. We thank two anonymous reviewers and the data review team for their comments and suggestions.</t>
  </si>
  <si>
    <t>10.5194/cp-13-1491-2017</t>
  </si>
  <si>
    <t>FM3ZX</t>
  </si>
  <si>
    <t>WOS:000414951400001</t>
  </si>
  <si>
    <t>Kleinteich, J; Hildebrand, F; Bahram, M; Voigt, AY; Wood, SA; Jungblut, AD; Küpper, FC; Quesada, A; Camacho, A; Pearce, DA; Convey, P; Vincent, WF; Zarfl, C; Bork, P; Dietrich, DR</t>
  </si>
  <si>
    <t>Kleinteich, Julia; Hildebrand, Falk; Bahram, Mohammad; Voigt, Anita Y.; Wood, Susanna A.; Jungblut, Anne D.; Kupper, Frithjof C.; Quesada, Antonio; Camacho, Antonio; Pearce, David A.; Convey, Peter; Vincent, Warwick F.; Zarfl, Christiane; Bork, Peer; Dietrich, Daniel R.</t>
  </si>
  <si>
    <t>Pole-to-Pole Connections: Similarities between Arctic and Antarctic Microbiomes and Their Vulnerability to Environmental Change</t>
  </si>
  <si>
    <t>FRONTIERS IN ECOLOGY AND EVOLUTION</t>
  </si>
  <si>
    <t>biogeography; diversity; microbiology; polar regions; ecology; high-throughput sequencing; 16S rRNA gene</t>
  </si>
  <si>
    <t>DISTANCE-DECAY; GLOBAL DISTRIBUTION; MICROORGANISMS; BIODIVERSITY; COMMUNITIES; DIVERSITY; BIOGEOGRAPHY; ECOSYSTEMS; RESPONSES; ENDEMISM</t>
  </si>
  <si>
    <t>The global biogeography of microorganisms remains poorly resolved, which limits the current understanding of microbial resilience toward environmental changes. Using high-throughput 16S rRNA gene amplicon sequencing, we characterized the microbial diversity of terrestrial and lacustrine biofilms from the Arctic, Antarctic and temperate regions. Our analyses suggest that bacterial community compositions at the poles are more similar to each other than they are to geographically closer temperate habitats, with 32% of all operational taxonomic units (OTUs) co-occurring in both polar regions. While specific microbial taxa were confined to distinct regions, representing potentially endemic populations, the percentage of cosmopolitan taxa was higher in Arctic (43%) than in Antarctic samples (36%). The overlap in polar microbial OTUs may be explained by natural or anthropogenically-mediated dispersal in combination with environmental filtering. Current and future changing environmental conditions may enhance microbial invasion, establishment of cosmopolitan genotypes and loss of endemic taxa.</t>
  </si>
  <si>
    <t>[Kleinteich, Julia; Zarfl, Christiane] Univ Tubingen, Ctr Appl Geosci, Tubingen, Germany; [Hildebrand, Falk; Voigt, Anita Y.; Bork, Peer] European Mol Biol Lab, Struct &amp; Computat Biol, Heidelberg, Germany; [Bahram, Mohammad] Uppsala Univ, Evolutionary Biol Ctr, Uppsala, Sweden; [Bahram, Mohammad] Univ Tartu, Inst Ecol &amp; Earth Sci, Dept Bot, Tartu, Estonia; [Wood, Susanna A.] Cawthron Inst, Coastal &amp; Freshwater, Nelson, New Zealand; [Wood, Susanna A.] Univ Waikato, Environm Res Inst, Hamilton, New Zealand; [Jungblut, Anne D.] London Nat Hist Museum, London, England; [Kupper, Frithjof C.] Scottish Assoc Marine Sci, Oban, Argyll, Scotland; [Kupper, Frithjof C.] Univ Aberdeen, Oceanlab, Aberdeen, Scotland; [Quesada, Antonio] Autonomous Univ Madrid, Dept Biol, Madrid, Spain; [Camacho, Antonio] Univ Valencia, Cavanilles Inst Biodivers &amp; Evolutionary Biol, Valencia, Spain; [Pearce, David A.] Univ Northumbria Newcastle, Fac Hlth &amp; Life Sci, Dept Appl Sci, Newcastle Upon Tyne, Tyne &amp; Wear, England; [Pearce, David A.; Convey, Peter] British Antarctic Survey, Cambridge, England; [Vincent, Warwick F.] Univ Laval, Dept Biol, Quebec City, PQ, Canada; [Vincent, Warwick F.] Univ Laval, Ctr Northern Studies, Quebec City, PQ, Canada; [Bork, Peer] Max Delbruck Ctr Mol Med, Berlin, Germany; [Bork, Peer] Univ Wurzburg, Dept Bioinformat, Wurzburg, Germany; [Dietrich, Daniel R.] Univ Konstanz, Human &amp; Environm Toxicol, Constance, Germany; [Voigt, Anita Y.] Jackson Lab Genom Med, Farmington, CT USA</t>
  </si>
  <si>
    <t>Eberhard Karls University of Tubingen; European Molecular Biology Laboratory (EMBL); Uppsala University; University of Tartu; Tartu University Institute of Ecology &amp; Earth Sciences; Cawthron Institute; University of Waikato; UHI Millennium Institute; University of Aberdeen; Autonomous University of Madrid; University of Valencia; Northumbria University; UK Research &amp; Innovation (UKRI); Natural Environment Research Council (NERC); NERC British Antarctic Survey; Laval University; Laval University; Helmholtz Association; Max Delbruck Center for Molecular Medicine; University of Wurzburg; University of Konstanz; Jackson Laboratory</t>
  </si>
  <si>
    <t>Dietrich, DR (corresponding author), Univ Konstanz, Human &amp; Environm Toxicol, Constance, Germany.</t>
  </si>
  <si>
    <t>daniel.dietrich@uni-konstanz.de</t>
  </si>
  <si>
    <t>Bahram, Mohammad/A-9766-2010; Bork, Peer/F-1813-2013; Convey, Peter/AAV-5728-2020; Vincent, Warwick/AAH-6152-2019; Dietrich, Daniel/AAP-8698-2021; Camacho, Antonio/I-3417-2015; Hildebrand, Falk/K-1914-2014; Quesada, Antonio/L-2430-2013</t>
  </si>
  <si>
    <t>Bahram, Mohammad/0000-0002-9539-3307; Convey, Peter/0000-0001-8497-9903; Vincent, Warwick/0000-0001-9055-1938; Camacho, Antonio/0000-0003-0841-2010; Pearce, David/0000-0001-5292-4596; Hildebrand, Falk/0000-0002-0078-8948; Quesada, Antonio/0000-0002-8913-5993</t>
  </si>
  <si>
    <t>Carl Zeiss foundation; Marie-Curie COFUND-BEIPD PostDoc fellowship; FNRS; UNIS; Natural Environment Research Council (NERC) Antarctic Funding Initiative [AFI-CGS-70]; German Federal Ministry of Education and Research; German Research Foundation (DFG); MetaHIT [HEALTH-F4-2007-201052]; Microbios [ERC-AdG-502 669830]; European Molecular Biology Laboratory (EMBL); EMBL; NERC; Helge Ax:son Johnsons Stiftelse; DFG [DI698/18-1]; Marie Curie International Research Staff Exchange Scheme Fellowship [PIRSES-GA-2011-295223]; Natural Sciences and Engineering Research Council of Canada (NSERC); ArcticNet; Polar Continental Shelf Program (PCSP); TOTAL Foundation (Paris); UK NERC [WP 4.3]; Spanish Ministry of Science and Technology through project LIMNOPOLAR - European FEDER funds [POL200606635, CGL2005-06549-C02-01/ANT, CGL2005-06549-C02-02/ANT]; MASTS pooling initiative (The Marine Alliance for Science and Technology for Scotland) - the Scottish Funding Council [HR09011]; [PUT1317]; NERC [bas0100036] Funding Source: UKRI</t>
  </si>
  <si>
    <t>Carl Zeiss foundation; Marie-Curie COFUND-BEIPD PostDoc fellowship(European Union (EU)); FNRS(Fonds de la Recherche Scientifique - FNRS); UNIS; Natural Environment Research Council (NERC) Antarctic Funding Initiative(UK Research &amp; Innovation (UKRI)Natural Environment Research Council (NERC)); German Federal Ministry of Education and Research(Federal Ministry of Education &amp; Research (BMBF)); German Research Foundation (DFG)(German Research Foundation (DFG)); MetaHIT; Microbios; European Molecular Biology Laboratory (EMBL); EMBL; NERC(UK Research &amp; Innovation (UKRI)Natural Environment Research Council (NERC)); Helge Ax:son Johnsons Stiftelse; DFG(German Research Foundation (DFG)); Marie Curie International Research Staff Exchange Scheme Fellowship(Marie Curie Actions); Natural Sciences and Engineering Research Council of Canada (NSERC)(Natural Sciences and Engineering Research Council of Canada (NSERC)); ArcticNet; Polar Continental Shelf Program (PCSP)(Natural Resources Canada); TOTAL Foundation (Paris); UK NERC(UK Research &amp; Innovation (UKRI)Natural Environment Research Council (NERC)); Spanish Ministry of Science and Technology through project LIMNOPOLAR - European FEDER funds; MASTS pooling initiative (The Marine Alliance for Science and Technology for Scotland) - the Scottish Funding Council; ; NERC(UK Research &amp; Innovation (UKRI)Natural Environment Research Council (NERC))</t>
  </si>
  <si>
    <t>JK acknowledges the Carl Zeiss foundation for PhD funding, the Marie-Curie COFUND-BEIPD PostDoc fellowship for PostDoc funding, FNRS travel funding and the logistical and financial support by UNIS. JK and FK acknowledge the Natural Environment Research Council (NERC) Antarctic Funding Initiative AFI-CGS-70 (collaborative gearing scheme) and logistic support from the British Antarctic Survey (BAS) for field work in Antarctica. JK and CZ acknowledge the Excellence Initiative at the University of Tubingen funded by the German Federal Ministry of Education and Research and the German Research Foundation (DFG). FH, AV, and PB received funding from MetaHIT (HEALTH-F4-2007-201052), Microbios (ERC-AdG-502 669830) and the European Molecular Biology Laboratory (EMBL). We thank members of the Bork group at EMBL for helpful discussions. We acknowledge the EMBL Genomics Core Facility for sequencing support and Y. P. Yuan and the EMBL Information Technology Core Facility for support with high-performance computing and EMBL for financial support. PC is supported by NERC core funding to the BAS Biodiversity, Evolution and Adaptation Team. MB was funded by Helge Ax:son Johnsons Stiftelse and PUT1317. DRD acknowledges the DFG funded project DI698/18-1 Dietrich and the Marie Curie International Research Staff Exchange Scheme Fellowship (PIRSES-GA-2011-295223). Operations in the Canadian High Arctic were supported by the Natural Sciences and Engineering Research Council of Canada (NSERC), ArcticNet and the Polar Continental Shelf Program (PCSP). We are also grateful to the TOTAL Foundation (Paris) and the UK NERC (WP 4.3 of Oceans 2025 core funding to FCK at the Scottish Association for Marine Science) for funding the expedition to Baffin Island and within this context Olivier Dargent and Dr. Pieter van West for sample collection, and the Spanish Ministry of Science and Technology through project LIMNOPOLAR (POL200606635 and CGL2005-06549-C02-01/ANT to AQ as well as CGL2005-06549-C02-02/ANT to AC, the last of these co-financed by European FEDER funds). We are grateful for funding from the MASTS pooling initiative (The Marine Alliance for Science and Technology for Scotland), funded by the Scottish Funding Council (HR09011) and contributing institutions.</t>
  </si>
  <si>
    <t>2296-701X</t>
  </si>
  <si>
    <t>FRONT ECOL EVOL</t>
  </si>
  <si>
    <t>Front. Ecol. Evol.</t>
  </si>
  <si>
    <t>10.3389/fevo.2017.00137</t>
  </si>
  <si>
    <t>HC2AZ</t>
  </si>
  <si>
    <t>Green Accepted, Green Published, gold</t>
  </si>
  <si>
    <t>WOS:000451605900001</t>
  </si>
  <si>
    <t>Rojas-Jimenez, K; Wurzbacher, C; Bourne, EC; Chiuchiolo, A; Priscu, JC; Grossart, HP</t>
  </si>
  <si>
    <t>Rojas-Jimenez, Keilor; Wurzbacher, Christian; Bourne, Elizabeth Charlotte; Chiuchiolo, Amy; Priscu, John C.; Grossart, Hans-Peter</t>
  </si>
  <si>
    <t>Early diverging lineages within Cryptomycota and Chytridiomycota dominate the fungal communities in ice-covered lakes of the McMurdo Dry Valleys, Antarctica</t>
  </si>
  <si>
    <t>POLAR NIGHT; DIVERSITY; ECOLOGY; MARINE; PRODUCTIVITY; ECOSYSTEMS; DEFICIENCY; DYNAMICS; CHYTRIDS; DATABASE</t>
  </si>
  <si>
    <t>Antarctic ice-covered lakes are exceptional sites for studying the ecology of aquatic fungi under conditions of minimal human disturbance. In this study, we explored the diversity and community composition of fungi in five permanently covered lake basins located in the Taylor and Miers Valleys of Antarctica. Based on analysis of the 18S rRNA sequences, we showed that fungal taxa represented between 0.93% and 60.32% of the eukaryotic sequences. Cryptomycota and Chytridiomycota dominated the fungal communities in all lakes; however, members of Ascomycota, Basidiomycota, Zygomycota, and Blastocladiomycota were also present. Of the 1313 fungal OTUs identified, the two most abundant, belonging to LKM11 and Chytridiaceae, comprised 74% of the sequences. Significant differences in the community structure were determined among lakes, water depths, habitat features (i.e., brackish vs. freshwaters), and nucleic acids (DNA vs. RNA), suggesting niche differentiation. Network analysis suggested the existence of strong relationships among specific fungal phylotypes as well as between fungi and other eukaryotes. This study sheds light on the biology and ecology of basal fungi in aquatic systems. To our knowledge, this is the first report showing the predominance of early diverging lineages of fungi in pristine limnetic ecosystems, particularly of the enigmatic phylum Cryptomycota.</t>
  </si>
  <si>
    <t>[Rojas-Jimenez, Keilor; Wurzbacher, Christian; Grossart, Hans-Peter] Leibniz Inst Freshwater Ecol &amp; Inland Fisheries, Dept Expt Limnol, Alte Fischerhuette 2, D-16775 Stechlin, Germany; [Rojas-Jimenez, Keilor] Univ Latina Costa Rica, Campus San Pedro, San Jose 101381000, Costa Rica; [Wurzbacher, Christian; Bourne, Elizabeth Charlotte] Berlin Ctr Genom Biodivers Res, Konigin Luise Str 6-8, D-14195 Berlin, Germany; [Bourne, Elizabeth Charlotte] Leibniz Inst Freshwater Ecol &amp; Inland Fisheries, Dept Ecosyst Res, Muggelseedamm 301 &amp; 210, D-16775 Berlin, Germany; [Chiuchiolo, Amy; Priscu, John C.] Montana State Univ, Dept Land Resources &amp; Environm Sci, 334 Leon Johnson Hall, Bozeman, MT 59717 USA; [Grossart, Hans-Peter] Potsdam Univ, Inst Biochem &amp; Biol, Maulbeerallee 2, D-14469 Potsdam, Germany</t>
  </si>
  <si>
    <t>Leibniz Institut fur Gewasserokologie und Binnenfischerei (IGB); Leibniz Institut fur Gewasserokologie und Binnenfischerei (IGB); Montana State University System; Montana State University Bozeman; University of Potsdam</t>
  </si>
  <si>
    <t>Grossart, HP (corresponding author), Leibniz Inst Freshwater Ecol &amp; Inland Fisheries, Dept Expt Limnol, Alte Fischerhuette 2, D-16775 Stechlin, Germany.;Grossart, HP (corresponding author), Potsdam Univ, Inst Biochem &amp; Biol, Maulbeerallee 2, D-14469 Potsdam, Germany.</t>
  </si>
  <si>
    <t>hgrossart@igb-berlin.de</t>
  </si>
  <si>
    <t>Bourne, Elizabeth/0000-0002-6369-9133; Rojas-Jimenez, Keilor/0000-0003-4261-0010; Grossart, Hans-Peter/0000-0002-9141-0325</t>
  </si>
  <si>
    <t>Leibniz Mycolink SAW project [Pakt/SAW-2014-IGB-1]; US National Science Foundation [PLR1439774, PLR1115245, PLR 1543537]; NASA NRA [NNH14ZDA001N-PSTAR]; Directorate For Geosciences; Office of Polar Programs (OPP) [1115245] Funding Source: National Science Foundation</t>
  </si>
  <si>
    <t>Leibniz Mycolink SAW project; US National Science Foundation(National Science Foundation (NSF)); NASA NRA(National Aeronautics &amp; Space Administration (NASA)); Directorate For Geosciences; Office of Polar Programs (OPP)(National Science Foundation (NSF)NSF - Directorate for Geosciences (GEO))</t>
  </si>
  <si>
    <t>We are deeply thankful to the US MCM Microbial Observatory and the McMurdo Long-Term Ecological Research team for assistance with fieldwork. We also thank Mario Quiros-Quesada for his support with the map design. Funding was provided by the Leibniz Mycolink SAW project (Pakt/SAW-2014-IGB-1) given to HPG and ECB. JCP was funded by US National Science Foundation grants PLR1439774, PLR1115245, PLR 1543537 and NASA NRA NNH14ZDA001N-PSTAR.</t>
  </si>
  <si>
    <t>10.1038/s41598-017-15598-w</t>
  </si>
  <si>
    <t>FM3OX</t>
  </si>
  <si>
    <t>WOS:000414917800088</t>
  </si>
  <si>
    <t>Benedict, KB; Anastasio, C</t>
  </si>
  <si>
    <t>Benedict, Katherine B.; Anastasio, Cort</t>
  </si>
  <si>
    <t>Quantum Yields of Nitrite (NO2-) from the Photolysis of Nitrate (NO3-) in Ice at 313 nm</t>
  </si>
  <si>
    <t>JOURNAL OF PHYSICAL CHEMISTRY A</t>
  </si>
  <si>
    <t>ATMOSPHERIC NITROUS-ACID; EAST ANTARCTIC PLATEAU; AIR-SNOW TRANSFER; BOUNDARY-LAYER; REACTIVE NITROGEN; HYDROXYL RADICALS; AQUEOUS-SOLUTIONS; PHOTOCHEMICAL PRODUCTION; HYDROGEN-PEROXIDE; SURFACE SNOW</t>
  </si>
  <si>
    <t>Photochemical reactions of nitrate in snow release reactive nitrogen species via two channels, which produce (l) nitrogen dioxide (NO2) and hydroxyl radical ((OH)-O-center dot) and (2) nitrite (NO2-) and oxygen atom (O(P-3)). Quantum yields (phi) for these channels are generally well characterized, except for channel 2 in ice. In this study, we quantify phi(NO2-) in water ices and examine the impacts of pH and organic scavengers of (OH)-O-center dot. Compared to solution results, we find that nitrite quantum yields in ice are more sensitive to pH and that (OH)-O-center dot scavengers are less effective, although 2-propanol appears to work well. The temperature dependence (-30 to 25 degrees C) of phi(NO2-) in samples containing 2-propanol is well described by a single regression line, ln(phi(NO2-)) =-(1330 +/- 100)(1/T(K)) + (0.09 +/- 0.39). At -10 degrees C, the resulting quantum yield is 4.6 times larger than the previously reported (and recommended) value without an (OH)-O-center dot scavenger. Although some reports suggest nitrite is a minor product from nitrate photolysis, based on our current and past results, rates of photoproduction of NO2- and NO2 are similar at room temperature, while NO2- production dominates at lower temperatures in solution and ice.</t>
  </si>
  <si>
    <t>[Benedict, Katherine B.; Anastasio, Cort] Univ Calif Davis, Dept Land Air &amp; Water Resources, One Shields Ave, Davis, CA 95616 USA; [Benedict, Katherine B.] Colorado State Univ, Dept Atmospher Sci, Ft Collins, CO 80523 USA</t>
  </si>
  <si>
    <t>University of California System; University of California Davis; Colorado State University</t>
  </si>
  <si>
    <t>Anastasio, C (corresponding author), Univ Calif Davis, Dept Land Air &amp; Water Resources, One Shields Ave, Davis, CA 95616 USA.</t>
  </si>
  <si>
    <t>canastasio@ucdavis.edu</t>
  </si>
  <si>
    <t>Benedict, Katherine/E-6260-2011; Benedict, Katherine/AAA-6514-2021</t>
  </si>
  <si>
    <t>Benedict, Katherine/0000-0002-0530-8835; Benedict, Katherine/0000-0002-0530-8835</t>
  </si>
  <si>
    <t>Arctic Natural Sciences at the National Science Foundation [ANS-1204169]; Office of Polar Programs (OPP); Directorate For Geosciences [1204169] Funding Source: National Science Foundation</t>
  </si>
  <si>
    <t>Arctic Natural Sciences at the National Science Foundation; Office of Polar Programs (OPP); Directorate For Geosciences(National Science Foundation (NSF)NSF - Directorate for Geosciences (GEO))</t>
  </si>
  <si>
    <t>This work was funded by the Arctic Natural Sciences at the National Science Foundation (ANS-1204169). We thank Alex Funderburk and Emily Lucie for assistance with experiments; Barry Lefer for the Summit snow samples; and Richie Kaur and Qi Zhang for snow sample measurements of ions and TOC/IC.</t>
  </si>
  <si>
    <t>1089-5639</t>
  </si>
  <si>
    <t>J PHYS CHEM A</t>
  </si>
  <si>
    <t>J. Phys. Chem. A</t>
  </si>
  <si>
    <t>NOV 9</t>
  </si>
  <si>
    <t>10.1021/acs.jpca.7b08839</t>
  </si>
  <si>
    <t>Chemistry, Physical; Physics, Atomic, Molecular &amp; Chemical</t>
  </si>
  <si>
    <t>Chemistry; Physics</t>
  </si>
  <si>
    <t>FM6DZ</t>
  </si>
  <si>
    <t>WOS:000415141000017</t>
  </si>
  <si>
    <t>de Lavergne, C; Madec, G; Roquet, F; Holmes, RM; McDougall, TJ</t>
  </si>
  <si>
    <t>de lavergne, C.; Madec, G.; Roquet, F.; Holmes, R. M.; McDougall, T. J.</t>
  </si>
  <si>
    <t>Abyssal ocean overturning shaped by seafloor distribution</t>
  </si>
  <si>
    <t>LARGE-SCALE CIRCULATION; ANTARCTIC BOTTOM WATER; SOUTH-PACIFIC OCEAN; MID-ATLANTIC RIDGE; GLOBAL OCEAN; DEEP-WATER; NORTH PACIFIC; INDIAN-OCEAN; WORLD OCEAN; TURBULENT DISSIPATION</t>
  </si>
  <si>
    <t>The abyssal ocean is broadly characterized by northward flow of the densest waters and southward flow of less-dense waters above them. Understanding what controls the strength and structure of these interhemispheric flows-referred to as the abyssal overturning circulation-is key to quantifying the ocean's ability to store carbon and heat on timescales exceeding a century. Here we show that, north of 32 degrees S, the depth distribution of the seafloor compels dense southernorigin waters to flow northward below a depth of about 4 kilometres and to return southward predominantly at depths greater than 2.5 kilometres. Unless ventilated from the north, the overlying mid-depths (1 to 2.5 kilometres deep) host comparatively weak mean meridional flow. Backed by analysis of historical radiocarbon measurements, the findings imply that the geometry of the Pacific, Indian and Atlantic basins places a major external constraint on the overturning structure.</t>
  </si>
  <si>
    <t>[de lavergne, C.; Holmes, R. M.; McDougall, T. J.] Univ New South Wales, Sch Math &amp; Stat, Sydney, NSW 2052, Australia; [de lavergne, C.; Madec, G.] Univ Pierre &amp; Marie Curie Paris 6, CNRS, IRD, MNHN,Sorbonne Univ,LOCEAN Lab, F-75005 Paris, France; [Roquet, F.] Stockholm Univ, Dept Meteorol MISU, S-11418 Stockholm, Sweden; [Holmes, R. M.] Univ New South Wales, Climate Change Res Ctr, Sydney, NSW 2052, Australia; [Holmes, R. M.] Univ New South Wales, ARC Ctr Excellence Climate Syst Sci, Sydney, NSW 2052, Australia</t>
  </si>
  <si>
    <t>University of New South Wales Sydney; Centre National de la Recherche Scientifique (CNRS); Sorbonne Universite; Museum National d'Histoire Naturelle (MNHN); Institut de Recherche pour le Developpement (IRD); Stockholm University; University of New South Wales Sydney; ARC Centre of Excellence for Climate System Science; University of New South Wales Sydney</t>
  </si>
  <si>
    <t>de Lavergne, C (corresponding author), Univ New South Wales, Sch Math &amp; Stat, Sydney, NSW 2052, Australia.;de Lavergne, C (corresponding author), Univ Pierre &amp; Marie Curie Paris 6, CNRS, IRD, MNHN,Sorbonne Univ,LOCEAN Lab, F-75005 Paris, France.</t>
  </si>
  <si>
    <t>casimir.delavergne@gmail.com</t>
  </si>
  <si>
    <t>Roquet, Fabien/D-4848-2013; madec, gurvan/E-7825-2010; McDougall, Trevor J/A-6770-2013; Holmes, Ryan/J-3024-2019</t>
  </si>
  <si>
    <t>madec, gurvan/0000-0002-6447-4198; Holmes, Ryan/0000-0002-6799-9109; de Lavergne, Casimir/0000-0001-9267-7390; Roquet, Fabien/0000-0003-1124-4564</t>
  </si>
  <si>
    <t>Australian Research Council [FL150100090]; Australian Research Council [FL150100090] Funding Source: Australian Research Council</t>
  </si>
  <si>
    <t>We thank P. Barker and J. Dunn for their help with the mapping and for providing the distance look-up tables. We also thank J. Nycander, A. Melet, M. Nikurashin and J. Goff for sharing their published datasets. C.d.L., R.M.H. and T.J.McD. gratefully acknowledge Australian Research Council support through grant FL150100090.</t>
  </si>
  <si>
    <t>10.1038/nature24472</t>
  </si>
  <si>
    <t>FM1KF</t>
  </si>
  <si>
    <t>WOS:000414734200038</t>
  </si>
  <si>
    <t>Ade, PAR; Ahmed, Z; Aikin, RW; Alexander, KD; Barkats, D; Benton, SJ; Bischoff, CA; Bock, JJ; Bowens-Rubin, R; Brevik, JA; Buder, I; Bullock, E; Buza, V; Connors, J; Crill, BP; Duband, L; Dvorkin, C; Filippini, JP; Fliescher, S; Germaine, TS; Ghosh, T; Grayson, J; Harrison, S; Hildebrandt, SR; Hilton, GC; Hui, H; Irwin, KD; Kang, J; Karkare, KS; Karpel, E; Kaufman, JP; Keating, BG; Kefeli, S; Kernasovskiy, SA; Kovac, JM; Kuo, CL; Larson, N; Leitch, EM; Megerian, KG; Moncelsi, L; Namikawa, T; Netterfield, CB; Nguyen, HT; O'Brient, R; Ogburn, RW; Pryke, C; Richter, S; Schillaci, A; Schwarz, R; Sheehy, CD; Staniszewski, ZK; Steinbach, B; Sudiwala, RV; Teply, GP; Thompson, KL; Tolan, JE; Tucker, C; Turner, AD; Vieregg, AG; Weber, AC; Wiebe, DV; Willmert, J; Wong, CL; Wu, WLK; Yoon, KW</t>
  </si>
  <si>
    <t>Ade, P. A. R.; Ahmed, Z.; Aikin, R. W.; Alexander, K. D.; Barkats, D.; Benton, S. J.; Bischoff, C. A.; Bock, J. J.; Bowens-Rubin, R.; Brevik, J. A.; Buder, I.; Bullock, E.; Buza, V.; Connors, J.; Crill, B. P.; Duband, L.; Dvorkin, C.; Filippini, J. P.; Fliescher, S.; Germaine, T. St.; Ghosh, T.; Grayson, J.; Harrison, S.; Hildebrandt, S. R.; Hilton, G. C.; Hui, H.; Irwin, K. D.; Kang, J.; Karkare, K. S.; Karpel, E.; Kaufman, J. P.; Keating, B. G.; Kefeli, S.; Kernasovskiy, S. A.; Kovac, J. M.; Kuo, C. L.; Larson, N.; Leitch, E. M.; Megerian, K. G.; Moncelsi, L.; Namikawa, T.; Netterfield, C. B.; Nguyen, H. T.; O'Brient, R.; Ogburn, R. W.; Pryke, C.; Richter, S.; Schillaci, A.; Schwarz, R.; Sheehy, C. D.; Staniszewski, Z. K.; Steinbach, B.; Sudiwala, R. V.; Teply, G. P.; Thompson, K. L.; Tolan, J. E.; Tucker, C.; Turner, A. D.; Vieregg, A. G.; Weber, A. C.; Wiebe, D. V.; Willmert, J.; Wong, C. L.; Wu, W. L. K.; Yoon, K. W.</t>
  </si>
  <si>
    <t>BICEP2 / Keck Array IX: New bounds on anisotropies of CMB polarization rotation and implications for axionlike particles and primordial magnetic fields</t>
  </si>
  <si>
    <t>PHYSICAL REVIEW D</t>
  </si>
  <si>
    <t>We present the strongest constraints to date on anisotropies of cosmic microwave background (CMB) polarization rotation derived from 150 GHz data taken by the BICEP2 &amp; Keck Array CMB experiments up to and including the 2014 observing season (BK14). The definition of the polarization angle in BK14 maps has gone through self-calibration in which the overall angle is adjusted to minimize the observed TB and EB power spectra. After this procedure, the QU maps lose sensitivity to a uniform polarization rotation but are still sensitive to anisotropies of polarization rotation. This analysis places constraints on the anisotropies of polarization rotation, which could be generated by CMB photons interacting with axionlike pseudoscalar fields or Faraday rotation induced by primordial magnetic fields. The sensitivity of BK14 maps (similar to 3 mu K-arc min) makes it possible to reconstruct anisotropies of the polarization rotation angle and measure their angular power spectrum much more precisely than previous attempts. Our data are found to be consistent with no polarization rotation anisotropies, improving the upper bound on the amplitude of the rotation angle spectrum by roughly an order of magnitude compared to the previous best constraints. Our results lead to an order of magnitude better constraint on the coupling constant of the Chern-Simons electromagnetic term g(ar) &lt;= 7.2 x 10(-2) / H-1 (95% confidence) than the constraint derived from the B-mode spectrum, where HI is the inflationary Hubble scale. This constraint leads to a limit on the decay constant of 10(-6) less than or similar to f(a) / M-pl at mass range of 10(-33) &lt;= m(a) &lt;= 10(-28) eV for r = 0.01, assuming g(ar) similar to alpha/(2 pi f(a)) with a denoting the fine structure constant. The upper bound on the amplitude of the primordial magnetic fields is 30 nG (95% confidence) from the polarization rotation anisotropies.</t>
  </si>
  <si>
    <t>[Ade, P. A. R.; Sudiwala, R. V.; Tucker, C.] Cardiff Univ, Sch Phys &amp; Astron, Cardiff CF24 3AA, S Glam, Wales; [Ahmed, Z.; Irwin, K. D.; Kang, J.; Kuo, C. L.; Namikawa, T.; Ogburn, R. W.; Thompson, K. L.; Yoon, K. W.] Kavli Inst Particle Astrophys &amp; Cosmol, SLAC Natl Accelerator Lab, 2575 Sand Hill Rd, Menlo Pk, CA 94025 USA; [Ahmed, Z.; Grayson, J.; Irwin, K. D.; Kang, J.; Karpel, E.; Kernasovskiy, S. A.; Kuo, C. L.; Namikawa, T.; Ogburn, R. W.; Thompson, K. L.; Tolan, J. E.; Wu, W. L. K.; Yoon, K. W.] Stanford Univ, Dept Phys, Stanford, CA 94305 USA; [Aikin, R. W.; Bock, J. J.; Brevik, J. A.; Ghosh, T.; Hui, H.; Kefeli, S.; Moncelsi, L.; O'Brient, R.; Schillaci, A.; Staniszewski, Z. K.; Steinbach, B.] CALTECH, Dept Phys, Pasadena, CA 91125 USA; [Alexander, K. D.; Barkats, D.; Bowens-Rubin, R.; Buder, I.; Buza, V.; Connors, J.; Harrison, S.; Karkare, K. S.; Kovac, J. M.; Richter, S.; Wong, C. L.] Harvard Smithsonian Ctr Astrophys, 60 Garden St MS 42, Cambridge, MA 02138 USA; [Benton, S. J.] Univ Toronto, Dept Phys, Toronto, ON M5S 1A7, Canada; [Bischoff, C. A.] Univ Cincinnati, Dept Phys, Cincinnati, OH 45221 USA; [Bock, J. J.; Crill, B. P.; Hildebrandt, S. R.; Megerian, K. G.; Nguyen, H. T.; O'Brient, R.; Staniszewski, Z. K.; Turner, A. D.; Weber, A. C.] Jet Prop Lab, Pasadena, CA 91109 USA; [Bullock, E.; Pryke, C.] Univ Minnesota, Minnesota Inst Astrophys, Minneapolis, MN 55455 USA; [Buza, V.; Dvorkin, C.; Germaine, T. St.; Kovac, J. M.; Wong, C. L.] Harvard Univ, Dept Phys, Cambridge, MA 02138 USA; [Duband, L.] CEA, Serv Basses Temp, F-38054 Grenoble, France; [Filippini, J. P.] Univ Illinois, Dept Phys, Urbana, IL 61801 USA; [Fliescher, S.; Pryke, C.; Schwarz, R.; Willmert, J.] Univ Minnesota, Sch Phys &amp; Astron, Minneapolis, MN 55455 USA; [Irwin, K. D.] NIST, Boulder, CO 80305 USA; [Kaufman, J. P.; Keating, B. G.; Teply, G. P.] Univ Calif San Diego, Dept Phys, La Jolla, CA 92093 USA; [Larson, N.; Vieregg, A. G.] Univ Chicago, Enrico Fermi Inst, Dept Phys, Chicago, IL 60637 USA; [Leitch, E. M.; Vieregg, A. G.] Univ Chicago, Kavli Inst Cosmol Phys, Chicago, IL 60637 USA; [Netterfield, C. B.] Canadian Inst Adv Res, Toronto, ON M5G 1Z8, Canada; [Sheehy, C. D.] Brookhaven Natl Lab, Upton, NY 11973 USA; [Wiebe, D. V.] Univ British Columbia, Dept Phys &amp; Astron, Vancouver, BC V6T 1Z1, Canada; [Wu, W. L. K.] Univ Calif Berkeley, Dept Phys, Berkeley, CA 94720 USA</t>
  </si>
  <si>
    <t>Cardiff University; Stanford University; United States Department of Energy (DOE); SLAC National Accelerator Laboratory; Stanford University; California Institute of Technology; Smithsonian Astrophysical Observatory; Harvard University; Smithsonian Institution; University of Toronto; University System of Ohio; University of Cincinnati; National Aeronautics &amp; Space Administration (NASA); NASA Jet Propulsion Laboratory (JPL); University of Minnesota System; University of Minnesota Twin Cities; Harvard University; CEA; University of Illinois System; University of Illinois Urbana-Champaign; University of Minnesota System; University of Minnesota Twin Cities; National Institute of Standards &amp; Technology (NIST) - USA; University of California System; University of California San Diego; University of Chicago; University of Chicago; Canadian Institute for Advanced Research (CIFAR); United States Department of Energy (DOE); Brookhaven National Laboratory; University of British Columbia; University of California System; University of California Berkeley</t>
  </si>
  <si>
    <t>Namikawa, T (corresponding author), Kavli Inst Particle Astrophys &amp; Cosmol, SLAC Natl Accelerator Lab, 2575 Sand Hill Rd, Menlo Pk, CA 94025 USA.;Namikawa, T (corresponding author), Stanford Univ, Dept Phys, Stanford, CA 94305 USA.</t>
  </si>
  <si>
    <t>toshiyan@stanford.edu</t>
  </si>
  <si>
    <t>sun, huan/JEO-7152-2023; Nguyễn, Hương/JUV-6128-2023; Nguyen, H.T/AAG-1974-2021; Keating, Brian G/J-6063-2017; kaufman, jarrod/GXV-3683-2022; Moncelsi, Lorenzo/AAU-1009-2020; Ghosh, Tuhin/GWU-5536-2022</t>
  </si>
  <si>
    <t>Nguyen, H.T/0000-0001-5580-2877; Moncelsi, Lorenzo/0000-0002-4242-3015; Kang, Jae Hwan/0000-0002-3470-2954; Willmert, Justin/0000-0002-6452-4693; /0000-0002-5215-6993; Hildebrandt, Sergi/0000-0003-0220-0009; Schillaci, Alessandro/0000-0002-0512-1042; Hui, Howard/0000-0001-5812-1903; Bowens-Rubin, Rachel/0000-0001-5831-9530; Bischoff, Colin/0000-0001-9185-6514; Namikawa, Toshiya/0000-0003-3070-9240; Tucker, Carole/0000-0002-1851-3918; Kovac, John/0009-0003-5432-7180; Irwin, Kent/0000-0002-2998-9743; Crill, Brendan/0000-0002-4650-8518</t>
  </si>
  <si>
    <t>National Science Foundation [ANT-1145172, ANT-1145143, ANT-1145248]; Keck Foundation; JPL Research and Technology Development Fund; NASA APRA program [06-ARPA206-0040, 10-SAT10-0017]; SAT program; Canada Foundation for Innovation grant; FAS Science Division Research Computing Group at Harvard University; U.S. Department of Energy Office of Science; STFC [ST/N000706/1] Funding Source: UKRI; Science and Technology Facilities Council [ST/N000706/1] Funding Source: researchfish; Direct For Mathematical &amp; Physical Scien; Division Of Physics [1125897] Funding Source: National Science Foundation; Directorate For Geosciences; Office of Polar Programs (OPP) [1145248] Funding Source: National Science Foundation; Directorate For Geosciences; Office of Polar Programs (OPP) [1145143] Funding Source: National Science Foundation; Division Of Astronomical Sciences; Direct For Mathematical &amp; Physical Scien [1255358] Funding Source: National Science Foundation</t>
  </si>
  <si>
    <t>National Science Foundation(National Science Foundation (NSF)); Keck Foundation(W.M. Keck Foundation); JPL Research and Technology Development Fund; NASA APRA program; SAT program; Canada Foundation for Innovation grant(Canada Foundation for Innovation); FAS Science Division Research Computing Group at Harvard University; U.S. Department of Energy Office of Science(United States Department of Energy (DOE)); STFC(UK Research &amp; Innovation (UKRI)Science &amp; Technology Facilities Council (STFC)); Science and Technology Facilities Council(UK Research &amp; Innovation (UKRI)Science &amp; Technology Facilities Council (STFC)); Direct For Mathematical &amp; Physical Scien; Division Of Physics(National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 Division Of Astronomical Sciences; Direct For Mathematical &amp; Physical Scien(National Science Foundation (NSF)NSF - Directorate for Mathematical &amp; Physical Sciences (MPS))</t>
  </si>
  <si>
    <t>The Keck Array project has been made possible through support from the National Science Foundation under Grants No. ANT-1145172 (Harvard), No. ANT-1145143 (Minnesota), and&amp; No. ANT-1145248 (Stanford) and from the Keck Foundation (Caltech). The development of antenna-coupled detector technology was supported by the JPL Research and Technology Development Fund and Grants No. 06-ARPA206-0040 and No.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Odyssey cluster supported by the FAS Science Division Research Computing Group at Harvard University. The analysis effort at Stanford and SLAC is partially supported by the U.S. Department of Energy Office of Science. We thank the staff of the U.S. Antarctic Program and in particular the South Pole Station, without whose help this research would not have been possible. Most special thanks go to our heroic winter-overs Robert Schwarz and Steffen Richter. We thank all those who have contributed past efforts to the BICEP/Keck Array series of experiments, including the BICEP1 team. We thank Chang Feng for providing the histogram data shown in Ref. [31].</t>
  </si>
  <si>
    <t>AMER PHYSICAL SOC</t>
  </si>
  <si>
    <t>COLLEGE PK</t>
  </si>
  <si>
    <t>ONE PHYSICS ELLIPSE, COLLEGE PK, MD 20740-3844 USA</t>
  </si>
  <si>
    <t>2470-0010</t>
  </si>
  <si>
    <t>2470-0029</t>
  </si>
  <si>
    <t>PHYS REV D</t>
  </si>
  <si>
    <t>Phys. Rev. D</t>
  </si>
  <si>
    <t>10.1103/PhysRevD.96.102003</t>
  </si>
  <si>
    <t>FM1MB</t>
  </si>
  <si>
    <t>Green Submitted, Green Accepted, hybrid</t>
  </si>
  <si>
    <t>WOS:000414740300001</t>
  </si>
  <si>
    <t>Lagger, C; Servetto, N; Torre, L; Sahade, R</t>
  </si>
  <si>
    <t>Lagger, Cristian; Servetto, Natalia; Torre, Luciana; Sahade, Ricardo</t>
  </si>
  <si>
    <t>Benthic colonization in newly ice-free soft bottom areas in an Antarctic fjord</t>
  </si>
  <si>
    <t>KING GEORGE ISLAND; SOUTH SHETLAND ISLANDS; CLIMATE-CHANGE; POTTER COVE; ICEBERG DISTURBANCE; MARINE ECOSYSTEM; SHELF COLLAPSE; PENINSULA; COMMUNITIES; ASCIDIANS</t>
  </si>
  <si>
    <t>Extended glacier retreat is among the main consequences of the rapid warming of the West Antarctic Peninsula. Particularly, in the inner part of Potter Cove (South Shetland Islands, Antarctica) large areas are now exposed to open sea conditions owing to the retreat of Fourcade glacier. During the 2010 austral summer, underwater photographic surveys were undertaken by SCUBA diving up to 30 m in these new ice-free areas 80 m from the glacier front. Our main aim was to investigate colonization and early succession of the benthic assemblages on soft-bottom areas. Here, we reported a total of 1,146 animals belonging to 13 taxa. Filter-feeders comprised the largest trophic group and sessile fauna showed much higher coverages and densities than mobile fauna at all depths. The most abundant groups were ascidians and bryozoans, which together comprised-90% of all taxa documented. In a region where most of marine-terminating glaciers are in retreat, these results are an important contribution to improve our knowledge on colonization in the newly ice-free areas.</t>
  </si>
  <si>
    <t>[Lagger, Cristian; Servetto, Natalia; Torre, Luciana; Sahade, Ricardo] Univ Nacl Cordoba, Fac Ciencias Exactas Fis &amp; Nat, Lab Ecol Marina, Cordoba, Argentina; [Lagger, Cristian; Servetto, Natalia; Torre, Luciana; Sahade, Ricardo] Consejo Nacl Invest Cient &amp; Tecn CONICET, IDEA, Cordoba, Argentina</t>
  </si>
  <si>
    <t>National University of Cordoba; Consejo Nacional de Investigaciones Cientificas y Tecnicas (CONICET)</t>
  </si>
  <si>
    <t>Lagger, C (corresponding author), Univ Nacl Cordoba, Fac Ciencias Exactas Fis &amp; Nat, Lab Ecol Marina, Cordoba, Argentina.;Lagger, C (corresponding author), Consejo Nacl Invest Cient &amp; Tecn CONICET, IDEA, Cordoba, Argentina.</t>
  </si>
  <si>
    <t>laggercristan@gmail.com</t>
  </si>
  <si>
    <t>Sahade, Ricardo/0000-0001-5650-8135; Servetto, Natalia/0000-0002-3713-9116; Torre, Luciana/0000-0002-2090-1258</t>
  </si>
  <si>
    <t>Institute Antartico Argentino, Alfred Wegener Institute, CONICET, FONCyT, EU (European Union) [119]; IMCONet [FP7 IRSES (International Research Staff Exchange Scheme), Action [319718]</t>
  </si>
  <si>
    <t>Institute Antartico Argentino, Alfred Wegener Institute, CONICET, FONCyT, EU (European Union); IMCONet [FP7 IRSES (International Research Staff Exchange Scheme), Action</t>
  </si>
  <si>
    <t>Logistic and financial support was provided by Institute Antartico Argentino, Alfred Wegener Institute, CONICET, FONCyT, EU (European Union) via grants PICTO-DNA No 119, and IMCONet [FP7 IRSES (International Research Staff Exchange Scheme), Action No. 319718]. The funders had no role in study design, data collection and analysis, decision to publish, or preparation of the manuscript.</t>
  </si>
  <si>
    <t>NOV 8</t>
  </si>
  <si>
    <t>e0186756</t>
  </si>
  <si>
    <t>10.1371/Journal.pone.0186756</t>
  </si>
  <si>
    <t>FM0ME</t>
  </si>
  <si>
    <t>WOS:000414659600015</t>
  </si>
  <si>
    <t>Wang, JJ; Simoneit, BRT; Sheng, GY; Chen, LQ; Xu, LB; Wang, XM; Wang, YH; Sun, LG</t>
  </si>
  <si>
    <t>Wang, Jianjun; Simoneit, Bernd R. T.; Sheng, Guoying; Chen, Liqi; Xu, Libin; Wang, Xinming; Wang, Yuhong; Sun, Liguang</t>
  </si>
  <si>
    <t>The Potential of Alkyl Amides as Novel Biomarkers and Their Application to Paleocultural Deposits in China</t>
  </si>
  <si>
    <t>AIR-POLLUTION SOURCES; ORGANIC-COMPOUNDS; EMISSIONS; NITRILES; ESTERS</t>
  </si>
  <si>
    <t>A series of alkyl amides was detected and identified in the sedimentary record from an archaeological site at Yuchisi, Mengcheng, Anhui, China. The alkyl amides profiles change abruptly at the depth corresponding to the transition between two prehistoric cultures, which also corresponds to an abrupt change in the fatty acid ratio C-18:2/C-18:0. The different patterns of variation of the longer and shorter chain alkyl amides at the depth of the cultural transition may reflect differences in their response to external environmental changes, as well as different sources. This is the first study of the stratigraphic variation of alkyl amides in sediments, and their first application to assess paleoenvironmental changes. We suggest that alkyl amides may have potential as new biomarkers in archeological and paleoenvironmental studies.</t>
  </si>
  <si>
    <t>[Wang, Jianjun; Chen, Liqi] State Ocean Adm, Inst Oceanog 3, Key Lab Global Change &amp; Marine Atmospher Chem, Xiamen 361005, Fujian, Peoples R China; [Wang, Jianjun; Xu, Libin; Sun, Liguang] Univ Sci &amp; Technol China, Inst Polar Environm, Hefei 230026, Anhui, Peoples R China; [Simoneit, Bernd R. T.] Oregon State Univ, Dept Chem, Corvallis, OR 97331 USA; [Sheng, Guoying; Wang, Xinming] Chinese Acad Sci, Guangzhou Inst Geochem, Guangzhou 510640, Guangdong, Peoples R China; [Wang, Yuhong] NIH, Chem Genom Ctr, Bldg 10, Bethesda, MD 20892 USA</t>
  </si>
  <si>
    <t>Third Institute of Oceanography, Ministry of Natural Resources; Chinese Academy of Sciences; University of Science &amp; Technology of China, CAS; Oregon State University; Chinese Academy of Sciences; Guangzhou Institute of Geochemistry, CAS; National Institutes of Health (NIH) - USA; NIH National Center for Advancing Translational Sciences (NCATS)</t>
  </si>
  <si>
    <t>Wang, JJ (corresponding author), State Ocean Adm, Inst Oceanog 3, Key Lab Global Change &amp; Marine Atmospher Chem, Xiamen 361005, Fujian, Peoples R China.;Wang, JJ; Sun, LG (corresponding author), Univ Sci &amp; Technol China, Inst Polar Environm, Hefei 230026, Anhui, Peoples R China.</t>
  </si>
  <si>
    <t>wangjianjun@tio.org.cn; slg@ustc.edu.cn</t>
  </si>
  <si>
    <t>Wang, Xinming/A-7388-2014; SIMONEIT, BERND R. T./A-2008-2013</t>
  </si>
  <si>
    <t>Wang, Xinming/0000-0002-1982-0928;</t>
  </si>
  <si>
    <t>National Natural Science Foundation of China [41772366]; State Oceanic Administration of China Special Fund Project [SOA201303]; Chinese Projects for Investigations and Assessments of the Arctic and Antarctic [CHINARE 04-02, 02-01]; China Scholarship Council [201404180008]</t>
  </si>
  <si>
    <t>National Natural Science Foundation of China(National Natural Science Foundation of China (NSFC)); State Oceanic Administration of China Special Fund Project; Chinese Projects for Investigations and Assessments of the Arctic and Antarctic; China Scholarship Council(China Scholarship Council)</t>
  </si>
  <si>
    <t>This work was supported by the National Natural Science Foundation of China (grant no. 41772366), the State Oceanic Administration of China Special Fund Project (grant SOA201303), Chinese Projects for Investigations and Assessments of the Arctic and Antarctic (grants CHINARE 04-02 and 02-01) and by the China Scholarship Council (grant no. 201404180008).</t>
  </si>
  <si>
    <t>NOV 7</t>
  </si>
  <si>
    <t>10.1038/s41598-017-15371-z</t>
  </si>
  <si>
    <t>FL9II</t>
  </si>
  <si>
    <t>WOS:000414566600036</t>
  </si>
  <si>
    <t>Pérez-Pech, WA; Anguas-Escalante, A; Cutz-Pool, LQ; Guidetti, R</t>
  </si>
  <si>
    <t>Andres Perez-Pech, Wilbert; Anguas-Escalante, Abril; Querubin Cutz-Pool, Leopoldo; Guidetti, Roberto</t>
  </si>
  <si>
    <t>Doryphoribius chetumalensis sp nov (Eutardigrada: Isohypsibiidae) a new tardigrade species discovered in an unusual habitat of urban areas of Mexico</t>
  </si>
  <si>
    <t>Tardigrada; Mexico; biodiversity</t>
  </si>
  <si>
    <t>MEDIUM-SIZED CITY; AMERICA; COMMUNITIES; ARGENTINA</t>
  </si>
  <si>
    <t>A new species, Doryphoribius chetumalensis, is described from specimens collected in the city of Chetumal (Quintana Roo state, Mexico). The species was found in a new and unusual habitat for urban tardigrades, i.e. the soil sediment accumulated on the border of streets. This discovery shows that tardigrades can live in this habitat, demonstrating once again the wide capacity of this taxon to tolerate adverse habitats, and to survive in environments with high anthropogenic impact. Doryphoribius chetumalensis sp. nov. differs from all the other species of the genus in having enlarged and wide bulbous base of the claws. Within Doryphoribius, it belongs to the zappalai group, and differs from the species in this group, not only in the claw shape, but also by the orange body colour, the smooth cuticle, the absence of a tooth in the wall of the buccal ring, and the absence of lunules under the claws. This is the first record of tardigrades, identified to species level, in Quintana Roo state. A taxonomic key of the Doryphoribius genus is also presented.</t>
  </si>
  <si>
    <t>[Andres Perez-Pech, Wilbert; Anguas-Escalante, Abril; Querubin Cutz-Pool, Leopoldo] Inst Tecnol Chetumal, Dept Ingn Quim &amp; Bioquim, Ave Insurgentes 330, Chetmal 77013, Quintana Roo, Mexico; [Guidetti, Roberto] Univ Modena &amp; Reggio Emilia, Dept Life Sci, Via Campi 213-D, I-41125 Modena, Italy</t>
  </si>
  <si>
    <t>Universita di Modena e Reggio Emilia</t>
  </si>
  <si>
    <t>Pérez-Pech, WA (corresponding author), Inst Tecnol Chetumal, Dept Ingn Quim &amp; Bioquim, Ave Insurgentes 330, Chetmal 77013, Quintana Roo, Mexico.</t>
  </si>
  <si>
    <t>pilon_45@hotmail.com; Abrilanguas@hotmail.com; cutzpool@yahoo.com; roberto.guidetti@unimore.it</t>
  </si>
  <si>
    <t>Anguas Escalante, Abril/0000-0001-7909-1475; Perez-Pech, Wilbert Andres/0000-0002-2375-4468</t>
  </si>
  <si>
    <t>Research Line Biodiversity in Terrestrial Ecosystems (Arthropod Ecology) of the Chetumal Institute of Technology [CHE-LGEC-01-14]</t>
  </si>
  <si>
    <t>Research Line Biodiversity in Terrestrial Ecosystems (Arthropod Ecology) of the Chetumal Institute of Technology</t>
  </si>
  <si>
    <t>The authors thank: Harry Meyer (McNeese State University) and Sandra McInnes (British Antarctic Survey) for the English revision of the text; Dr. Alberto de Jesus Navarrete for his help in the acquiring of morphometric data; the biologists Hector Ortiz Leon, Javier de la Fuente Lopez and Nidia Gabriela Blanco Campos for their help in the laboratory work; and Lukasz Kaczmarek, S. McInnes and the other anonymous referees for their comments and suggestions that improved the manuscript. We want also to thank the Research Line Biodiversity in Terrestrial Ecosystems (Arthropod Ecology) of the Chetumal Institute of Technology, CHE-LGEC-01-14, for their support during the study.</t>
  </si>
  <si>
    <t>10.11646/zootaxa.4344.2.9</t>
  </si>
  <si>
    <t>FL7DI</t>
  </si>
  <si>
    <t>WOS:000414406300009</t>
  </si>
  <si>
    <t>Smith, HEK; Poulton, AJ; Garley, R; Hopkins, J; Lubelczyk, LC; Drapeau, DT; Rauschenberg, S; Twining, B; Bates, NR; Balch, WM</t>
  </si>
  <si>
    <t>Smith, Helen E. K.; Poulton, Alex J.; Garley, Rebecca; Hopkins, Jason; Lubelczyk, Laura C.; Drapeau, Dave T.; Rauschenberg, Sara; Twining, Ben S.; Bates, Nicholas R.; Balch, William M.</t>
  </si>
  <si>
    <t>The influence of environmental variability on the biogeography of coccolithophores and diatoms in the Great Calcite Belt</t>
  </si>
  <si>
    <t>ANTARCTIC CIRCUMPOLAR CURRENT; EMILIANIA-HUXLEYI HAPTOPHYTA; MARINE PLANKTON DIATOMS; SCOTIA SEA IMPLICATIONS; SOUTHERN-OCEAN; COMMUNITY STRUCTURE; CARBONATE CHEMISTRY; AUSTRAL SUMMER; INTERANNUAL VARIABILITY; PHYTOPLANKTON PROCESSES</t>
  </si>
  <si>
    <t>The Great Calcite Belt (GCB) of the Southern Ocean is a region of elevated summertime upper ocean calcite concentration derived from coccolithophores, despite the region being known for its diatom predominance. The overlap of two major phytoplankton groups, coccolithophores and diatoms, in the dynamic frontal systems characteristic of this region provides an ideal setting to study environmental influences on the distribution of different species within these taxonomic groups. Samples for phytoplankton enumeration were collected from the upper mixed layer (30 m) during two cruises, the first to the South Atlantic sector (January-February 2011; 60 degrees W-15 degrees E and 36-60 degrees S) and the second in the South Indian sector (February-March 2012; 40-120 degrees E and 36-60 degrees S). The species composition of coccolithophores and diatoms was examined using scanning electron microscopy at 27 stations across the Subtropical, Polar, and Subantarctic fronts. The influence of environmental parameters, such as sea surface temperature (SST), salinity, carbonate chemistry (pH, partial pressure of CO2 (pCO(2)), alkalinity, dissolved inorganic carbon), macronutrients (nitrate + nitrite, phosphate, silicic acid, ammonia), and mixed layer average irradiance, on species composition across the GCB was assessed statistically. Nanophytoplankton (cells 2-20 mu m) were the numerically abundant size group of biomineralizing phytoplankton across the GCB, with the coccolithophore Emiliania huxleyi and diatoms Fragilariopsis nana, F. pseudonana, and Pseudo-nitzschia spp. as the most numerically dominant and widely distributed. A combination of SST, macronutrient concentrations, and pCO(2) provided the best statistical descriptors of the biogeographic variability in biomineralizing species composition between stations. Emiliania huxleyi occurred in silicic acid-depleted waters between the Subantarctic Front and the Polar Front, a favorable environment for this species after spring diatom blooms remove silicic acid. Multivariate statistics identified a combination of carbonate chemistry and macronutrients, covarying with temperature, as the dominant drivers of biomineralizing nanoplankton in the GCB sector of the Southern Ocean.</t>
  </si>
  <si>
    <t>[Smith, Helen E. K.; Poulton, Alex J.] Natl Oceanog Ctr, European Way, Southampton SO14 3ZH, Hants, England; [Smith, Helen E. K.; Bates, Nicholas R.] Univ Southampton, Natl Oceanog Ctr Southampton, Ocean &amp; Earth Sci, Southampton SO14 3ZH, Hants, England; [Garley, Rebecca; Bates, Nicholas R.] Bermuda Inst Ocean Sci, 17 Biol Stn, St Georges 01, GE, Bermuda; [Hopkins, Jason; Lubelczyk, Laura C.; Drapeau, Dave T.; Rauschenberg, Sara; Twining, Ben S.; Balch, William M.] Bigelow Lab Ocean Sci, 60 Bigelow Dr,POB 380, East Boothbay, ME 04544 USA; [Poulton, Alex J.] Heriot Watt Univ, Lyell Ctr, Edinburgh EH14 4AS, Midlothian, Scotland</t>
  </si>
  <si>
    <t>University of Southampton; NERC National Oceanography Centre; University of Southampton; NERC National Oceanography Centre; Bermuda Institute of Ocean Sciences; Bigelow Laboratory for Ocean Sciences; Heriot Watt University</t>
  </si>
  <si>
    <t>Smith, HEK (corresponding author), Natl Oceanog Ctr, European Way, Southampton SO14 3ZH, Hants, England.;Smith, HEK (corresponding author), Univ Southampton, Natl Oceanog Ctr Southampton, Ocean &amp; Earth Sci, Southampton SO14 3ZH, Hants, England.</t>
  </si>
  <si>
    <t>helen.eksmith@gmail.com</t>
  </si>
  <si>
    <t>Poulton, Alex/A-9859-2012</t>
  </si>
  <si>
    <t>Poulton, Alex/0000-0002-5149-6961; Hopkins, Jason/0000-0002-0454-4342; Twining, Benjamin/0000-0002-1365-9192</t>
  </si>
  <si>
    <t>National Science Foundation [OCE-0961660, OCE-0728582, OCE-0961414]; National Aeronautics and Space Administration [NNX11AO72G, NNX11AL93G, NNX14AQ41G, NNX14AQ43A, NNX14AL92G, NNX14AM77G]; Natural Environmental Research Council (NERC) [NE/F015054/1]; UK Ocean Acidification Research Programme [NE/H017097/1]; NERC [NE/F015054/1] Funding Source: UKRI</t>
  </si>
  <si>
    <t>National Science Foundation(National Science Foundation (NSF)); National Aeronautics and Space Administration(National Aeronautics &amp; Space Administration (NASA)); Natural Environmental Research Council (NERC)(UK Research &amp; Innovation (UKRI)Natural Environment Research Council (NERC)); UK Ocean Acidification Research Programme; NERC(UK Research &amp; Innovation (UKRI)Natural Environment Research Council (NERC))</t>
  </si>
  <si>
    <t>We would like to thank all the scientists, officers, and crew onboard the R/V Melville and R/V Revelle, and Matt Durham (Scripps Institution of Oceanography) in particular. Nutrient and salinity data are presented courtesy of the Oceanographic Data Facility, Scripps Institute of Oceanography (ODF/SIO) with thanks to shipboard technicians Melissa Miller and John Calderwood. The GCB cruises were supported by the National Science Foundation (OCE-0961660 to William M. Balch and Ben S. Twining, OCE-0728582 to William M. Balch, OCE-0961414 to Nicholas R. Bates) and National Aeronautics and Space Administration (NNX11AO72G, NNX11AL93G, NNX14AQ41G, NNX14AQ43A, NNX14AL92G, and NNX14AM77G to William M. Balch). Helen E. K. Smith and Alex J. Poulton were supported by the Natural Environmental Research Council (NERC), including a NERC Fellowship to Alex J. Poulton (NE/F015054/1) and the UK Ocean Acidification Research Programme (NE/H017097/1) with a tied studentship to Helen E. K. Smith and an added value award to Alex J. Poulton.</t>
  </si>
  <si>
    <t>10.5194/bg-14-4905-2017</t>
  </si>
  <si>
    <t>FL8RH</t>
  </si>
  <si>
    <t>WOS:000414517200002</t>
  </si>
  <si>
    <t>Otto-Bliesner, BL; Braconnot, P; Harrison, SP; Lunt, DJ; Abe-Ouchi, A; Albani, S; Bartlein, PJ; Capron, E; Carlson, AE; Dutton, A; Fischer, H; Goelzer, H; Govin, A; Haywood, A; Joos, F; LeGrande, AN; Lipscomb, WH; Lohmann, G; Mahowald, N; Nehrbass-Ahles, C; Pausata, FSR; Peterschmitt, JY; Phipps, SJ; Renssen, H; Zhang, Q</t>
  </si>
  <si>
    <t>Otto-Bliesner, Bette L.; Braconnot, Pascale; Harrison, Sandy P.; Lunt, Daniel J.; Abe-Ouchi, Ayako; Albani, Samuel; Bartlein, Patrick J.; Capron, Emilie; Carlson, Anders E.; Dutton, Andrea; Fischer, Hubertus; Goelzer, Heiko; Govin, Aline; Haywood, Alan; Joos, Fortunat; LeGrande, Allegra N.; Lipscomb, William H.; Lohmann, Gerrit; Mahowald, Natalie; Nehrbass-Ahles, Christoph; Pausata, Francesco S. R.; Peterschmitt, Jean-Yves; Phipps, Steven J.; Renssen, Hans; Zhang, Qiong</t>
  </si>
  <si>
    <t>The PMIP4 contribution to CMIP6-Part 2: Two interglacials, scientific objective and experimental design for Holocene and Last Interglacial simulations</t>
  </si>
  <si>
    <t>ANTARCTIC ICE-SHEET; ATMOSPHERIC NITROUS-OXIDE; GLACIAL LAKE AGASSIZ; CLIMATE-CHANGE; SYNERGISTIC FEEDBACKS; POLAR AMPLIFICATION; COUPLED SIMULATIONS; SOUTHERN GREENLAND; VEGETATION CHANGES; MONSOON RESPONSE</t>
  </si>
  <si>
    <t>Two interglacial epochs are included in the suite of Paleoclimate Modeling Intercomparison Project (PMIP4) simulations in the Coupled Model Intercomparison Project (CMIP6). The experimental protocols for simulations of the mid-Holocene (midHolocene, 6000 years before present) and the Last Interglacial (lig127k, 127 000 years before present) are described here. These equilibrium simulations are designed to examine the impact of changes in orbital forcing at times when atmospheric greenhouse gas levels were similar to those of the preindustrial period and the continental configurations were almost identical to modern ones. These simulations test our understanding of the interplay between radiative forcing and atmospheric circulation, and the connections among large-scale and regional climate changes giving rise to phenomena such as land-sea contrast and high-latitude amplification in temperature changes, and responses of the monsoons, as compared to today. They also provide an opportunity, through carefully designed additional sensitivity experiments, to quantify the strength of atmosphere, ocean, cryosphere, and land-surface feedbacks. Sensitivity experiments are proposed to investigate the role of freshwater forcing in triggering abrupt climate changes within interglacial epochs. These feedback experiments naturally lead to a focus on climate evolution during interglacial periods, which will be examined through transient experiments. Analyses of the sensitivity simulations will also focus on interactions between extratropical and tropical circulation, and the relationship between changes in mean climate state and climate variability on annual to multi-decadal timescales. The comparative abundance of paleoenvironmental data and of quantitative climate reconstructions for the Holocene and Last Interglacial make these two epochs ideal candidates for systematic evaluation of model performance, and such comparisons will shed new light on the importance of external feedbacks (e.g., vegetation, dust) and the ability of state-of-the-art models to simulate climate changes realistically.</t>
  </si>
  <si>
    <t>[Otto-Bliesner, Bette L.] Natl Ctr Atmospher Res, 1850 Table Mesa Dr, Boulder, CO 80305 USA; [Braconnot, Pascale; Govin, Aline; Peterschmitt, Jean-Yves] Univ Paris Saclay, LSCE IPSL, Lab Sci Climat &amp; Environm, F-91191 Gif Sur Yvette, France; [Harrison, Sandy P.] Univ Reading, Ctr Climate Change, Reading RG6 6AH, Berks, England; [Harrison, Sandy P.] Univ Reading, SAGES, Reading RG6 6AH, Berks, England; [Lunt, Daniel J.] Univ Bristol, Sch Geog Sci, Bristol BS8 1SS, Avon, England; [Abe-Ouchi, Ayako] Univ Tokyo, Atmosphere Ocean Res Inst, 5-1-5 Kashiwanoha, Kashiwa, Chiba 277208564, Japan; [Abe-Ouchi, Ayako] Japan Agcy Marine Earth Sci &amp; Technol, 3173-25 Showamachi, Yokohama, Kanagawa 2360001, Japan; [Albani, Samuel] Univ Cologne, Inst Geophys &amp; Meteorol, Cologne, Germany; [Bartlein, Patrick J.] Univ Oregon, Dept Geog, Eugene, OR 97403 USA; [Capron, Emilie] Univ Copenhagen, Niels Bohr Inst, Ctr Ice &amp; Climate, Juliane Maries Vej 30, DK-2100 Copenhagen, Denmark; [Capron, Emilie] British Antarctic Survey, High Cross Madingley Rd, Cambridge CB3 0ET, England; [Carlson, Anders E.] Oregon State Univ, Coll Earth Ocean &amp; Atmospher Sci, Corvallis, OR 97331 USA; [Dutton, Andrea] Univ Florida, Dept Geol Sci, Gainesville, FL 32611 USA; [Fischer, Hubertus; Joos, Fortunat; Nehrbass-Ahles, Christoph] Univ Bern, Climate &amp; Environm Phys, Phys Inst, CH-3012 Bern, Switzerland; [Fischer, Hubertus; Joos, Fortunat; Nehrbass-Ahles, Christoph] Univ Bern, Oeschger Ctr Climate Change Res, CH-3012 Bern, Switzerland; [Goelzer, Heiko] Univ Utrecht, Inst Marine &amp; Atmospher Res Utrecht IMAU, Princetonplein 5, NL-3584 CC Utrecht, Netherlands; [Goelzer, Heiko] Univ Libre Bruxelles, Lab Glaciol, CP160-03,Av F Roosevelt 50, B-1050 Brussels, Belgium; [Haywood, Alan] Univ Leeds, Sch Earth &amp; Environm, Woodhouse Lane, Leeds LS2 9JT, W Yorkshire, England; [LeGrande, Allegra N.] NASA, Goddard Inst Space Studies, 2880 Broadway, New York, NY 10025 USA; [Lipscomb, William H.] Los Alamos Natl Lab, Group T 3, Fluid Dynam &amp; Solid Mech, Los Alamos, NM 87545 USA; [Lohmann, Gerrit] Helmholtz Ctr Polar &amp; Marine Res, Alfred Wegener Inst, Bussestr 24, D-27570 Bremerhaven, Germany; [Mahowald, Natalie] Cornell Univ, Earth &amp; Atmospher Sci, Ithaca, NY 14850 USA; [Pausata, Francesco S. R.] Univ Quebec Montreal UQAM, Dept Earth &amp; Atmospher Sci, Montreal, PQ H3C 3P8, Canada; [Phipps, Steven J.] Uinvers Tasmania, Inst Marine &amp; Antarctic Studies, Hobart, Tas 7001, Australia; [Renssen, Hans] Vrije Univ Amsterdam, Dept Earth Sci, De Boelelaan 1085, NL-1081 HV Amsterdam, Netherlands; [Renssen, Hans] Univ Coll Southeast Norway, Dept Nat Sci &amp; Environm Hlth, N-3800 Bo I Telemark, Norway; [Zhang, Qiong] Stockholm Univ, Dept Phys Geog, S-10691 Stockholm, Sweden</t>
  </si>
  <si>
    <t>National Center Atmospheric Research (NCAR) - USA; Universite Paris Cite; CEA; Centre National de la Recherche Scientifique (CNRS); Universite Paris Saclay; University of Reading; University of Reading; University of Bristol; University of Tokyo; Japan Agency for Marine-Earth Science &amp; Technology (JAMSTEC); University of Cologne; University of Oregon; University of Copenhagen; Niels Bohr Institute; UK Research &amp; Innovation (UKRI); Natural Environment Research Council (NERC); NERC British Antarctic Survey; Oregon State University; State University System of Florida; University of Florida; University of Bern; University of Bern; Utrecht University; Universite Libre de Bruxelles; University of Leeds; National Aeronautics &amp; Space Administration (NASA); NASA Goddard Space Flight Center; Goddard Institute for Space Studies; United States Department of Energy (DOE); Los Alamos National Laboratory; Helmholtz Association; Alfred Wegener Institute, Helmholtz Centre for Polar &amp; Marine Research; Cornell University; University of Quebec; University of Quebec Montreal; University of Tasmania; Vrije Universiteit Amsterdam; University College of Southeast Norway; Stockholm University</t>
  </si>
  <si>
    <t>Otto-Bliesner, BL (corresponding author), Natl Ctr Atmospher Res, 1850 Table Mesa Dr, Boulder, CO 80305 USA.</t>
  </si>
  <si>
    <t>ottobli@ucar.edu</t>
  </si>
  <si>
    <t>Lohmann, Gerrit/M-7453-2016; Goelzer, Heiko/M-2367-2016; Albani, Samuel/AAC-5604-2020; Bartlein, Patrick J./E-4643-2011; Zhang, Qiong/J-7334-2019; Abe-Ouchi, Ayako A/M-6359-2013; IPO, PAGES/JXY-7546-2024; Joos, Fortunat/B-4118-2018; Lipscomb, William/AAR-8668-2021; Otto-Bliesner, Bette/AAY-7691-2020; Capron, Emilie/ITU-2672-2023; Albani, Samuel/G-5329-2015; Mahowald, Natalie M/D-8388-2013; Phipps, Steven/B-3135-2008; LeGrande, Allegra N./D-8920-2012; Lunt, Daniel/G-9451-2011; Dutton, Andrea/A-2506-2008; Govin, Aline/E-6354-2013; Fischer, Hubertus/A-1211-2014</t>
  </si>
  <si>
    <t>Lohmann, Gerrit/0000-0003-2089-733X; Goelzer, Heiko/0000-0002-5878-9599; Albani, Samuel/0000-0001-9736-5134; Bartlein, Patrick J./0000-0001-7657-5685; Abe-Ouchi, Ayako A/0000-0003-1745-5952; Joos, Fortunat/0000-0002-9483-6030; Albani, Samuel/0000-0001-9736-5134; Mahowald, Natalie M/0000-0002-2873-997X; Otto-Bliesner, Bette/0000-0003-1911-1598; Phipps, Steven/0000-0001-5657-8782; LeGrande, Allegra N./0000-0002-5295-0062; Nehrbass-Ahles, Christoph/0000-0002-4009-4633; Lunt, Daniel/0000-0003-3585-6928; Dutton, Andrea/0000-0002-3836-119X; Peterschmitt, Jean-Yves/0000-0003-3486-3157; Govin, Aline/0000-0001-8512-5571; Lipscomb, William/0000-0002-7100-3730; Fischer, Hubertus/0000-0002-2787-4221; Harrison, Sandy/0000-0001-5687-1903</t>
  </si>
  <si>
    <t>NSF [PLR - 0902571, PLR - 1443437, AGS - 1503032, OCE 1559040]; Netherlands Earth System Science Centre (NESSC); Dutch Ministry of Education, Culture and Science (OCW) [024.002.001]; European Research Council under the European Union's Seventh Framework Programme (FP7)/ERC grant [278636]; Swiss National Science Foundation; Regional and Global Climate Modeling program of the Office of Biological and Environmental Research within the U.S. Department of Energy's Office of Science; Swedish Research Council (FORMAS) as part of the Joint Programming Initiative on Climate; Belmont Forum for the project Paleao-Constraints on Monsoon Evolution and Dynamics (PACMEDY); Australian Research Council's Special Research Initiative for the Antarctic Gateway Partnership [SR140300001]; Swedish Research Council VR for Greenland in a warming Arctic; Natural Environment Research Council [bas0100034, NE/I009639/1, NE/P006752/1] Funding Source: researchfish; Directorate For Geosciences; Division Of Earth Sciences [1440015] Funding Source: National Science Foundation; NERC [NE/P006752/1, NE/I009639/1, bas0100034] Funding Source: UKRI</t>
  </si>
  <si>
    <t>NSF(National Science Foundation (NSF)); Netherlands Earth System Science Centre (NESSC); Dutch Ministry of Education, Culture and Science (OCW); European Research Council under the European Union's Seventh Framework Programme (FP7)/ERC grant(European Research Council (ERC)); Swiss National Science Foundation(Swiss National Science Foundation (SNSF)); Regional and Global Climate Modeling program of the Office of Biological and Environmental Research within the U.S. Department of Energy's Office of Science; Swedish Research Council (FORMAS) as part of the Joint Programming Initiative on Climate; Belmont Forum for the project Paleao-Constraints on Monsoon Evolution and Dynamics (PACMEDY); Australian Research Council's Special Research Initiative for the Antarctic Gateway Partnership(Australian Research Council); Swedish Research Council VR for Greenland in a warming Arctic; Natural Environment Research Council(UK Research &amp; Innovation (UKRI)Natural Environment Research Council (NERC)); Directorate For Geosciences; Division Of Earth Sciences(National Science Foundation (NSF)NSF - Directorate for Geosciences (GEO)); NERC(UK Research &amp; Innovation (UKRI)Natural Environment Research Council (NERC))</t>
  </si>
  <si>
    <t>Bette L. Otto-Bliesner acknowledges the funding by the U.S. National Science Foundation of the National Center for Atmospheric Research. Pascale Braconnot and Sandy P. Harrison acknowledge funding from JPI-Belmont project Paleao-Constraints on Monsoon Evolution and Dynamics (PACMEDY) through their national funding agencies. Sandy P. Harrison also acknowledges funding from the European Research Council for GC2.0: Unlocking the past for a clearer future. Emilie Capron is funded by the European Union's Seventh Framework Programme for research and innovation under Marie Sklodowska-Curie grant agreement no. 600207.; Anders E. Carlson is funded by NSF grants PLR - 0902571, PLR - 1443437, and AGS - 1503032. Andrea Dutton is funded by NSF grant OCE 1559040. Heiko Goelzer has received funding from the program of the Netherlands Earth System Science Centre (NESSC), financially supported by the Dutch Ministry of Education, Culture and Science (OCW) under grant number 024.002.001. Alan Haywood acknowledges that his contribution to this research was funded by the European Research Council under the European Union's Seventh Framework Programme (FP7/2007-2013)/ERC grant agreement number 278636. Fortunat Joos, Hubertus Fischer, and Christoph Nehrbass-Ahles acknowledge support by the Swiss National Science Foundation. William H. Lipscomb acknowledges support from the Regional and Global Climate Modeling program of the Office of Biological and Environmental Research within the U.S. Department of Energy's Office of Science.; Francesco S.-R. Pausata acknowledges funding from the Swedish Research Council (FORMAS) as part of the Joint Programming Initiative on Climate and the Belmont Forum for the project Paleao-Constraints on Monsoon Evolution and Dynamics (PACMEDY). Steven Phipps was supported by the Australian Research Council's Special Research Initiative for the Antarctic Gateway Partnership (project ID SR140300001). Qiong Zhang acknowledges funding from the Swedish Research Council VR for Greenland in a warming Arctic.</t>
  </si>
  <si>
    <t>10.5194/gmd-10-3979-2017</t>
  </si>
  <si>
    <t>FL9GS</t>
  </si>
  <si>
    <t>WOS:000414561900001</t>
  </si>
  <si>
    <t>Jungclaus, JH; Bard, E; Baroni, M; Braconnot, P; Cao, J; Chini, LP; Egorova, T; Evans, M; González-Rouco, JF; Goosse, H; Hurtt, GC; Joos, F; Kaplan, JO; Khodri, M; Goldewijk, KK; Krivova, N; LeGrande, AN; Lorenz, SJ; Luterbacher, J; Man, WM; Maycock, AC; Meinshausen, M; Moberg, A; Muscheler, R; Nehrbass-Ahles, C; Otto-Bliesner, BI; Phipps, SJ; Pongratz, J; Rozanov, E; Schmidt, GA; Schmidt, H; Schmutz, W; Schurer, A; Shapiro, AI; Sigl, M; Smerdon, JE; Solanki, SK; Timmreck, C; Toohey, M; Usoskin, IG; Wagner, S; Wu, CJ; Yeo, KL; Zanchettin, D; Zhang, Q; Zorita, E</t>
  </si>
  <si>
    <t>Jungclaus, Johann H.; Bard, Edouard; Baroni, Melanie; Braconnot, Pascale; Cao, Jian; Chini, Louise P.; Egorova, Tania; Evans, Michael; Fidel Gonzalez-Rouco, J.; Goosse, Hugues; Hurtt, George C.; Joos, Fortunat; Kaplan, Jed O.; Khodri, Myriam; Goldewijk, Kees Klein; Krivova, Natalie; LeGrande, Allegra N.; Lorenz, Stephan J.; Luterbacher, Juerg; Man, Wenmin; Maycock, Amanda C.; Meinshausen, Malte; Moberg, Anders; Muscheler, Raimund; Nehrbass-Ahles, Christoph; Otto-Bliesner, Bette I.; Phipps, Steven J.; Pongratz, Julia; Rozanov, Eugene; Schmidt, Gavin A.; Schmidt, Hauke; Schmutz, Werner; Schurer, Andrew; Shapiro, Alexander I.; Sigl, Michael; Smerdon, Jason E.; Solanki, Sami K.; Timmreck, Claudia; Toohey, Matthew; Usoskin, Ilya G.; Wagner, Sebastian; Wu, Chi-Ju; Yeo, Kok Leng; Zanchettin, Davide; Zhang, Qiong; Zorita, Eduardo</t>
  </si>
  <si>
    <t>The PMIP4 contribution to CMIP6-Part 3: The last millennium, scientific objective, and experimental design for the PMIP4 past1000 simulations</t>
  </si>
  <si>
    <t>MODEL INTERCOMPARISON PROJECT; CLIMATE PROXY DATA; SCALE TEMPERATURE VARIABILITY; SOLAR SPECTRAL IRRADIANCE; SURFACE AIR-TEMPERATURE; ASIAN SUMMER MONSOON; CARBON CYCLE MODEL; VOLCANIC-ERUPTIONS; NORTH-ATLANTIC; STATISTICAL FRAMEWORK</t>
  </si>
  <si>
    <t>The pre-industrial millennium is among the periods selected by the Paleoclimate Model Intercomparison Project (PMIP) for experiments contributing to the sixth phase of the Coupled Model Intercomparison Project (CMIP6) and the fourth phase of the PMIP (PMIP4). The past1000 transient simulations serve to investigate the response to (mainly) natural forcing under background conditions not too different from today, and to discriminate between forced and internally generated variability on interannual to centennial timescales. This paper describes the motivation and the experimental set-ups for the PMIP4-CMIP6 past1000 simulations, and discusses the forcing agents orbital, solar, volcanic, and land use/land cover changes, and variations in greenhouse gas concentrations. The past1000 simulations covering the pre-industrial millennium from 850 Common Era (CE) to 1849 CE have to be complemented by historical simulations (1850 to 2014 CE) following the CMIP6 protocol. The external forcings for the past1000 experiments have been adapted to provide a seamless transition across these time periods. Protocols for the past1000 simulations have been divided into three tiers. A default forcing data set has been defined for the Tier 1 (the CMIP6 past1000) experiment. However, the PMIP community has maintained the flexibility to conduct coordinated sensitivity experiments to explore uncertainty in forcing reconstructions as well as parameter uncertainty in dedicated Tier 2 simulations. Additional experiments (Tier 3) are defined to foster collaborative model experiments focusing on the early instrumental period and to extend the temporal range and the scope of the simulations. This paper outlines current and future research foci and common analyses for collaborative work between the PMIP and the observational communities (reconstructions, instrumental data).</t>
  </si>
  <si>
    <t>[Jungclaus, Johann H.; Lorenz, Stephan J.; Pongratz, Julia; Schmidt, Hauke; Timmreck, Claudia] Max Planck Inst Meteorol, Hamburg, Germany; [Bard, Edouard; Baroni, Melanie] Aix Marseille Univ, CEREGE, CNRS, IRD,Coll France, Technopole Arbois, F-13545 Aix En Provence, France; [Braconnot, Pascale] Univ Paris Saclay, CEA CNRS UVSQ, LSCE, IPSL, F-91191 Gif Sur Yvette, France; [Cao, Jian] Nanjing Univ Informat Sci &amp; Technol, Earth Syst Modeling Ctr, Nanjing 210044, Jiangsu, Peoples R China; [Chini, Louise P.; Hurtt, George C.] Univ Maryland, Dept Geog Sci, College Pk, MD 20742 USA; [Egorova, Tania; Rozanov, Eugene; Schmutz, Werner] PMOD, Davos, Switzerland; [Egorova, Tania; Rozanov, Eugene] ETH, Inst Atmospher &amp; Climate Sci, Zurich, Switzerland; [Evans, Michael] Univ Maryland, Dept Geol, College Pk, MD 20742 USA; [Evans, Michael] Univ Maryland, Earth Syst Sci Interdisciplinary Ctr, College Pk, MD 20742 USA; [Fidel Gonzalez-Rouco, J.] Univ Complutense Madrid, IGEO UCM CS, Dept Astrophys &amp; Atmospher Sci, E-28040 Madrid, Spain; [Goosse, Hugues] Catholic Univ Louvain, ELI TECL, Louvain La Neuve, Belgium; [Joos, Fortunat; Nehrbass-Ahles, Christoph] Univ Bern, Phys Inst, Climate &amp; Environm Phys, Bern, Switzerland; [Joos, Fortunat; Nehrbass-Ahles, Christoph] Univ Bern, Oeschger Ctr Climate Change Res, Bern, Switzerland; [Kaplan, Jed O.] Univ Lausanne, Inst Earth Surface Dynam, Lausanne, Switzerland; [Khodri, Myriam] Sorbonne Univ, UPMC Univ Paris 06, IPSL, Lab Oceanog Climate,UMR CNRS IRD MNHM, F-75005 Paris, France; [Goldewijk, Kees Klein] Univ Utrecht, Copemicus Inst Sustainable Dev, Utrecht, Netherlands; [Goldewijk, Kees Klein] PBL Netherlands Environm Assessment Agcy, The Hague, Netherlands; [Krivova, Natalie; Shapiro, Alexander I.; Solanki, Sami K.; Wu, Chi-Ju; Yeo, Kok Leng] Max Planck Inst Stromungsforsch, Gottingen, Germany; [LeGrande, Allegra N.; Schmidt, Gavin A.] NASA, Goddard Inst Space Studies, 2880 Broadway, New York, NY USA; [Luterbacher, Juerg] Justus Liebig Univ Giessen, Dept Geog Climatol Climate Dynam &amp; Climate Change, Giessen, Germany; [Luterbacher, Juerg] Justus Liebig Univ Giessen, Ctr Int Dev &amp; Environm Res, Giessen, Germany; [Man, Wenmin] Chinese Acad Sci, LASG Inst Atmospher Phys, Beijing, Peoples R China; [Maycock, Amanda C.] Univ Leeds, Sch Earth &amp; Environm, Leeds, W Yorkshire, England; [Meinshausen, Malte] Univ Melbourne, Australian German Climate &amp; Energy Coll, Melbourne, Vic, Australia; [Meinshausen, Malte] Potsdam Inst Climate Impact Res, Potsdam, Germany; [Moberg, Anders; Zhang, Qiong] Stockholm Univ, Dept Phys Geog, Stockholm, Sweden; [Moberg, Anders; Zhang, Qiong] Stockholm Univ, Bolin Ctr Climate Res, Stockholm, Sweden; [Muscheler, Raimund] Lund Univ, Dept Geol, Lund, Sweden; [Otto-Bliesner, Bette I.] Natl Ctr Atmospher Res, Boulder, CO 80305 USA; [Phipps, Steven J.] Univ Tasmania, Inst Marine &amp; Antarctic Studies, Hobart, Tas, Australia; [Schurer, Andrew] Univ Edinburgh, GeoSci, Edinburgh, Midlothian, Scotland; [Sigl, Michael] Paul Scherrer Inst, Lab Environm Chem, CH-5232 Villigen, Switzerland; [Sigl, Michael] Univ Bern, Oeschger Ctr Climate Change Res, CH-3012 Bern, Switzerland; [Smerdon, Jason E.] Columbia Univ, Lamont Doherty Earth Observ, Palisades, NY USA; [Toohey, Matthew] GEOMAR Helmholtz Ctr Ocean Res Kiel, Kiel, Germany; [Usoskin, Ilya G.] Univ Oulu, Space Climate Res Grp, Oulu, Finland; [Usoskin, Ilya G.] Univ Oulu, Sodankyla Geophys Observ, Oulu, Finland; [Wagner, Sebastian; Zorita, Eduardo] Helmholtz Zentrum Geesthacht, Inst Coastal Res, Geesthacht, Germany; [Zanchettin, Davide] Univ Venice, Dept Environm Sci Informat &amp; Stat, Venice, Italy; [Egorova, Tania; Rozanov, Eugene; Schmutz, Werner] WRC, Davos, Switzerland</t>
  </si>
  <si>
    <t>Max Planck Society; Centre National de la Recherche Scientifique (CNRS); Institut de Recherche pour le Developpement (IRD); Universite PSL; College de France; Aix-Marseille Universite; CEA; Centre National de la Recherche Scientifique (CNRS); Universite Paris Saclay; Universite Paris Cite; Nanjing University of Information Science &amp; Technology; University System of Maryland; University of Maryland College Park; Swiss Federal Institutes of Technology Domain; ETH Zurich; University System of Maryland; University of Maryland College Park; University System of Maryland; University of Maryland College Park; Complutense University of Madrid; Universite Catholique Louvain; University of Bern; University of Bern; University of Lausanne; Universite Paris Cite; Sorbonne Universite; Utrecht University; Max Planck Society; National Aeronautics &amp; Space Administration (NASA); NASA Goddard Space Flight Center; Goddard Institute for Space Studies; Justus Liebig University Giessen; Justus Liebig University Giessen; Chinese Academy of Sciences; Institute of Atmospheric Physics, CAS; University of Leeds; University of Melbourne; Melbourne Genomics Health Alliance; Potsdam Institut fur Klimafolgenforschung; Stockholm University; Lund University; National Center Atmospheric Research (NCAR) - USA; University of Tasmania; University of Edinburgh; Swiss Federal Institutes of Technology Domain; Paul Scherrer Institute; University of Bern; Columbia University; Helmholtz Association; GEOMAR Helmholtz Center for Ocean Research Kiel; University of Oulu; University of Oulu; Helmholtz Association; Helmholtz-Zentrum Hereon; Universita Ca Foscari Venezia</t>
  </si>
  <si>
    <t>Jungclaus, JH (corresponding author), Max Planck Inst Meteorol, Hamburg, Germany.</t>
  </si>
  <si>
    <t>johann.jungclaus@mpimet.mpg.de</t>
  </si>
  <si>
    <t>Krivova, Natalie/ADU-1247-2022; Maycock, Amanda C/T-5380-2018; Phipps, Steven J/B-3135-2008; Otto-Bliesner, Bette/AAY-7691-2020; Schurer, Andrew/W-7059-2019; Meinshausen, Malte/AAG-7985-2019; Egorova, Tatiana/ABB-4664-2021; Schmidt, Hauke/J-4469-2013; Toohey, Matthew/AAL-1896-2021; Pongratz, Julia/AAG-3274-2019; Meinshausen, Malte/A-7037-2011; Schmidt, Gavin/D-4427-2012; Hurtt, George/A-8450-2012; IPO, PAGES/JXY-7546-2024; Zhang, Qiong/J-7334-2019; Solanki, Sami K/E-2487-2013; Shapiro, Alexander I./P-3783-2017; Kaplan, Jed O./P-1796-2015; Joos, Fortunat/B-4118-2018; Meinshausen, Malte/AAG-6505-2019; Smerdon, Jason E/F-9952-2011; Schmutz, Werner K/B-4153-2014; Rozanov, Eugene/V-1881-2018; Gonzalez-Rouco, Jesus Fidel/B-1761-2012; Khodri, Myriam/K-1399-2016; LeGrande, Allegra N./D-8920-2012; Klein Goldewijk, Kees/L-5567-2013; Usoskin, Ilya/E-5089-2014</t>
  </si>
  <si>
    <t>Krivova, Natalie/0000-0002-1377-3067; Schurer, Andrew/0000-0002-9176-3622; Egorova, Tatiana/0000-0001-8300-3642; Toohey, Matthew/0000-0002-7070-405X; Meinshausen, Malte/0000-0003-4048-3521; Schmidt, Gavin/0000-0002-2258-0486; Hurtt, George/0000-0001-7278-202X; Solanki, Sami K/0000-0002-3418-8449; Kaplan, Jed O./0000-0001-9919-7613; Joos, Fortunat/0000-0002-9483-6030; Meinshausen, Malte/0000-0003-4048-3521; Schmutz, Werner K/0000-0003-1159-5639; Rozanov, Eugene/0000-0003-0479-4488; Shapiro, Alexander/0000-0002-8842-5403; Evans, Michael Neil/0000-0003-3727-6898; Pongratz, Julia/0000-0003-0372-3960; Luterbacher, Juerg/0000-0002-8569-0973; Timmreck, Claudia/0000-0001-5355-0426; Man, Wenmin/0000-0003-3004-5464; Moberg, Anders/0000-0002-5177-9347; Muscheler, Raimund/0000-0003-2772-3631; Schmidt, Hauke/0000-0001-7977-5041; Gonzalez-Rouco, Jesus Fidel/0000-0001-7090-6797; Khodri, Myriam/0000-0003-1941-1646; Wagner, Sebastian/0000-0001-5603-3897; LeGrande, Allegra N./0000-0002-5295-0062; Maycock, Amanda/0000-0002-6614-1127; Klein Goldewijk, Kees/0000-0003-2714-7507; Sigl, Michael/0000-0002-9028-9703; Nehrbass-Ahles, Christoph/0000-0002-4009-4633; Usoskin, Ilya/0000-0001-8227-9081</t>
  </si>
  <si>
    <t>Center of Excellence ReSoLVE (Academy of Finland) [272157]; U.S. National Science Foundation (US-NSF) of the National Center for Atmospheric Research; US-NSF EaSM2 award [AGS 1243107]; German Research Foundation's Emmy Noether Program [PO 1751/1-1]; Swiss National Science Foundation [CRSII2-147659]; Swiss National Science Foundation; Australian Research Council's Special Research Initiative for the Antarctic Gateway Partnership [SR140300001]; German Federal Ministry of Education and Research (BMBF) [FKZ: 01LP1517B]; European Union FP7 project STRATOCLIM (FP7-ENV.6.1-2) [603557]; Belmont/JPI-Climate Project PACMEDY (Paleo-Constraints on Monsoon Evolution and Dynamics) [BMBF FKZ:01LP1607B, NERC: NE/P006752/1]; Dutch NWO VENI grant [016.158.021]; People Programme (Marie Curie Actions) of the European Union's Seventh Framework Programme (FP7) under REA grant [624817]; ERC - project TITAN [EC-320691]; project ILModelS [CGL2014-59644-R]; Swedish Research Council [DNR2013-8421]; U.S. National Science Foundation [AGS-1401400, AGS-1243204, AGS-1602581]; Directorate For Geosciences; Div Atmospheric &amp; Geospace Sciences [1602581] Funding Source: National Science Foundation; Div Atmospheric &amp; Geospace Sciences; Directorate For Geosciences [1243204] Funding Source: National Science Foundation; Division Of Earth Sciences; Directorate For Geosciences [1440015] Funding Source: National Science Foundation</t>
  </si>
  <si>
    <t>Center of Excellence ReSoLVE (Academy of Finland); U.S. National Science Foundation (US-NSF) of the National Center for Atmospheric Research; US-NSF EaSM2 award(National Science Foundation (NSF)); German Research Foundation's Emmy Noether Program(German Research Foundation (DFG)); Swiss National Science Foundation(Swiss National Science Foundation (SNSF)); Swiss National Science Foundation(Swiss National Science Foundation (SNSF)); Australian Research Council's Special Research Initiative for the Antarctic Gateway Partnership(Australian Research Council); German Federal Ministry of Education and Research (BMBF)(Federal Ministry of Education &amp; Research (BMBF)); European Union FP7 project STRATOCLIM (FP7-ENV.6.1-2); Belmont/JPI-Climate Project PACMEDY (Paleo-Constraints on Monsoon Evolution and Dynamics); Dutch NWO VENI grant; People Programme (Marie Curie Actions) of the European Union's Seventh Framework Programme (FP7) under REA grant(Marie Curie Actions); ERC - project TITAN(European Research Council (ERC)); project ILModelS; Swedish Research Council(Swedish Research Council); U.S. National Science Foundation(National Science Foundation (NSF)); Directorate For Geosciences; Div Atmospheric &amp; Geospace Sciences(National Science Foundation (NSF)NSF - Directorate for Geosciences (GEO)); Div Atmospheric &amp; Geospace Sciences; Directorate For Geosciences(National Science Foundation (NSF)NSF - Directorate for Geosciences (GEO)); Division Of Earth Sciences; Directorate For Geosciences(National Science Foundation (NSF)NSF - Directorate for Geosciences (GEO))</t>
  </si>
  <si>
    <t>The work by Ilya G. Usoskin was partly done in the framework of Center of Excellence ReSoLVE (project no. 272157 of the Academy of Finland). Bette I. Otto-Bliesner acknowledges funding by the U.S. National Science Foundation (US-NSF) of the National Center for Atmospheric Research and support by US-NSF EaSM2 award AGS 1243107. Julia Pongratz is supported by the German Research Foundation's Emmy Noether Program (PO 1751/1-1). Eugene Rozanov and Tania Egorova have been partially supported by the Swiss National Science Foundation under grant CRSII2-147659 (FUPSOL II). Christoph Nehrbass-Ahles and Fortunat Joos acknowledge support by the Swiss National Science Foundation. Steven J. Phipps was supported under the Australian Research Council's Special Research Initiative for the Antarctic Gateway Partnership (project ID SR140300001). Claudia Timmreck received funding from the German Federal Ministry of Education and Research (BMBF), research programme MiKliP (FKZ: 01LP1517B), and European Union FP7 project STRATOCLIM (FP7-ENV.2013.6.1-2; project 603557). Johann H. Jungclaus, Andrew Schurer, and Pascale Braconnot received support from Belmont/JPI-Climate Project PACMEDY (Paleo-Constraints on Monsoon Evolution and Dynamics; BMBF FKZ:01LP1607B, NERC: NE/P006752/1). Jurg Luterbacher acknowledges German Science Foundation (DFG) project AFICHE (Attribution of forced and internal Chinese climate variability in the Common Era) and Belmont/ JPI-Climate Project INTEGRATE (an integrated data-model study of interactions between tropical monsoons and extra-tropical climate variability and extremes). Kees Klein Goldewijk is supported by Dutch NWO VENI grant no. 016.158.021 and endorsed by the PAGES LandCover6k group. Alexander I. Shapiro acknowledges funding from the People Programme (Marie Curie Actions) of the European Union's Seventh Framework Programme (FP7/2007-2013) under REA grant agreement no. 624817. Andrew Schurer was supported by ERC-funded project TITAN (EC-320691). J. Fidel Gonzalez-Rouco acknowledges project ILModelS CGL2014-59644-R and Raimund Muscheler received support from the Swedish Research Council (grant DNR2013-8421). Jason E. Smerdon was supported in part by U.S. National Science Foundation grants AGS-1401400, AGS-1243204, and AGS-1602581 (LDEO contribution no. 8150). Open-access charges have been covered partly by the European Union post-grant OA pilot and partly by the Max Planck Society.</t>
  </si>
  <si>
    <t>10.5194/gmd-10-4005-2017</t>
  </si>
  <si>
    <t>FL9TD</t>
  </si>
  <si>
    <t>Green Submitted, Green Published, gold, Green Accepted</t>
  </si>
  <si>
    <t>WOS:000414599900001</t>
  </si>
  <si>
    <t>Aguiar, W; Mata, MM; Kerr, R</t>
  </si>
  <si>
    <t>Aguiar, Wilton; Mata, Mauricio M.; Kerr, Rodrigo</t>
  </si>
  <si>
    <t>On deep convection events and Antarctic Bottom Water formation in ocean reanalysis products</t>
  </si>
  <si>
    <t>WEDDELL SEA POLYNYA; SOUTHERN-OCEAN; MAUD RISE; ICE MODEL; DENSE WATER; SCOTIA SEA; VARIABILITY; MASSES; CIRCULATION; LEVEL</t>
  </si>
  <si>
    <t>Open ocean deep convection is a common source of error in the representation of Antarctic Bottom Water (AABW) formation in ocean general circulation models. Although those events are well described in non-assimilatory ocean simulations, the recent appearance of a massive open ocean polynya in the Estimating the Circulation and Climate of the Ocean Phase II reanalysis product (ECCO2) raises questions on which mechanisms are responsible for those spurious events and whether they are also present in other state-of-the-art assimilatory reanalysis products. To investigate this issue, we evaluate how three recently released high-resolution ocean reanalysis products form AABW in their simulations. We found that two of the products create AABW by open ocean deep convection events in the Weddell Sea that are triggered by the interaction of sea ice with the Warm Deep Water, which shows that the assimilation of sea ice is not enough to avoid the appearance of open ocean polynyas. The third reanalysis, My Ocean University Reading UR025.4, creates AABW using a rather dynamically accurate mechanism. The UR025.4 product depicts both continental shelf convection and the export of Dense Shelf Water to the open ocean. Although the accuracy of the AABW formation in this reanalysis product represents an advancement in the representation of the Southern Ocean dynamics, the differences between the real and simulated processes suggest that substantial improvements in the ocean reanalysis products are still needed to accurately represent AABW formation.</t>
  </si>
  <si>
    <t>[Aguiar, Wilton; Mata, Mauricio M.; Kerr, Rodrigo] Univ Fed Rio Grande FURG, Lab Estudos Oceanos &amp; Clima, Inst Oceanog, BR-96203900 Rio Grande, RS, Brazil</t>
  </si>
  <si>
    <t>Universidade Federal do Rio Grande</t>
  </si>
  <si>
    <t>Aguiar, W (corresponding author), Univ Fed Rio Grande FURG, Lab Estudos Oceanos &amp; Clima, Inst Oceanog, BR-96203900 Rio Grande, RS, Brazil.</t>
  </si>
  <si>
    <t>aguiar.wilton@gmail.com</t>
  </si>
  <si>
    <t>Aguiar, Wilton/AAK-3747-2021; Kerr, Rodrigo/I-2494-2012; Mata, Mauricio/H-4605-2011</t>
  </si>
  <si>
    <t>Kerr, Rodrigo/0000-0002-2632-3137; Aguiar, Wilton/0000-0003-2453-9791; Mata, Mauricio/0000-0002-9028-8284</t>
  </si>
  <si>
    <t>Brazilian Antarctic Program (PROANTAR) through Brazilian Ministry of the Environment (MMA); Brazilian Ministry of Science, Technology, Innovation and Communication (MCTIC); Council for Research and Scientific Development of Brazil (CNPq) [550370/2002-1, 520189/2006-0, 556848/2009-8, 405869/2013-4]; CAPES Foundation; CNPq [306896/2015-0, 302604/2015-4]</t>
  </si>
  <si>
    <t>Brazilian Antarctic Program (PROANTAR) through Brazilian Ministry of the Environment (MMA); Brazilian Ministry of Science, Technology, Innovation and Communication (MCTIC); Council for Research and Scientific Development of Brazil (CNPq)(Conselho Nacional de Desenvolvimento Cientifico e Tecnologico (CNPQ)Fundacao de Apoio a Pesquisa do Distrito Federal (FAPDF)); CAPES Foundation(Coordenacao de Aperfeicoamento de Pessoal de Nivel Superior (CAPES)); CNPq(Conselho Nacional de Desenvolvimento Cientifico e Tecnologico (CNPQ))</t>
  </si>
  <si>
    <t>This study is a contribution to the activities of the Brazilian High Latitudes Oceanography Group (GOAL) and the Brazilian National Institute of Science and Technology of the Cryosphere (INCT-CRIOSFERA; 573720/2008-8, 465680/20143). The GOAL has been funded by the Brazilian Antarctic Program (PROANTAR) through the Brazilian Ministry of the Environment (MMA), the Brazilian Ministry of Science, Technology, Innovation and Communication (MCTIC), and the Council for Research and Scientific Development of Brazil (CNPq; 550370/2002-1; 520189/2006-0; 556848/2009-8; 405869/2013-4). Wilton Aguiar acknowledges the financial support from the CAPES Foundation. Mauricio M. Mata and Rodrigo Kerr acknowledge CNPq grant nos. 306896/2015-0 and 302604/2015-4, respectively. We also thank the NSIDC and the research groups responsible for developing the ECCO2, SoSE and UR025.4 and for making their datasets available online. We would finally like to thank C. Heuze and the anonymous referee for the valuable suggestions that improved the manuscript.</t>
  </si>
  <si>
    <t>10.5194/os-13-851-2017</t>
  </si>
  <si>
    <t>FL9TO</t>
  </si>
  <si>
    <t>WOS:000414601400001</t>
  </si>
  <si>
    <t>Yoon, TH; Kang, HE; Lee, SR; Lee, JB; Baeck, GW; Park, H; Kim, HW</t>
  </si>
  <si>
    <t>Yoon, Tae-Ho; Kang, Hye-Eun; Lee, Soo Rin; Lee, Jae-Bong; Baeck, Gun Wook; Park, Hyun; Kim, Hyun-Woo</t>
  </si>
  <si>
    <t>Metabarcoding analysis of the stomach contents of the Antarctic Toothfish (Dissostichus mawsoni) collected in the Antarctic Ocean</t>
  </si>
  <si>
    <t>Metabarcoding; Antarctic toothfish; Foodweb; Stomach contents; Antarctica; Next-generation sequencing</t>
  </si>
  <si>
    <t>ROSS SEA; DNA; DIET; FISH; DIGESTION; ATLANTIC; PROTOCOL; PREY</t>
  </si>
  <si>
    <t>Stomach contents of the Antarctic toothfish, Dissostichus mawsoni, collected from subareas 58.4 and 88.3, were analyzed using next generation sequencing (NGS) technology. After processing the raw reads generated by the MiSeq platform, a total of 131,233 contigs (130 operational taxonomic units [OTUs]) were obtained from 163 individuals in subarea 58.4, and 75,961 contigs (105 OTUs) from 164 fish in subarea 88.3. At 98% sequence identity, species names were assigned to most OTUs in this study, indicating the quality of the DNA barcode database for the Antarctic Ocean was sufficient for molecular analysis, especially for fish species. A total of 19 species was identified from the stomach of D. mawsoni in this study, which included 14 fish species and five mollusks. More than 90% of contigs belonged to fish species, supporting the postulate that the major prey of D. mawsoni are fish. Two fish species, Macrourus whitsoni and Chionobathyscus dewitti, were the most important prey items (a finding similar to that of previous studies). We also obtained genotypes of prey items by NGS analysis, identifying an additional 17 representative haplotypes in this study. Comparison with three previous morphological studies and the NGS-based molecular identification in this study extended our knowledge regarding the prey of D. mawsoni, which previously was not possible. These results suggested that NGS-based diet studies are possible, if several current technical limitations, including the quality of the barcode database or the development of precise molecular quantification techniques to link them with morphological values, are overcome. To achieve this, additional studies should be conducted on various marine organisms.</t>
  </si>
  <si>
    <t>[Yoon, Tae-Ho; Lee, Soo Rin; Kim, Hyun-Woo] Pukyong Natl Univ, Interdisciplinary Program Biomed Mech &amp; Elect Eng, Busan, South Korea; [Kang, Hye-Eun; Kim, Hyun-Woo] Pukyong Natl Univ, Dept Marine Biol, Busan, South Korea; [Lee, Jae-Bong] NIFS, Busan, South Korea; [Baeck, Gun Wook] Gyeongsang Natl Univ, Dept Seafood &amp; Aquaculture Sci, Coll Marine Sci, Inst Marine Ind,Marine Bioeduc &amp; Res Ctr, Tongyeong, South Korea; [Park, Hyun] Korea Ocean Res &amp; Dev Inst, Korea Polar Res Inst, Incheon, South Korea</t>
  </si>
  <si>
    <t>Pukyong National University; Pukyong National University; National Institute of Fisheries Science; Gyeongsang National University; Korea Polar Research Institute (KOPRI); Korea Institute of Ocean Science &amp; Technology (KIOST)</t>
  </si>
  <si>
    <t>Kim, HW (corresponding author), Pukyong Natl Univ, Interdisciplinary Program Biomed Mech &amp; Elect Eng, Busan, South Korea.;Kim, HW (corresponding author), Pukyong Natl Univ, Dept Marine Biol, Busan, South Korea.</t>
  </si>
  <si>
    <t>Kim, Hyun-Woo/AFN-9184-2022; Lee, Soo Rin/D-8790-2019</t>
  </si>
  <si>
    <t>National Institute of Fisheries Science (NIFS) [R2017027]</t>
  </si>
  <si>
    <t>National Institute of Fisheries Science (NIFS)</t>
  </si>
  <si>
    <t>This work was supported by a grant from the National Institute of Fisheries Science (NIFS; R2017027). The funders had no role in study design, data collection and analysis, decision to publish, or preparation of the manuscript.</t>
  </si>
  <si>
    <t>e3977</t>
  </si>
  <si>
    <t>10.7717/peerj.3977</t>
  </si>
  <si>
    <t>FL9KB</t>
  </si>
  <si>
    <t>WOS:000414571600002</t>
  </si>
  <si>
    <t>Garner, AJ; Mann, ME; Emanuel, KA; Kopp, RE; Lin, N; Alley, RB; Horton, BP; DeConto, RM; Donnelly, JP; Pollard, D</t>
  </si>
  <si>
    <t>Garner, Andra J.; Mann, Michael E.; Emanuel, Kerry A.; Kopp, Robert E.; Lin, Ning; Alley, Richard B.; Horton, Benjamin P.; DeConto, Robert M.; Donnelly, Jeffrey P.; Pollard, David</t>
  </si>
  <si>
    <t>Impact of climate change on New York City's coastal flood hazard: Increasing flood heights from the preindustrial to 2300 CE</t>
  </si>
  <si>
    <t>tropical cyclones; flood height; New York City; sea-level rise; coastal flooding</t>
  </si>
  <si>
    <t>SEA-LEVEL RISE; TROPICAL CYCLONES; CMIP5; ICE; PROJECTIONS; INTENSITY; THREAT; MODEL</t>
  </si>
  <si>
    <t>The flood hazard in New York City depends on both storm surges and rising sea levels. We combine modeled storm surges with probabilistic sea-level rise projections to assess future coastal inundation in New York City from the preindustrial era through 2300 CE. The storm surges are derived from large sets of synthetic tropical cyclones, downscaled from RCP8.5 simulations from three CMIP5 models. The sea-level rise projections account for potential partial collapse of the Antarctic ice sheet in assessing future coastal inundation. CMIP5 models indicate that there will be minimal change in storm-surge heights from 2010 to 2100 or 2300, because the predicted strengthening of the strongest storms will be compensated by storm tracks moving offshore at the latitude of New York City. However, projected sea-level rise causes overall flood heights associated with tropical cyclones in New York City in coming centuries to increase greatly compared with preindustrial or modern flood heights. For the various sea-level rise scenarios we consider, the 1-in-500-y flood event increases from 3.4 m above mean tidal level during 1970-2005 to 4.0-5.1 m above mean tidal level by 2080-2100 and ranges from 5.0-15.4 m above mean tidal level by 2280-2300. Further, we find that the return period of a 2.25-m flood has decreased from similar to 500 y before 1800 to similar to 25 y during 1970-2005 and further decreases to similar to 5 y by 2030-2045 in 95% of our simulations. The 2.25-m flood height is permanently exceeded by 2280-2300 for scenarios that include Antarctica's potential partial collapse.</t>
  </si>
  <si>
    <t>[Garner, Andra J.; Horton, Benjamin P.] Rutgers State Univ, Dept Marine &amp; Coastal Sci, New Brunswick, NJ 08901 USA; [Garner, Andra J.; Kopp, Robert E.; Horton, Benjamin P.] Rutgers State Univ, Inst Earth Ocean &amp; Atmospher Sci, New Brunswick, NJ 08901 USA; [Mann, Michael E.] Penn State Univ, Dept Meteorol &amp; Atmospher Sci, University Pk, PA 16802 USA; [Mann, Michael E.; Pollard, David] Penn State Univ, Earth &amp; Environm Syst Inst, University Pk, PA 16802 USA; [Emanuel, Kerry A.] MIT, Program Atmospheres Oceans &amp; Climate, Dept Earth Atmospher &amp; Planetary Sci, Cambridge, MA 02913 USA; [Kopp, Robert E.] Rutgers State Univ, Dept Earth &amp; Planetary Sci, Piscataway, NJ 08854 USA; [Lin, Ning] Princeton Univ, Dept Civil &amp; Environm Engn, Princeton, NJ 08544 USA; [Alley, Richard B.] Penn State Univ, Dept Geosci, University Pk, PA 16802 USA; [Horton, Benjamin P.] Nanyang Technol Univ, Asian Sch Environm, Singapore 639798, Singapore; [Horton, Benjamin P.] Nanyang Technol Univ, Earth Observ Singapore, Singapore 639798, Singapore; [DeConto, Robert M.] Univ Massachusetts Amherst, Dept Geosci, Amherst, MA 01003 USA; [Donnelly, Jeffrey P.] Woods Hole Oceanog Inst, Dept Geol &amp; Geophys, Woods Hole, MA 02543 USA</t>
  </si>
  <si>
    <t>Rutgers University System; Rutgers University New Brunswick; Rutgers University System; Rutgers University New Brunswick; Pennsylvania Commonwealth System of Higher Education (PCSHE); Pennsylvania State University; Pennsylvania State University - University Park; Pennsylvania Commonwealth System of Higher Education (PCSHE); Pennsylvania State University; Pennsylvania State University - University Park; Massachusetts Institute of Technology (MIT); Rutgers University System; Rutgers University New Brunswick; Princeton University; Pennsylvania Commonwealth System of Higher Education (PCSHE); Pennsylvania State University; Pennsylvania State University - University Park; Nanyang Technological University; Nanyang Technological University; University of Massachusetts System; University of Massachusetts Amherst; Woods Hole Oceanographic Institution</t>
  </si>
  <si>
    <t>Garner, AJ (corresponding author), Rutgers State Univ, Dept Marine &amp; Coastal Sci, New Brunswick, NJ 08901 USA.;Garner, AJ (corresponding author), Rutgers State Univ, Inst Earth Ocean &amp; Atmospher Sci, New Brunswick, NJ 08901 USA.</t>
  </si>
  <si>
    <t>ajgarner@marine.rutgers.edu</t>
  </si>
  <si>
    <t>Kopp, Robert E/B-8822-2008; Mann, Michael E/B-8472-2017; Emanuel, Kerry/JPL-6089-2023; IPO, PAGES/JXY-7546-2024</t>
  </si>
  <si>
    <t>Mann, Michael E/0000-0003-3067-296X; Garner, Andra/0000-0002-4994-9271; Lin, Ning/0000-0002-5571-1606; Horton, Benjamin/0000-0001-9245-3768; Kopp, Robert/0000-0003-4016-9428</t>
  </si>
  <si>
    <t>NOAA [424-18 45GZ, NA11OAR4310101]; NSF [OCE 1458904, EAR 1520683, ATM-1446329]; EAR Postdoctoral Fellowship [1625150]; Community Foundation of New Jersey; David and Arleen McGlade; National Research Foundation Singapore; Singapore Ministry of Education under Research Centres of Excellence initiative; International Geoscience Programme (IGCP) Project [639]; Div Atmospheric &amp; Geospace Sciences; Directorate For Geosciences [1520683] Funding Source: National Science Foundation; Division Of Earth Sciences; Directorate For Geosciences [1625150, 1440015] Funding Source: National Science Foundation; Division Of Earth Sciences; Directorate For Geosciences [1446329] Funding Source: National Science Foundation</t>
  </si>
  <si>
    <t>NOAA(National Oceanic Atmospheric Admin (NOAA) - USA); NSF(National Science Foundation (NSF)); EAR Postdoctoral Fellowship; Community Foundation of New Jersey; David and Arleen McGlade; National Research Foundation Singapore(National Research Foundation, Singapore); Singapore Ministry of Education under Research Centres of Excellence initiative(Ministry of Education, Singapore); International Geoscience Programme (IGCP) Project; Div Atmospheric &amp; Geospace Sciences; Directorate For Geosciences(National Science Foundation (NSF)NSF - Directorate for Geosciences (GEO)); Division Of Earth Sciences; Directorate For Geosciences(National Science Foundation (NSF)NSF - Directorate for Geosciences (GEO)); Division Of Earth Sciences; Directorate For Geosciences(National Science Foundation (NSF)NSF - Directorate for Geosciences (GEO))</t>
  </si>
  <si>
    <t>We thank Sonya Miller for technical assistance and David Titley, Raymond Najjar, and Gregory Garner for advice, comments, and input. We acknowledge the World Climate Research Programme's Working Group on Coupled Modeling, which is responsible for CMIP, and we thank the MPI, CCSM4, IPSL, HadGEM, GFDL, MRI, and MIROC climate modeling groups for producing and making available their model output. This work was supported by NOAA Grants 424-18 45GZ and NA11OAR4310101, NSF Grants OCE 1458904, EAR 1520683, ATM-1446329, and EAR Postdoctoral Fellowship 1625150, the Community Foundation of New Jersey, and David and Arleen McGlade. For CMIP the US Department of Energy's Program for Climate Model Diagnosis and Intercomparison provides coordinating support and led development of software infrastructure in partnership with the Global Organization for Earth System Science Portals. We acknowledge PALSEA2 (Palaeo-Constraints on Sea-Level Rise), which is a working group of Past Global Changes/IMAGES (International Marine Past Global Change Study) and an International Focus Group of the International Union for Quaternary Research, and International Geoscience Programme (IGCP) Project 639, Sea Level Change from Minutes to Millennia. This research is supported by the National Research Foundation Singapore and the Singapore Ministry of Education under the Research Centres of Excellence initiative. This is Earth Observatory of Singapore contribution 161.</t>
  </si>
  <si>
    <t>10.1073/pnas.1703568114</t>
  </si>
  <si>
    <t>FM0DT</t>
  </si>
  <si>
    <t>WOS:000414631200053</t>
  </si>
  <si>
    <t>Wang, C; Pakhomova, S; Newcomer, ME; Christner, BC; Luo, BH</t>
  </si>
  <si>
    <t>Wang, Chen; Pakhomova, Svetlana; Newcomer, Marcia E.; Christner, Brent C.; Luo, Bing-Hao</t>
  </si>
  <si>
    <t>Structural basis of antifreeze activity of a bacterial multi-domain antifreeze protein</t>
  </si>
  <si>
    <t>ICE-BINDING PROTEIN; ANTARCTIC BACTERIUM; THERMAL HYSTERESIS; GROWTH-INHIBITION; CRYSTAL-STRUCTURE; CLATHRATE WATERS; WINTER FLOUNDER; ARCTIC YEAST; MECHANISM; FISHES</t>
  </si>
  <si>
    <t>Antifreeze proteins (AFPs) enhance the survival of organisms inhabiting cold environments by affecting the formation and/or structure of ice. We report the crystal structure of the first multi-domain AFP that has been characterized. The two ice binding domains are structurally similar. Each consists of an irregular beta-helix with a triangular cross-section and a long alpha-helix that runs parallel on one side of the beta-helix. Both domains are stabilized by hydrophobic interactions. A flat plane on the same face of each domain's P-helix was identified as the ice binding site. Mutating any of the smaller residues on the ice binding site to bulkier ones decreased the antifreeze activity. The bulky side chain of Leu174 in domain A sterically hinders the binding of water molecules to the protein backbone, partially explaining why antifreeze activity by domain A is inferior to that of domain B. Our data provide a molecular basis for understanding differences in antifreeze activity between the two domains of this protein and general insight on how structural differences in the ice-binding sites affect the activity of AFPs.</t>
  </si>
  <si>
    <t>[Wang, Chen; Pakhomova, Svetlana; Newcomer, Marcia E.; Christner, Brent C.; Luo, Bing-Hao] Louisiana State Univ, Dept Biol Sci, Baton Rouge, LA 70803 USA; [Christner, Brent C.] Univ Florida, Dept Microbiol &amp; Cell Sci, Biodivers Inst, Gainesville, FL 32611 USA</t>
  </si>
  <si>
    <t>Louisiana State University System; Louisiana State University; State University System of Florida; University of Florida</t>
  </si>
  <si>
    <t>Luo, BH (corresponding author), Louisiana State Univ, Dept Biol Sci, Baton Rouge, LA 70803 USA.</t>
  </si>
  <si>
    <t>luo@lsu.edu</t>
  </si>
  <si>
    <t>Luo, Bing-Hao/0000-0001-8602-4019; Wang, Chen/0000-0001-5769-2077</t>
  </si>
  <si>
    <t>U.S. Department of Energy [DE-AC02-98CH10886]</t>
  </si>
  <si>
    <t>U.S. Department of Energy(United States Department of Energy (DOE))</t>
  </si>
  <si>
    <t>This work was supported by the U.S. Department of Energy (DE-AC02-98CH10886). The funders had no role in study design, data collection and analysis, decision to publish, or preparation of the manuscript.</t>
  </si>
  <si>
    <t>NOV 6</t>
  </si>
  <si>
    <t>e0187169</t>
  </si>
  <si>
    <t>10.1371/journal.pone.0187169</t>
  </si>
  <si>
    <t>FL7JU</t>
  </si>
  <si>
    <t>WOS:000414424600017</t>
  </si>
  <si>
    <t>O'Shea, SJ; Choularton, TW; Flynn, M; Bower, KN; Gallagher, M; Crosier, J; Williams, P; Crawford, I; Fleming, ZL; Listowski, C; Kirchgaessner, A; Ladkin, RS; Lachlan-Cope, T</t>
  </si>
  <si>
    <t>O'Shea, Sebastian J.; Choularton, Thomas W.; Flynn, Michael; Bower, Keith N.; Gallagher, Martin; Crosier, Jonathan; Williams, Paul; Crawford, Ian; Fleming, Zoe L.; Listowski, Constantino; Kirchgaessner, Amelie; Ladkin, Russell S.; Lachlan-Cope, Thomas</t>
  </si>
  <si>
    <t>In situ measurements of cloud microphysics and aerosol over coastal Antarctica during the MAC campaign</t>
  </si>
  <si>
    <t>MIXED-PHASE CLOUDS; ICE NUCLEATION; BOUNDARY-LAYER; PART 1; NUCLEI; PRECIPITATION; PARTICLES; CUMULUS; HYGROSCOPICITY; PERFORMANCE</t>
  </si>
  <si>
    <t>During austral summer 2015, the Microphysics of Antarctic Clouds (MAC) field campaign collected unique and detailed airborne and ground-based in situ measurements of cloud and aerosol properties over coastal Antarctica and the Weddell Sea. This paper presents the first results from the experiment and discusses the key processes important in this region, which is critical to predicting future climate change. The sampling was predominantly of stratus clouds, at temperatures between -20 and 0 degrees C. These clouds were dominated by supercooled liquid water droplets, which had a median concentration of 113 cm(-3) and an interquartile range of 86 cm(-3). Both cloud liquid water content and effective radius increased closer to cloud top. The cloud droplet effective radius increased from 4 +/- 2 mu m near cloud base to 8 +/- 3 mu m near cloud top. Cloud ice particle concentrations were highly variable with the ice tending to occur in small, isolated patches. Below approximately 1000 m, glaciated cloud regions were more common at higher temperatures; however, the clouds were still predominantly liquid throughout. When ice was present at temperatures higher than -10 degrees C, secondary ice production most likely through the Hallett-Mossop mechanism led to ice concentrations 1 to 3 orders of magnitude higher than the number predicted by commonly used primary ice nucleation parameterisations. The drivers of the ice crystal variability are investigated. No clear dependence on the droplet size distribution was found. The source of first ice in the clouds remains uncertain but may include contributions from biogenic particles, blowing snow or other surface ice production mechanisms. The concentration of large aerosols (diameters 0.5 to 1.6 mu m) decreased with altitude and were depleted in air masses that originated over the Antarctic continent compared to those more heavily influenced by the Southern Ocean and sea ice regions. The dominant aerosol in the region was hygroscopic in nature, with the hygroscopicity parameter kappa having a median value for the campaign of 0.66 (interquartile range of 0.38). This is consistent with other remote marine locations that are dominated by sea salt/sulfate.</t>
  </si>
  <si>
    <t>[O'Shea, Sebastian J.; Choularton, Thomas W.; Flynn, Michael; Bower, Keith N.; Gallagher, Martin; Crosier, Jonathan; Williams, Paul; Crawford, Ian] Univ Manchester, Sch Earth &amp; Environm Sci, Oxford Rd, Manchester, Lancs, England; [Crosier, Jonathan; Williams, Paul] Univ Manchester, Natl Ctr Atmospher Sci, Oxford Rd, Manchester, Lancs, England; [Fleming, Zoe L.] Univ Leicester, Dept Chem, Natl Ctr Atmospher Sci, Leicester, Leics, England; [Listowski, Constantino; Kirchgaessner, Amelie; Ladkin, Russell S.; Lachlan-Cope, Thomas] NERC, British Antarctic Survey, Madingley Rd, Cambridge, England; [Listowski, Constantino] UPMC Univ Paris 06, LATMOS IPSL, UVSQ Univ Paris Saclay, CNRS, Guyancourt, France</t>
  </si>
  <si>
    <t>University of Manchester; University of Manchester; UK Research &amp; Innovation (UKRI); Natural Environment Research Council (NERC); NERC National Centre for Atmospheric Science; University of Leicester; UK Research &amp; Innovation (UKRI); Natural Environment Research Council (NERC); NERC National Centre for Atmospheric Science; UK Research &amp; Innovation (UKRI); Natural Environment Research Council (NERC); NERC British Antarctic Survey; Sorbonne Universite; Universite Paris Saclay; Centre National de la Recherche Scientifique (CNRS)</t>
  </si>
  <si>
    <t>O'Shea, SJ (corresponding author), Univ Manchester, Sch Earth &amp; Environm Sci, Oxford Rd, Manchester, Lancs, England.</t>
  </si>
  <si>
    <t>sebastian.oshea@manchester.ac.uk</t>
  </si>
  <si>
    <t>Crosier, Jonathan/G-8952-2011; Fleming, Zoë/AAU-8214-2020; Williams, Paul I/C-2663-2013; Listowski, Constantino/X-8595-2019; Fleming, Zoe/AHB-1124-2022; Kirchgaessner, Amelie/JGL-9010-2023; Gallagher, Martin/ABH-7381-2020</t>
  </si>
  <si>
    <t>Fleming, Zoë/0000-0001-5732-1479; Williams, Paul I/0000-0002-8973-4718; Listowski, Constantino/0000-0001-8693-8689; Kirchgaessner, Amelie/0000-0001-7483-3652; Gallagher, Martin/0000-0002-4968-6088; Crawford, Ian/0000-0003-4433-7310; Crosier, Jonathan/0000-0002-3086-4729; O'Shea, Sebastian/0000-0002-0489-1723; Bower, Keith/0000-0002-9802-3264; Choularton, Thomas/0000-0002-0409-4329</t>
  </si>
  <si>
    <t>UK Natural Environment Research Council [NE/K01482X/1]; Natural Environment Research Council [bas0100032, NE/K01482X/1, NE/H019049/1, NE/K01305X/1] Funding Source: researchfish; NERC [bas0100032, NE/K01482X/1, NE/K01305X/1, NE/H019049/1]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</si>
  <si>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</si>
  <si>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Vicky Auld, Neil Brough and all the BAS staff who helped in the Antarctic. We are grateful to Gillian Young for her assistance with the ERA-Interim reanalysis data. The MAC project was funded by the UK Natural Environment Research Council (grant no. NE/K01482X/1).</t>
  </si>
  <si>
    <t>10.5194/acp-17-13049-2017</t>
  </si>
  <si>
    <t>FL8QW</t>
  </si>
  <si>
    <t>WOS:000414516100004</t>
  </si>
  <si>
    <t>Toohey, M; Sigl, M</t>
  </si>
  <si>
    <t>Toohey, Matthew; Sigl, Michael</t>
  </si>
  <si>
    <t>Volcanic stratospheric sulfur injections and aerosol optical depth from 500 BCE to 1900 CE</t>
  </si>
  <si>
    <t>GREENLAND ICE CORE; MILLENNIUM ERUPTION; EXPLOSIVE VOLCANISM; SULFATE DEPOSITION; PINATUBO ERUPTION; WAIS DIVIDE; CLIMATE; SIMULATIONS; EMISSIONS; RECORD</t>
  </si>
  <si>
    <t>The injection of sulfur into the stratosphere by explosive volcanic eruptions is the cause of significant climate variability. Based on sulfate records from a suite of ice cores from Greenland and Antarctica, the eVolv2k database includes estimates of the magnitudes and approximate source latitudes of major volcanic stratospheric sulfur injection (VSSI) events from 500 BCE to 1900 CE, constituting an update of prior reconstructions and an extension of the record by 1000 years. The database incorporates improvements to the ice core records (in terms of synchronisation and dating) and refinements to the methods used to estimate VSSI from ice core records, and it includes first estimates of the random uncertainties in VSSI values. VSSI estimates for many of the largest eruptions, including Samalas (1257), Tambora (1815), and Laki (1783), are within 10% of prior estimates. A number of strong events are included in eVolv2k which are largely underestimated or not included in earlier VSSI reconstructions, including events in 540, 574, 682, and 1108 CE. The long-term annual mean VSSI from major volcanic eruptions is estimated to be similar to 0.5 Tg [S] yr(-1), similar to 50% greater than a prior reconstruction due to the identification of more events and an increase in the magnitude of many intermediate events. A long-term latitudinally and monthly resolved stratospheric aerosol optical depth (SAOD) time series is reconstructed from the eVolv2k VSSI estimates, and the resulting global mean SAOD is found to be similar (within 33 %) to a prior reconstruction for most of the largest eruptions. The long-term (500 BCE-1900 CE) average global mean SAOD estimated from the eVolv2k VSSI estimates including a constant background injection of stratospheric sulfur is similar to 0.014, 30% greater than a prior reconstruction. These new long-term reconstructions of past VSSI and SAOD variability give context to recent volcanic forcing, suggesting that the 20th century was a period of somewhat weaker than average volcanic forcing, with current best estimates of 20th century mean VSSI and SAOD values being 25 and 14% less, respectively, than the mean of the 500 BCE to 1900 CE period. The reconstructed VSSI and SAOD data are available at https://doi.org/10.1594/WDCC/eVolv2k_v2.</t>
  </si>
  <si>
    <t>[Toohey, Matthew] GEOMAR Helmholtz Ctr Ocean Res Kiel, Kiel, Germany; [Sigl, Michael] Paul Scherrer Inst, Lab Environm Chem, CH-5232 Villigen, Switzerland; [Sigl, Michael] Oeschger Ctr Climate Change Res, CH-3012 Bern, Switzerland</t>
  </si>
  <si>
    <t>Helmholtz Association; GEOMAR Helmholtz Center for Ocean Research Kiel; Swiss Federal Institutes of Technology Domain; Paul Scherrer Institute; University of Bern</t>
  </si>
  <si>
    <t>Toohey, M (corresponding author), GEOMAR Helmholtz Ctr Ocean Res Kiel, Kiel, Germany.</t>
  </si>
  <si>
    <t>mtoohey@geomar.de</t>
  </si>
  <si>
    <t>IPO, PAGES/JXY-7546-2024; Toohey, Matthew/AAL-1896-2021</t>
  </si>
  <si>
    <t>Toohey, Matthew/0000-0002-7070-405X; Sigl, Michael/0000-0002-9028-9703</t>
  </si>
  <si>
    <t>Deutsche Forschungsgemeinschaft (DFG) [TO 967/1-1]; Directorate For Geosciences; Division Of Earth Sciences [1440015] Funding Source: National Science Foundation</t>
  </si>
  <si>
    <t>Deutsche Forschungsgemeinschaft (DFG)(German Research Foundation (DFG)); Directorate For Geosciences; Division Of Earth Sciences(National Science Foundation (NSF)NSF - Directorate for Geosciences (GEO))</t>
  </si>
  <si>
    <t>The authors thank reviewers Raymond Bradley and Chaochao Gao for their helpful comments. Matthew Toohey acknowledges support by the Deutsche Forschungsgemeinschaft (DFG) in the framework of the priority programme Antarctic Research with comparative investigations in Arctic ice areas through grant TO 967/1-1. Computations were carried out at the German Climate Computing Centre (DKRZ). This work benefitted greatly as a result of the authors' participation in the Past Global Changes (PAGES) Volcanic Impacts on Climate and Society (VICS) working group.</t>
  </si>
  <si>
    <t>10.5194/essd-9-809-2017</t>
  </si>
  <si>
    <t>FL7NT</t>
  </si>
  <si>
    <t>Green Accepted, gold, Green Submitted, Green Published</t>
  </si>
  <si>
    <t>WOS:000414435800001</t>
  </si>
  <si>
    <t>Suárez-Jiménez, R; Hepburn, CD; Hyndes, GA; McLeod, RJ; Taylor, RB; Hurd, CL</t>
  </si>
  <si>
    <t>Suarez-Jimenez, Rocio; Hepburn, Christopher D.; Hyndes, Glenn A.; McLeod, Rebecca J.; Taylor, Richard B.; Hurd, Catriona L.</t>
  </si>
  <si>
    <t>The invasive kelp Undaria pinnatifida hosts an epifaunal assemblage similar to native seaweeds with comparable morphologies</t>
  </si>
  <si>
    <t>Undaria pinnatifida; Epifaunal communities; Invasive seaweeds; Native seaweed; Morphological complexity; Fucales; Laminariales; Asian kelp</t>
  </si>
  <si>
    <t>NUEVO GULF PATAGONIA; FEEDING PREFERENCES; SARGASSUM-MUTICUM; MOBILE EPIFAUNA; HABITAT ARCHITECTURE; PLANT SPECIALIZATION; COMMUNITY STRUCTURE; CHEMICAL DEFENSE; NEW-ZEALAND; BROWN ALGA</t>
  </si>
  <si>
    <t>Invasive seaweeds have the potential to disrupt ecosystem functioning if they are unsuitable hosts for the small mobile invertebrates (epifauna) that are an important trophic link between benthic primary producers and higher trophic levels. The Asian kelp Undaria pinnatifida has successfully invaded many coastal regions worldwide. We compared the epifaunal assemblage on U. pinnatifida with epifauna of 7 co-occurring, canopy-forming native brown seaweed species in southern New Zealand to help understand the effect of the invasive species on shallow subtidal ecosystems. The density, diversity and composition of epifauna across the 8 seaweeds were much more strongly related to host morphology than to the geographic origin of the host. U. pinnatifida and several native seaweeds with similarly simple morphologies supported relatively depauperate epifaunal assemblages dominated by copepods. More structurally complex native seaweeds supported more abundant and diverse epifaunal assemblages containing lower proportions of copepods and higher proportions of amphipods and other epifaunal groups. Our results indicate that abundances of epifauna at the ecosystem level will be reduced if U. pinnatifida displaces more structurally complex native seaweed species that host more diverse and dense epifaunal assemblages. The findings suggest that morphological complexity may be key to predicting the impacts of invasive seaweeds on epifaunal assemblages, and potentially on food webs, in other geographic regions.</t>
  </si>
  <si>
    <t>[Suarez-Jimenez, Rocio] Univ Otago, Dept Bot, Dunedin 9054, New Zealand; [Hepburn, Christopher D.] Univ Otago, Dept Marine Sci, Dunedin 9054, New Zealand; [Hyndes, Glenn A.] Edith Cowan Univ, Sch Sci, Ctr Marine Ecosyst Res, Perth, WA 6027, Australia; [McLeod, Rebecca J.] Univ Otago, Dept Chem, Dunedin 9054, New Zealand; [Taylor, Richard B.] Univ Auckland, Leigh Marine Lab, Leigh 0985, New Zealand; [Taylor, Richard B.] Univ Auckland, Inst Marine Sci, Leigh 0985, New Zealand; [Hurd, Catriona L.] Univ Tasmania, Inst Marine &amp; Antarctic Studies, 20 Castray Esplanade, Hobart, Tas 7004, Australia</t>
  </si>
  <si>
    <t>University of Otago; University of Otago; Edith Cowan University; University of Otago; University of Auckland; University of Auckland; University of Tasmania</t>
  </si>
  <si>
    <t>Suárez-Jiménez, R (corresponding author), Univ Otago, Dept Bot, Dunedin 9054, New Zealand.</t>
  </si>
  <si>
    <t>rsuarezjimenez@gmail.com</t>
  </si>
  <si>
    <t>McLeod, Rebecca J/H-4147-2011; Taylor, Richard B/D-2332-2009; Hurd, Catriona/J-2411-2013</t>
  </si>
  <si>
    <t>Hyndes, Glenn/0000-0002-3525-1665; Hurd, Catriona/0000-0001-9965-4917</t>
  </si>
  <si>
    <t>Otago University Doctoral Scholarship; Performance Based Research (PBRF) funding from the Department of Botany, University of Otago; Foundation for Research, Science and Technology (FRST) subcontract from the National Institute of Water and Atmospheric Research Ltd.; Biodiversity and Biosecurity OBI [C01X0502]; FRST Science and Technology Postdoctoral Fellowship [UOOX0814]; New Zealand Ministry of Business, Innovation &amp; Employment (MBIE) [UOOX0814] Funding Source: New Zealand Ministry of Business, Innovation &amp; Employment (MBIE)</t>
  </si>
  <si>
    <t>Otago University Doctoral Scholarship; Performance Based Research (PBRF) funding from the Department of Botany, University of Otago; Foundation for Research, Science and Technology (FRST) subcontract from the National Institute of Water and Atmospheric Research Ltd.; Biodiversity and Biosecurity OBI; FRST Science and Technology Postdoctoral Fellowship; New Zealand Ministry of Business, Innovation &amp; Employment (MBIE)(New Zealand Ministry of Business, Innovation and Employment (MBIE))</t>
  </si>
  <si>
    <t>We thank S. Bell, P. S. Fernandez, M. Desmond, D. Richards and C. Cornwall for field assistance, and F. Vitelli for help with the statistical analyses. This study was funded by an Otago University Doctoral Scholarship to R.S.J., Performance Based Research (PBRF) funding from the Department of Botany, University of Otago to C.L.H., a Foundation for Research, Science and Technology (FRST) subcontract to C.L.H. from the National Institute of Water and Atmospheric Research Ltd., Biodiversity and Biosecurity OBI (C01X0502) and a FRST Science and Technology Postdoctoral Fellowship to R.J.M. (UOOX0814). We are grateful to the 4 anonymous reviewers for their constructive comments on the manuscript.</t>
  </si>
  <si>
    <t>10.3354/meps12321</t>
  </si>
  <si>
    <t>FL9NA</t>
  </si>
  <si>
    <t>WOS:000414581400004</t>
  </si>
  <si>
    <t>Mezgec, K; Stenni, B; Crosta, X; Masson-Delmotte, V; Baroni, C; Braida, M; Ciardini, V; Colizza, E; Melis, R; Salvatore, MC; Severi, M; Scarchilli, C; Traversi, R; Udisti, R; Frezzotti, M</t>
  </si>
  <si>
    <t>Mezgec, K.; Stenni, B.; Crosta, X.; Masson-Delmotte, V.; Baroni, C.; Braida, M.; Ciardini, V.; Colizza, E.; Melis, R.; Salvatore, M. C.; Severi, M.; Scarchilli, C.; Traversi, R.; Udisti, R.; Frezzotti, M.</t>
  </si>
  <si>
    <t>Holocene sea ice variability driven by wind and polynya efficiency in the Ross Sea</t>
  </si>
  <si>
    <t>SOUTHERN-OCEAN SEDIMENTS; MAJOR DIATOM TAXA; EAST ANTARCTICA; VICTORIA LAND; MCMURDO SOUND; TAYLOR-DOME; PACK-ICE; CLIMATE; SHELF; CORES</t>
  </si>
  <si>
    <t>The causes of the recent increase in Antarctic sea ice extent, characterised by large regional contrasts and decadal variations, remain unclear. In the Ross Sea, where such a sea ice increase is reported, 50% of the sea ice is produced within wind-sustained latent-heat polynyas. Combining information from marine diatom records and sea salt sodium and water isotope ice core records, we here document contrasting patterns in sea ice variations between coastal and open sea areas in Western Ross Sea over the current interglacial period. Since about 3600 years before present, an increase in the efficiency of regional latent-heat polynyas resulted in more coastal sea ice, while sea ice extent decreased overall. These past changes coincide with remarkable optima or minima in the abundances of penguins, silverfish and seal remains, confirming the high sensitivity of marine ecosystems to environmental and especially coastal sea ice conditions.</t>
  </si>
  <si>
    <t>[Mezgec, K.] Univ Siena, Dept Phys Sci Earth &amp; Environm, Via Laterino 8, I-53100 Siena, Italy; [Mezgec, K.; Braida, M.; Colizza, E.; Melis, R.] Univ Trieste, Dept Math &amp; Geosci, Via E Weiss 2, I-34128 Trieste, Italy; [Stenni, B.] Ca Foscari Univ Venice, Dept Environm Sci Informat &amp; Stat, Via Torino 155, I-30172 Venice, Italy; [Stenni, B.] CNR, Inst Dynam Environm Processes, Via Torino 155, I-30172 Venice, Italy; [Crosta, X.] Univ Bordeaux, CNRS, EPOC, UMR 5805, F-33615 Pessac, France; [Masson-Delmotte, V.] Univ Paris Saclay, CNRS, CEA Saclay, UVSQ,IPSL,LSCE,Bat Orme Merisiers 701, F-91191 Gif Sur Yvette, France; [Baroni, C.; Salvatore, M. C.] Univ Pisa, Dept Earth Sci, Via S Maria 53, I-56126 Pisa, Italy; [Baroni, C.; Salvatore, M. C.] CNR, Inst Geosci &amp; Earth Resources, Via G Moruzzi 1, I-56124 Pisa, Italy; [Scarchilli, C.; Frezzotti, M.] ENEA, SP Anguillarese 301, I-00123 Rome, Italy; [Traversi, R.; Udisti, R.] Univ Florence, Dept Chem Ugo Schiff, I-50019 Florence, Italy</t>
  </si>
  <si>
    <t>University of Siena; University of Trieste; Universita Ca Foscari Venezia; Consiglio Nazionale delle Ricerche (CNR); Istituto per la Dinamica dei Processi Ambientali (IDPA-CNR); Centre National de la Recherche Scientifique (CNRS); Universite de Bordeaux; CNRS - National Institute for Earth Sciences &amp; Astronomy (INSU); CEA; Centre National de la Recherche Scientifique (CNRS); Universite Paris Saclay; Universite Paris Cite; University of Pisa; Consiglio Nazionale delle Ricerche (CNR); Istituto di Geoscienze e Georisorse (IGG-CNR); Italian National Agency New Technical Energy &amp; Sustainable Economics Development; University of Florence</t>
  </si>
  <si>
    <t>Stenni, B (corresponding author), Ca Foscari Univ Venice, Dept Environm Sci Informat &amp; Stat, Via Torino 155, I-30172 Venice, Italy.;Stenni, B (corresponding author), CNR, Inst Dynam Environm Processes, Via Torino 155, I-30172 Venice, Italy.</t>
  </si>
  <si>
    <t>Masson-Delmotte, Valerie L/G-1995-2011; Baroni, Carlo/D-8184-2012; Severi, Mirko/J-2508-2012; Salvatore, Maria Cristina/AAS-4000-2020; FREZZOTTI, Massimo/AAK-7275-2020; Traversi, Rita/M-7586-2015</t>
  </si>
  <si>
    <t>Masson-Delmotte, Valerie L/0000-0001-8296-381X; Baroni, Carlo/0000-0001-5905-4650; Salvatore, Maria Cristina/0000-0002-1590-7284; FREZZOTTI, Massimo/0000-0002-2461-2883; Scarchilli, Claudio/0000-0002-2414-2439; Colizza, Ester/0000-0002-9026-6667; Stenni, Barbara/0000-0003-4950-3664; Traversi, Rita/0000-0002-9790-2195</t>
  </si>
  <si>
    <t>10.1038/s41467-017-01455-x</t>
  </si>
  <si>
    <t>FL7IV</t>
  </si>
  <si>
    <t>WOS:000414422100019</t>
  </si>
  <si>
    <t>Kim, J; Yoon, YJ; Gim, Y; Kang, HJ; Choi, JH; Park, KT; Lee, BY</t>
  </si>
  <si>
    <t>Kim, Jaeseok; Yoon, Young Jun; Gim, Yeontae; Kang, Hyo Jin; Choi, Jin Hee; Park, Ki-Tae; Lee, Bang Yong</t>
  </si>
  <si>
    <t>Seasonal variations in physical characteristics of aerosol particles at the King Sejong Station, Antarctic Peninsula</t>
  </si>
  <si>
    <t>CLOUD CONDENSATION NUCLEI; SIZE DISTRIBUTIONS; BLACK CARBON; CHEMICAL-COMPOSITION; HYGROSCOPIC GROWTH; MCMURDO STATION; CCN ACTIVITY; SOUTH-POLE; DOME-C; FEATURES</t>
  </si>
  <si>
    <t>Seasonal variability in the physical characteristics of aerosol particles sampled from the King Sejong Station in the Antarctic Peninsula was investigated over the period between March 2009 and February 2015. Clear seasonal cycles for the total particle concentration (CN) were observed. The mean monthly concentration of particles larger than 2.5 nm (CN2.5/was highest during the austral summer, with an average value of 1080.39 +/- 595.05 cm(-3), and lowest during the austral winter, with a mean value of 197.26 +/- 71.71 cm(-3). The seasonal patterns in the concentrations of cloud condensation nuclei (CCN) and CN coincide, with both concentrations being at a minimum in winter and maximum in summer. The measured CCN spectra were approximated by fitting a power-law function relating the number of CCN for a given supersaturation (SS) to each SS value, with fitting coefficients C and k(T). The values for C varied from 6.35 to 837.24 cm(-3), with a mean of 171.48 +/- 62.00 cm(-3). The values for k(T) ranged from 0.07 to 2.19, with a mean of 0.41 +/- 0.10. In particular, the k(T) values during the austral summer were higher than those during the winter, indicating that aerosol particles are more sensitive to SS changes during summer. Furthermore, the annual mean hygroscopicity parameter, kappa, was estimated as 0.15 +/- 0.05, for a SS of 0.4 %. The effects of the origin and pathway travelled by the air mass on the physical characteristics of the aerosol particles were also determined. The modal diameter of aerosol particles originating in the South Pacific Ocean showed a seasonal variation varying from 0.023 mu m in winter to 0.034 mu m in summer for the Aitken mode, and from 0.086 mu m in winter to 0.109 mu m in summer for the accumulation mode.</t>
  </si>
  <si>
    <t>[Kim, Jaeseok; Yoon, Young Jun; Gim, Yeontae; Kang, Hyo Jin; Choi, Jin Hee; Park, Ki-Tae; Lee, Bang Yong] Korea Polar Res Inst, 26 Songdomirae Ro, Incheon 21990, South Korea; [Kang, Hyo Jin] UST, 217 Gajeong Ro, Daejeon 34113, South Korea</t>
  </si>
  <si>
    <t>Korea Polar Research Institute (KOPRI); University of Science &amp; Technology (UST)</t>
  </si>
  <si>
    <t>Yoon, YJ (corresponding author), Korea Polar Res Inst, 26 Songdomirae Ro, Incheon 21990, South Korea.</t>
  </si>
  <si>
    <t>yjyoon@kopri.re.kr</t>
  </si>
  <si>
    <t>Park, Ki-Tae/CAF-2480-2022</t>
  </si>
  <si>
    <t>Park, Ki-Tae/0000-0003-4874-6189; Kim, Jaeseok/0000-0002-7920-0288</t>
  </si>
  <si>
    <t>Korea Grant from the Korean Government (MSIP) [NRF-2016M1A5A1901769, KOPRI-PN17081]; KOPRI project [PE17010]</t>
  </si>
  <si>
    <t>Korea Grant from the Korean Government (MSIP); KOPRI project(Korea Polar Research Institute of Marine Research Placement (KOPRI))</t>
  </si>
  <si>
    <t>We would like to thank the many technicians and scientists of the overwintering crews. This work was supported by a Korea Grant from the Korean Government (MSIP) (NRF-2016M1A5A1901769) (KOPRI-PN17081) and the KOPRI project (PE17010).</t>
  </si>
  <si>
    <t>NOV 3</t>
  </si>
  <si>
    <t>10.5194/acp-17-12985-2017</t>
  </si>
  <si>
    <t>FL6RK</t>
  </si>
  <si>
    <t>WOS:000414373700001</t>
  </si>
  <si>
    <t>Osman, M; Das, SB; Marchal, O; Evans, MJ</t>
  </si>
  <si>
    <t>Osman, Matthew; Das, Sarah B.; Marchal, Olivier; Evans, Matthew J.</t>
  </si>
  <si>
    <t>Methanesulfonic acid (MSA) migration in polar ice: data synthesis and theory</t>
  </si>
  <si>
    <t>SEA-SALT AEROSOL; WEST ANTARCTICA; METHANE SULFONATE; DIMETHYL SULFIDE; ANOMALOUS DIFFUSION; SEASONAL-VARIATIONS; ENVIRONMENTAL ICES; SNOW ACCUMULATION; MARINE AEROSOLS; HIGH-RESOLUTION</t>
  </si>
  <si>
    <t>Methanesulfonic acid (MSA; CH3SO3H) in polar ice is a unique proxy of marine primary productivity, synoptic atmospheric transport, and regional sea-ice behavior. However, MSA can be mobile within the firn and ice matrix, a post-depositional process that is well known but poorly understood and documented, leading to uncertainties in the integrity of the MSA paleoclimatic signal. Here, we use a compilation of 22 ice core MSA records from Greenland and Antarctica and a model of soluble impurity transport in order to comprehensively investigate the vertical migration of MSA from summer layers, where MSA is originally deposited, to adjacent winter layers in polar ice. We find that the shallowest depth of MSA migration in our compilation varies over a wide range (similar to 2 to 400 m) and is positively correlated with snow accumulation rate and negatively correlated with ice concentration of Na+ (typically the most abundant marine cation). Although the considered soluble impurity transport model provides a useful mechanistic framework for studying MSA migration, it remains limited by inadequate constraints on key physicochemical parameters - most notably, the diffusion coefficient of MSA in cold ice (D-MS). We derive a simplified version of the model, which includes D-MS as the sole parameter, in order to illuminate aspects of the migration process. Using this model, we show that the progressive phase alignment of MSA and Na+ concentration peaks observed along a high-resolution West Antarctic core is most consistent with 10(-12) m(2) s(-1) &lt; D-MS &lt; 10(-11) m(2) s(-1), which is 1 order of magnitude greater than the D-MS values previously estimated from laboratory studies. More generally, our data synthesis and model results suggest that (i) MSA migration may be fairly ubiquitous, particularly at coastal and (or) highaccumulation regions across Greenland and Antarctica; and (ii) can significantly change annual and multiyear MSA concentration averages. Thus, in most cases, caution should be exercised when interpreting polar ice core MSA records, although records that have undergone severe migration could still be useful for inferring decadal and lower-frequency climate variability.</t>
  </si>
  <si>
    <t>[Osman, Matthew] Massachusetts Inst Technol Woods Hole Oceanog Ins, Woods Hole, MA 02543 USA; [Das, Sarah B.; Marchal, Olivier] Woods Hole Oceanog Inst, Dept Geol &amp; Geophys, Woods Hole, MA 02543 USA; [Evans, Matthew J.] Wheaton Coll, Dept Chem, Wheaton, MA USA</t>
  </si>
  <si>
    <t>Massachusetts Institute of Technology (MIT); Woods Hole Oceanographic Institution</t>
  </si>
  <si>
    <t>Osman, M (corresponding author), Massachusetts Inst Technol Woods Hole Oceanog Ins, Woods Hole, MA 02543 USA.</t>
  </si>
  <si>
    <t>osmanm@mit.edu</t>
  </si>
  <si>
    <t>Evans, Matthew/0000-0003-4100-4780</t>
  </si>
  <si>
    <t>DoD, Air Force Office of Scientific Research, National Defense Science and Engineering Graduate (NDSEG) [32 CFR 168a]; US NSF [ANT-0632031, PLR-1205196, NSF-MRI-1126217]; Woods Hole Oceanographic Institution</t>
  </si>
  <si>
    <t>DoD, Air Force Office of Scientific Research, National Defense Science and Engineering Graduate (NDSEG)(United States Department of DefenseAir Force Office of Scientific Research (AFOSR)); US NSF(National Science Foundation (NSF)); Woods Hole Oceanographic Institution</t>
  </si>
  <si>
    <t>We thank Elizabeth Thomas for contributing the Ferrigno data, Joseph McConnell for contributing the Summit2010 and D4 data, and Alison Criscitiello and Weifu Guo for early discussions about MSA migration in the DIV2010 record. Matthew Osman acknowledges government support awarded by DoD, Air Force Office of Scientific Research, National Defense Science and Engineering Graduate (NDSEG) Fellowship, 32 CFR 168a. We thank Alan Rempel and one anonymous reviewer, whose comments and suggestions greatly improved the content of this paper. This work was supported by the US NSF (ANT-0632031 and PLR-1205196 to Sarah B. Das, and NSF-MRI-1126217 to Matthew J. Evans) and a Woods Hole Oceanographic Institution Interdisciplinary Research award to Sarah B. Das and Olivier Marchal.</t>
  </si>
  <si>
    <t>10.5194/tc-11-2439-2017</t>
  </si>
  <si>
    <t>FL7JY</t>
  </si>
  <si>
    <t>WOS:000414425000001</t>
  </si>
  <si>
    <t>Studies shelved at Antarctic site</t>
  </si>
  <si>
    <t>AMER ASSOC ADVANCEMENT SCIENCE</t>
  </si>
  <si>
    <t>1200 NEW YORK AVE, NW, WASHINGTON, DC 20005 USA</t>
  </si>
  <si>
    <t>0036-8075</t>
  </si>
  <si>
    <t>1095-9203</t>
  </si>
  <si>
    <t>Science</t>
  </si>
  <si>
    <t>FL4ZP</t>
  </si>
  <si>
    <t>WOS:000414240500003</t>
  </si>
  <si>
    <t>Rack, W; King, MA; Marsh, OJ; Wild, CT; Floricioiu, D</t>
  </si>
  <si>
    <t>Rack, Wolfgang; King, Matt A.; Marsh, Oliver J.; Wild, Christian T.; Floricioiu, Dana</t>
  </si>
  <si>
    <t>Analysis of ice shelf flexure and its InSAR representation in the grounding zone of the southern McMurdo Ice Shelf</t>
  </si>
  <si>
    <t>TIDAL FLEXURE; PRESSURE VARIATIONS; ANTARCTICA; GLACIER; STREAM; INTERFEROMETRY; MOVEMENT; MARGINS; RADAR; MODEL</t>
  </si>
  <si>
    <t>We examine tidal flexure in the grounding zone of the McMurdo Ice Shelf, Antarctica, using a combination of TerraSAR-X repeat-pass radar interferometry, a precise digital elevation model, and GPS ground validation data. Satellite and field data were acquired in tandem between October and December 2014. Our GPS data show a horizontal modulation of up to 60% of the vertical displacement amplitude at tidal periods within a few kilometres of the grounding line. We ascribe the observed oscillatory horizontal motion to varying bending stresses and account for it using a simple elastic beam model. The horizontal surface strain is removed from nine differential interferograms to obtain precise bending curves. They reveal a fixed (as opposed to tidally migrating) grounding-line position and eliminate the possibility of significant upstream bending at this location. The consequence of apparent vertical motion due to uncorrected horizontal strain in interferometric data is a systematic mis-location of the interferometric grounding line by up to the order of one ice thickness, or several hundred metres. While our field site was selected due to its simple boundary conditions and low background velocity, our findings are relevant to other grounding zones studied by satellite interferometry, particularly studies looking at tidally induced velocity changes or interpreting satellite-based flexure profiles.</t>
  </si>
  <si>
    <t>[Rack, Wolfgang; Marsh, Oliver J.; Wild, Christian T.] Univ Canterbury, Gateway Antarctica, Private Bag 4800, Christchurch, New Zealand; [King, Matt A.] Univ Tasmania, Sch Land &amp; Food, Private Bag 76, Hobart, Tas 7001, Australia; [Floricioiu, Dana] German Aerosp Ctr DLR Oberpfaffenhofen, Earth Observat Ctr, D-82234 Wessling, Germany</t>
  </si>
  <si>
    <t>University of Canterbury; University of Tasmania; Helmholtz Association; German Aerospace Centre (DLR)</t>
  </si>
  <si>
    <t>Rack, W (corresponding author), Univ Canterbury, Gateway Antarctica, Private Bag 4800, Christchurch, New Zealand.</t>
  </si>
  <si>
    <t>wolfgang.rack@canterbury.ac.nz</t>
  </si>
  <si>
    <t>King, Matt/B-4622-2008; Marsh, Oliver J/K-7436-2014; Rack, Wolfgang/U-8898-2017</t>
  </si>
  <si>
    <t>King, Matt/0000-0001-5611-9498; Floricioiu, Dana/0000-0002-1647-7191; Wild, Christian/0000-0003-4586-1704; Marsh, Oliver/0000-0001-7874-514X; Rack, Wolfgang/0000-0003-2447-377X</t>
  </si>
  <si>
    <t>NZARI project [2014-5]; Australian Research Council [FT110100207]; Australian Research Council's Special Research Initiative for Antarctic Gateway Partnership [SR140300001]; German Aerospace Agency (DLR) [HYD1421]; National Science Foundation (NSF); National Aeronautics and Space Administration (NASA) under NSF [EAR-0735156]; Australian Research Council [FT110100207] Funding Source: Australian Research Council</t>
  </si>
  <si>
    <t>NZARI project; Australian Research Council(Australian Research Council); Australian Research Council's Special Research Initiative for Antarctic Gateway Partnership(Australian Research Council); German Aerospace Agency (DLR)(Helmholtz AssociationGerman Aerospace Centre (DLR)); National Science Foundation (NSF)(National Science Foundation (NSF)); National Aeronautics and Space Administration (NASA) under NSF(National Aeronautics &amp; Space Administration (NASA)); Australian Research Council(Australian Research Council)</t>
  </si>
  <si>
    <t>This study is a result of NZARI project 2014-5. Matt A. King is a recipient of an Australian Research Council Future Fellowship (project number FT110100207). This research was supported under the Australian Research Council's Special Research Initiative for Antarctic Gateway Partnership (project ID SR140300001). We greatly acknowledge the support of fieldwork by M. Ryan and D. Price, and the design of GPS/tiltmeter stations by G. Graham, N. Key, and J. Harrison (all University of Canterbury). We also acknowledge the logistics support by Antarctica New Zealand, especially for the removal of GPS stations in January 2015. We used Gamma Remote Sensing AG interferometric processing software in this study; Trimble Navigation NZ Ltd. supplied GPS receivers for fieldwork. Satellite data acquisition and provision were accomplished through the German Aerospace Agency (DLR) through project HYD1421. Land Information New Zealand freely provided the Scott Base GPS data. This material is based on data services provided by the UNAVCO Facility with support from the National Science Foundation (NSF) and National Aeronautics and Space Administration (NASA) under NSF Cooperative Agreement no. EAR-0735156. WorldView DEM tiles were provided through the Polar Geospatial Center (P. Morin, University of Minnesota).</t>
  </si>
  <si>
    <t>10.5194/tc-11-2481-2017</t>
  </si>
  <si>
    <t>WOS:000414425000003</t>
  </si>
  <si>
    <t>Luria, CM; Amaral-Zettler, LA; Ducklow, HW; Repeta, DJ; Rhyne, AL; Rich, JJ</t>
  </si>
  <si>
    <t>Luria, Catherine M.; Amaral-Zettler, Linda A.; Ducklow, Hugh W.; Repeta, Daniel J.; Rhyne, Andrew L.; Rich, Jeremy J.</t>
  </si>
  <si>
    <t>Seasonal Shifts in Bacterial Community Responses to Phytoplankton-Derived Dissolved Organic Matter in the Western Antarctic Peninsula</t>
  </si>
  <si>
    <t>16S rRNA; amplicon sequencing; community assembly; bacterial succession; mesocosms; Collwelliaceae; Polaribacter; phytoplankton exudates</t>
  </si>
  <si>
    <t>MARINE BACTERIOPLANKTON; COASTAL ECOSYSTEM; SEA-ICE; BLOOM; CARBON; ASSEMBLAGES; SUCCESSION; DIVERSITY; ABUNDANCE; DYNAMICS</t>
  </si>
  <si>
    <t>Bacterial consumption of dissolved organic matter (DOM) drives much of the movement of carbon through the oceanic food web and the global carbon cycle. Understanding complex interactions between bacteria and marine DOM remains an important challenge. We tested the hypothesis that bacterial growth and community succession would respond differently to DOM additions due to seasonal changes in phytoplankton abundance in the environment. Four mesocosm experiments were conducted that spanned the spring transitional period (August-December 2013) in surface waters of the Western Antarctic Peninsula (WAP). Each mesocosm consisted of nearshore surface seawater (50 L) incubated in the laboratory for 10 days. The addition of DOM, in the form of cell-free exudates extracted from Thalassiosira weissflogii diatom cultures led to changes in bacterial abundance, production, and community composition. The timing of each mesocosm experiment (i.e., late winter vs. late spring) influenced the magnitude and direction of bacterial changes. For example, the same DOM treatment applied at different times during the season resulted in different levels of bacterial production and different bacterial community composition. There was a mid-season shift from Collwelliaceae to Polaribacter having the greatest relative abundance after incubation. This shift corresponded to a modest but significant increase in the initial relative abundance of Polaribacter in the nearshore seawater used to set up experiments. This finding supports a new hypothesis that starting community composition, through priority effects, influenced the trajectory of community succession in response to DOM addition. As strong inter-annual variability and long-term climate change may shift the timing of WAP phytoplankton blooms, and the corresponding production of DOM exudates, this study suggests a mechanism by which different seasonal successional patterns in bacterial communities could occur.</t>
  </si>
  <si>
    <t>[Luria, Catherine M.] Brown Univ, Dept Ecol &amp; Evolutionary Biol, Providence, RI 02912 USA; [Amaral-Zettler, Linda A.] Josephine Bay Paul Ctr, Marine Biol Lab, Woods Hole, MA 02543 USA; [Amaral-Zettler, Linda A.] Brown Univ, Dept Earth Environm &amp; Planetary Sci, Providence, RI 02912 USA; [Amaral-Zettler, Linda A.] Univ Utrecht, NIOZ Royal Netherlands Inst Sea Res, Den Burg, Netherlands; [Ducklow, Hugh W.] Columbia Univ, Lamont Doherty Earth Observ, Palisades, NY USA; [Repeta, Daniel J.] Woods Hole Oceanog Inst, Dept Marine Chem &amp; Geochem, Woods Hole, MA 02543 USA; [Rhyne, Andrew L.] Roger Williams Univ, Dept Biol Marine Biol &amp; Environm Sci, Bristol, RI 02809 USA; [Rich, Jeremy J.] Univ Maine, Darling Marine Ctr, Sch Marine Sci, Walpole, ME 04573 USA; [Luria, Catherine M.] Harvard Med Sch, Lab Syst Pharmacol, Boston, MA USA</t>
  </si>
  <si>
    <t>Brown University; Marine Biological Laboratory - Woods Hole; Brown University; Utrecht University; Royal Netherlands Institute for Sea Research (NIOZ); Columbia University; Woods Hole Oceanographic Institution; University of Maine System; University of Maine Orono; Harvard University; Harvard Medical School</t>
  </si>
  <si>
    <t>Amaral-Zettler, LA (corresponding author), Josephine Bay Paul Ctr, Marine Biol Lab, Woods Hole, MA 02543 USA.;Amaral-Zettler, LA (corresponding author), Brown Univ, Dept Earth Environm &amp; Planetary Sci, Providence, RI 02912 USA.;Amaral-Zettler, LA (corresponding author), Univ Utrecht, NIOZ Royal Netherlands Inst Sea Res, Den Burg, Netherlands.;Rich, JJ (corresponding author), Univ Maine, Darling Marine Ctr, Sch Marine Sci, Walpole, ME 04573 USA.</t>
  </si>
  <si>
    <t>linda.amaral-zettler@nioz.nl; jeremy.rich@maine.edu</t>
  </si>
  <si>
    <t>Rhyne, Andrew/0000-0001-7252-3431</t>
  </si>
  <si>
    <t>Department of Ecology and Evolutionary Biology at Brown University; Brown University-Marine Biological Laboratory; National Science Foundation [ANT-1142114, OPP-0823101, PLR-1440435, ANT-1141993]; Gordon and Betty Moore Foundation [1711]; Office of Polar Programs (OPP); Directorate For Geosciences [1440435] Funding Source: National Science Foundation</t>
  </si>
  <si>
    <t>Department of Ecology and Evolutionary Biology at Brown University; Brown University-Marine Biological Laboratory; National Science Foundation(National Science Foundation (NSF)); Gordon and Betty Moore Foundation(Gordon and Betty Moore Foundation); Office of Polar Programs (OPP); Directorate For Geosciences(National Science Foundation (NSF)NSF - Directorate for Geosciences (GEO))</t>
  </si>
  <si>
    <t>CL was partially funded by the Graduate School and the Department of Ecology and Evolutionary Biology at Brown University and the Brown University-Marine Biological Laboratory Joint Graduate Program. This material is based upon work supported by the National Science Foundation under Grant Nos. ANT-1142114 to LA-Z, OPP-0823101 and PLR-1440435 to HD, and ANT-1141993 to JR. The Gordon and Betty Moore Foundation grant 1711 supported work by DR.</t>
  </si>
  <si>
    <t>10.3389/fmicb.2017.02117</t>
  </si>
  <si>
    <t>FL5QR</t>
  </si>
  <si>
    <t>WOS:000414301100001</t>
  </si>
  <si>
    <t>Salazar-Vallejo, SI</t>
  </si>
  <si>
    <t>Salazar-Vallejo, Sergio I.</t>
  </si>
  <si>
    <t>Revision of Brada Stimpson, 1853, and Bradabyssa Hartman, 1967 (Annelida, Flabelligeridae)</t>
  </si>
  <si>
    <t>benthic; sediment cover; body patterns; type material</t>
  </si>
  <si>
    <t>POLYCHAETA ANNELIDA; BRITISH-COLUMBIA; ISLANDS</t>
  </si>
  <si>
    <t>Among flabelligerid genera Brada Stimpson, 1853 includes several species whose bodies are fusiform or club-shaped, often with a reduced number of chaetigers, and their members are found in temperate and polar waters. In contrast, Bradabyssa Hartman, 1967 is regarded as a monotypic genus with a single Antarctic species with a cylindrical body and a variable number of chaetigers. After examination of all type and non-type material available of both genera, two distinct body patterns were distinguished: one includes the type species for Brada, B. granosa Stimpson, 1853, has only 8 branchial filaments and the neurochaetae are thick, blunt, often falcate, whereas the other includes the type species of Bradabyssa, B. papillata Hartman, 1967, usually has many branchial filaments and neurochaetae are straighter and mucronate. Consequently, Brada is herein restricted to include only 5 species, one of which is new, Brada kudenovi n. sp. Bradabyssa is herein emended to include many species formerly regarded as belonging in Brada, as new combinations, and species can be separated into four groups according to the development of the tunic and its sediment load. Thirteen new species of Bradabyssa are also described: B. indica n. sp., B. mexicana n. sp., B. alaskensis n. sp., B. elinae n. sp., B. grangieri n. sp., B. levensteinae n. sp., B. harrisae n. sp., B. hartmanae n. sp., B. jirkovi n. sp., B. kirkegaardi n. sp., B. monnioti n. sp., B. mezianei n. sp. and B. willeyi n. sp. The species belonging to Brada are B. granosa, B. granulosa Hansen, 1880, B. incrustata Stop-Bowitz, 1948, B. inhabilis (Rathke, 1843), and B. kudenovi n. sp. The species belonging to Bradabyssa are separated into four groups according to the development of their tunic and its sediment load. Group crustosa includes B. indica n. sp., B. mexicana n. sp., B. minuta (Amoureux, 1986) n. comb., and B. sachalina (Annenkova-Chlopina, 1922) n. comb. Group nuda includes B. alaskensis n. sp., B. antarctica (Hartman, 1978) n. comb., B. bransfieldia (Hartman, 1966) n. comb., B. nuda (Annenkova-Chlopina, 1922) n. comb., B. rugosa (Hansen, 1880) n. comb., and B. strelzovi (Jirkov &amp; Filippova in Jirkov, 2001) n. comb. Group verrucosa contains B. abyssalis (Fauchald, 1972) n. comb., B. annenkovae (Buzhinskaja, 2001) n. comb., B. elinae n. sp., B. grangieri n. sp., B. irenaia (Chamberlin, 1919) n. comb., B. levensteinae n. sp., B. mammillata (Grube, 1877) n. comb., B. ochotensis (Annenkova-Chlopina, 1922) n. comb., B. papillata Hartman, 1967, B. tenebricosa (Berkeley, 1966) n. comb., n. status, and B. verrucosa (Chamberlin, 1919) n. comb. Group villosa contains B. capensis (Day, 1961) n. comb., n. status, B. harrisae n. sp., B. hartmanae n. sp., B. ilyvestis (Hartman, 1960) n. comb., B. intoshi (Caullery, 1944) n. comb., B. jirkovi n. sp., B. kirkegaardi n. sp., B. monnioti n. sp., B. parthenopeia (Lo Bianco, 1893) n. comb., B. pilosa (Moore, 1906) n. comb., B. pluribranchiata (Moore, 1923) n. comb., B. setosa (Verrill, 1873) n. comb., B. mezianei n. sp., B. tzetlini (Jirkov &amp; Filippova in Jirkov, 2001) n. comb, B. villosa (Rathke, 1843) n. comb., B. whiteavesi (McIntosh, 1885) n. comb and B. willeyi n. sp. Keys to aid identification of all genera in Flabelligeridae, to species in Brada, and for the species belonging in the four species groups of Bradabyssaare included.</t>
  </si>
  <si>
    <t>[Salazar-Vallejo, Sergio I.] El Colegio Frontera Sur, Dept Sistemat &amp; Ecol Acuat, Estruct Func Bentos, Chetmal 77000, Quintana Roo, Mexico</t>
  </si>
  <si>
    <t>El Colegio de la Frontera Sur (ECOSUR)</t>
  </si>
  <si>
    <t>Salazar-Vallejo, SI (corresponding author), El Colegio Frontera Sur, Dept Sistemat &amp; Ecol Acuat, Estruct Func Bentos, Chetmal 77000, Quintana Roo, Mexico.</t>
  </si>
  <si>
    <t>savs551216@hotmail.com</t>
  </si>
  <si>
    <t>U.S.A. Department of the Interior, Fulbright Commission; Universite Catholique de l'Ouest, Angers; Museum National d'Histoire Naturelle, Paris</t>
  </si>
  <si>
    <t>Most of this research started in the early 2000s during a sabbatical leave from ECOSUR. Additional funds came from the U.S.A. Department of the Interior, Fulbright Commission, the Universite Catholique de l'Ouest, Angers, the Museum National d'Histoire Naturelle, Paris. Genny and Shane Anderson were very kind by allowing Leslie Harris and I to obtain some specimens from kelp holdfasts in Santa Barbara. Eunice Salazar, Joanna Zanol, Rosario Reyes, and Mario Londono helped by scanning or typing some German documents, to be translated for this work. Andre Garraffoni provided some photos of some of his Antarctic specimens.</t>
  </si>
  <si>
    <t>10.11646/zootaxa.4343.1.1</t>
  </si>
  <si>
    <t>FL5BF</t>
  </si>
  <si>
    <t>WOS:000414245100001</t>
  </si>
  <si>
    <t>Jiang, H; Wang, ZM; An, JC; Liu, JB; Wang, NB; Li, H</t>
  </si>
  <si>
    <t>Jiang, Hu; Wang, Zemin; An, Jiachun; Liu, Jingbin; Wang, Ningbo; Li, Hang</t>
  </si>
  <si>
    <t>Influence of spatial gradients on ionospheric mapping using thin layer models</t>
  </si>
  <si>
    <t>GPS SOLUTIONS</t>
  </si>
  <si>
    <t>Thin layer ionospheric model (TLIM); Total electron content (TEC); Ionosphere mapping error (IME); GPS; NeQuick2 model</t>
  </si>
  <si>
    <t>ELECTRON-DENSITY; GPS; DELAY; EQUATORIAL; TEC; PERFORMANCE; IMPACT; MIDDLE</t>
  </si>
  <si>
    <t>This study provides information about the influence of various ionospheric spatial gradients on the thin layer ionospheric model (TLIM). Particular attention is paid to the errors caused by the slant total electron content (sTEC) when converted to the vertical total electron content (vTEC) by an elevation-dependent mapping function (MF), ignoring the satellite azimuth. We quantify the influence of the spatial gradient on ionospheric mapping using globally distributed GNSS measurements and the NeQuick2 ionospheric electron density model. The ionospheric mapping errors (IME) were confirmed using GNSS measurements that were observed for different solar activity conditions. It was found that the IME in the low latitudes were significantly higher than those at other latitudes, and the high-latitude region IME were more pronounced than those of the mid-latitude regions. A comprehensive simulation analysis based on the NeQuick2 model was conducted for different azimuth angles and geographical locations. It was found that the vTEC converted by the MF is smaller than the real value of vTEC in different spatial directions. The IME in the north-to-south direction were much higher than those in the east-to-west direction and were symmetrical north-south about the geomagnetic equator. The values of the IME had obviously seasonal variation characteristics: The IME in the spring and autumn were significantly higher than those in the winter and summer; however, in the low latitudes, the IME were abnormal and had larger values. There is an interesting phenomenon wherein the IME were symmetrical about the azimuth of 180 degrees, and the value of the IME was less than 1 TECu when the satellite elevation was up to 50 degrees. From the global perspective, when the thin layer height is at 400 km, the IME were relatively minimal. In addition, the modified single-layer model (MSLM) and Ou (Ou J) segmented mapping functions outperformed other mapping functions at low satellite elevations; however, when the elevation angle was increased to approximately 40 degrees, the differences of the different MFs were small.</t>
  </si>
  <si>
    <t>[Jiang, Hu; Wang, Zemin; An, Jiachun; Li, Hang] Wuhan Univ, Chinese Antarctic Ctr Surveying &amp; Mapping, Wuhan, Hubei, Peoples R China; [Wang, Zemin] Wuhan Univ, Collaborat Innovat Ctr Terr Sovereignty &amp; Maritim, Wuhan, Hubei, Peoples R China; [Liu, Jingbin] Wuhan Univ, State Key Lab Informat Engn Surveying Mapping &amp; R, Wuhan, Hubei, Peoples R China; [Liu, Jingbin] Wuhan Univ, Collaborat Innovat Ctr Geospatial Technol, Wuhan, Hubei, Peoples R China; [Liu, Jingbin] Finnish Geospatial Res Inst, Dept Remote Sensing &amp; Photogrammetry, Masala 02430, Finland; [Wang, Ningbo] Chinese Acad Sci, Acad Optoelect, Beijing, Peoples R China</t>
  </si>
  <si>
    <t>Wuhan University; Wuhan University; Wuhan University; Wuhan University; The National Land Survey of Finland; Finnish Geospatial Research Institute (FGI); Chinese Academy of Sciences; Academy of Opto-Electronics, CAS</t>
  </si>
  <si>
    <t>Wang, ZM; An, JC (corresponding author), Wuhan Univ, Chinese Antarctic Ctr Surveying &amp; Mapping, Wuhan, Hubei, Peoples R China.;Wang, ZM (corresponding author), Wuhan Univ, Collaborat Innovat Ctr Terr Sovereignty &amp; Maritim, Wuhan, Hubei, Peoples R China.</t>
  </si>
  <si>
    <t>zmwang@whu.edu.cn; jcan@whu.edu.cn</t>
  </si>
  <si>
    <t>Liu, Jingbin/AAE-8803-2020; ZeMin, Wang/AAU-3422-2020; An, Jiachun/ABG-4275-2020</t>
  </si>
  <si>
    <t>Liu, Jingbin/0000-0001-6216-0956; Li, Hang/0000-0001-7458-0608</t>
  </si>
  <si>
    <t>Natural Science Funds of China [41231064, 41776195, 41531069, 41174029, 41474029]; National Key Research Development Program of China [2016YFB0502204]</t>
  </si>
  <si>
    <t>Natural Science Funds of China(National Natural Science Foundation of China (NSFC)); National Key Research Development Program of China</t>
  </si>
  <si>
    <t>The authors would like to acknowledge the Crustal Dynamics Data Information System (CDDIS) of the International GNSS Services (IGS) for providing access to the GPS observation data. We would also like to acknowledge the International Center for Theoretical Physics (ICTP) for providing the NeQuick2 sources. This research was supported by the Natural Science Funds of China (Nos. 41231064, 41776195, 41531069, 41174029 and 41474029) and the National Key Research Development Program of China with project No. 2016YFB0502204.</t>
  </si>
  <si>
    <t>1080-5370</t>
  </si>
  <si>
    <t>1521-1886</t>
  </si>
  <si>
    <t>GPS SOLUT</t>
  </si>
  <si>
    <t>GPS Solut.</t>
  </si>
  <si>
    <t>NOV 2</t>
  </si>
  <si>
    <t>10.1007/s10291-017-0671-0</t>
  </si>
  <si>
    <t>FL7VG</t>
  </si>
  <si>
    <t>WOS:000414458400001</t>
  </si>
  <si>
    <t>Parrenin, F; Cavitte, MGP; Blankenship, DD; Chappellaz, J; Fischer, H; Gagliardini, O; Masson-Delmotte, V; Passalacqua, O; Ritz, C; Roberts, J; Siegert, MJ; Young, DA</t>
  </si>
  <si>
    <t>Parrenin, Frederic; Cavitte, Marie G. P.; Blankenship, Donald D.; Chappellaz, Jerome; Fischer, Hubertus; Gagliardini, Olivier; Masson-Delmotte, Valerie; Passalacqua, Olivier; Ritz, Catherine; Roberts, Jason; Siegert, Martin J.; Young, Duncan A.</t>
  </si>
  <si>
    <t>Is there 1.5-million-year-old ice near Dome C, Antarctica?</t>
  </si>
  <si>
    <t>CARBON-DIOXIDE CONCENTRATION; 100,000-YEAR GLACIAL CYCLES; PAST 800,000 YEARS; OLD ICE; MIDPLEISTOCENE TRANSITION; CHRONOLOGY AICC2012; MILLENNIAL-SCALE; SUBGLACIAL LAKES; EAST ANTARCTICA; VOLUME</t>
  </si>
  <si>
    <t>Ice sheets provide exceptional archives of past changes in polar climate, regional environment and global atmospheric composition. The oldest dated deep ice core drilled in Antarctica has been retrieved at EPICA Dome C (EDC), reaching similar to 800 000 years. Obtaining an older paleoclimatic record from Antarctica is one of the greatest challenges of the ice core community. Here, we use internal isochrones, identified from airborne radar coupled to ice-flow modelling to estimate the age of basal ice along transects in the Dome C area. Three glaciological properties are inferred from isochrones: surface accumulation rate, geothermal flux and the exponent of the Lliboutry velocity profile. We find that old ice (&gt; 1.5 Myr, 1.5 million years) likely exists in two regions: one similar to 40 km south-west of Dome C along the ice divide to Vostok, close to a secondary dome that we name Little Dome C (LDC), and a second region named North Patch (NP) located 10-30 km north-east of Dome C, in a region where the geothermal flux is apparently relatively low. Our work demonstrates the value of combining radar observations with ice flow modelling to accurately represent the true nature of ice flow, and understand the formation of ice-sheet architecture, in the centre of large ice sheets.</t>
  </si>
  <si>
    <t>[Parrenin, Frederic; Chappellaz, Jerome; Gagliardini, Olivier; Passalacqua, Olivier; Ritz, Catherine] Univ Grenoble Alpes, CNRS, IRD, IGE, F-38000 Grenoble, France; [Cavitte, Marie G. P.; Blankenship, Donald D.; Young, Duncan A.] Univ Texas Austin, Inst Geophys, Jackson Sch Geosci, Austin, TX USA; [Cavitte, Marie G. P.] Univ Texas Austin, Dept Geol Sci, Jackson Sch Geosci, Austin, TX USA; [Fischer, Hubertus] Univ Bern, Phys Inst, Climate &amp; Environm Phys, Bern, Switzerland; [Fischer, Hubertus] Univ Bern, Oeschger Ctr Climate Change Res, Bern, Switzerland; [Masson-Delmotte, Valerie] CEA CNRS UVSQ IPSL UMR8212, Lab Sci Climat &amp; Environm, Gif Sur Yvette, France; [Roberts, Jason] Australian Antarctic Div, Kingston, Tas 7050, Australia; [Roberts, Jason] Univ Tasmania, Antarctic Climate &amp; Ecosyst Cooperat Res Ctr, Hobart, Tas 7001, Australia; [Siegert, Martin J.] Imperial Coll London, Grantham Inst, London, England; [Siegert, Martin J.] Imperial Coll London, Dept Earth Sci &amp; Engn, London, England</t>
  </si>
  <si>
    <t>Institut de Recherche pour le Developpement (IRD); Centre National de la Recherche Scientifique (CNRS); Communaute Universite Grenoble Alpes; Universite Grenoble Alpes (UGA); University of Texas System; University of Texas Austin; University of Texas System; University of Texas Austin; University of Bern; University of Bern; Centre National de la Recherche Scientifique (CNRS); CNRS - National Institute for Earth Sciences &amp; Astronomy (INSU); CEA; Universite Paris Saclay; Australian Antarctic Division; Antarctic Climate &amp; Ecosystems Cooperative Research Centre (ACE CRC); University of Tasmania; Imperial College London; Imperial College London</t>
  </si>
  <si>
    <t>Parrenin, F (corresponding author), Univ Grenoble Alpes, CNRS, IRD, IGE, F-38000 Grenoble, France.</t>
  </si>
  <si>
    <t>frederic.parrenin@univ-grenoble-alpes.fr</t>
  </si>
  <si>
    <t>Siegert, Martin/M-9939-2019; Masson-Delmotte, Valerie L/G-1995-2011; Chappellaz, Jérôme A./A-4872-2011; Cavitte, Marie/AAB-8533-2020; Roberts, Jason L/B-2235-2012; Gagliardini, Olivier/GQQ-1222-2022; Siegert, Martin J/A-3826-2008; Parrenin, Frédéric/H-3054-2014; Young, Duncan A./G-6256-2010; Fischer, Hubertus/A-1211-2014</t>
  </si>
  <si>
    <t>Siegert, Martin/0000-0002-0090-4806; Masson-Delmotte, Valerie L/0000-0001-8296-381X; Cavitte, Marie/0000-0002-5777-0933; Roberts, Jason L/0000-0002-3477-4069; Gagliardini, Olivier/0000-0001-9162-3518; Siegert, Martin J/0000-0002-0090-4806; Parrenin, Frédéric/0000-0002-9489-3991; Ritz, Catherine/0000-0003-0785-8571; Fischer, Hubertus/0000-0002-2787-4221</t>
  </si>
  <si>
    <t>French ANR [ANR-07-BLAN-0125]; French AGIR; National Science Foundation [PLR-0733025]; Australian Antarctic Division [4346]; G. Unger Vetlesen Foundation; NERC [NE/D003733/1]; Australian Government's Cooperative Research Centres Programme through the Antarctic Climate &amp; Ecosystems Cooperative Research Centre (ACE CRC); European Union's Horizon research and innovation programme [730258]; Swiss State Secretariat for Education, Research and Innovation (SERI) [16.0144]; Agence Nationale de la Recherche (ANR) [ANR-07-BLAN-0125] Funding Source: Agence Nationale de la Recherche (ANR)</t>
  </si>
  <si>
    <t>French ANR(Agence Nationale de la Recherche (ANR)); French AGIR; National Science Foundation(National Science Foundation (NSF)); Australian Antarctic Division; G. Unger Vetlesen Foundation; NERC(UK Research &amp; Innovation (UKRI)Natural Environment Research Council (NERC)); Australian Government's Cooperative Research Centres Programme through the Antarctic Climate &amp; Ecosystems Cooperative Research Centre (ACE CRC)(Australian GovernmentDepartment of Industry, Innovation and ScienceCooperative Research Centres (CRC) Programme); European Union's Horizon research and innovation programme(Horizon 2020European Union (EU)Horizon Europe Research Infrastructures); Swiss State Secretariat for Education, Research and Innovation (SERI); Agence Nationale de la Recherche (ANR)(Agence Nationale de la Recherche (ANR))</t>
  </si>
  <si>
    <t>We thank the glaciology group at University of Washington and F. Gillet-Chaulet at IGE for helpful discussions. Operational support was provided by the Australian Antarctic Division, the Institut polaire francais Paul-Emile Victor (IPEV) and the Italian Antarctic Program (PNRA and ENEA). We thank the staff of Concordia Station and the Kenn Borek Air flight crew. Additional support was provided by the French ANR Dome A project (ANR-07-BLAN-0125). Funding was provided by the French AGIR project OldestIce, the National Science Foundation grant PLR-0733025 (ICECAP), the Australian Antarctic Division project 4346, the G. Unger Vetlesen Foundation and NERC grant NE/D003733/1. This work was supported by the Australian Government's Cooperative Research Centres Programme through the Antarctic Climate &amp; Ecosystems Cooperative Research Centre (ACE CRC). This publication was generated in the frame of Beyond EPICA-Oldest Ice (BE-OI). The project has received funding from the European Union's Horizon 2020 research and innovation programme under grant agreement no. 730258 (BE-OI CSA). It has received funding from the Swiss State Secretariat for Education, Research and Innovation (SERI) under contract number 16.0144. It is furthermore supported by national partners and funding agencies in Belgium, Denmark, France, Germany, Italy, Norway, Sweden, Switzerland, the Netherlands and the United Kingdom. Logistic support is mainly provided by AWI, BAS, ENEA and IPEV. The opinions expressed and arguments employed herein do not necessarily reflect the official views of the European Union funding agency, the Swiss Government or other national funding bodies. This is BE-OI publication number 2 and UTIG contribution 3133.</t>
  </si>
  <si>
    <t>10.5194/tc-11-2427-2017</t>
  </si>
  <si>
    <t>FL5PI</t>
  </si>
  <si>
    <t>WOS:000414297400001</t>
  </si>
  <si>
    <t>Sellheim, N</t>
  </si>
  <si>
    <t>Sellheim, Nikolas</t>
  </si>
  <si>
    <t>The scramble for the poles. The geopolitics of the Arctic and Antarctic</t>
  </si>
  <si>
    <t>[Sellheim, Nikolas] Kobe Univ, Grad Sch Int Cooperat Studies, Polar Cooperat Res Ctr, 2-1 Rokkodai Cho, Kobe, Hyogo 6578501, Japan</t>
  </si>
  <si>
    <t>Kobe University</t>
  </si>
  <si>
    <t>Sellheim, N (corresponding author), Kobe Univ, Grad Sch Int Cooperat Studies, Polar Cooperat Res Ctr, 2-1 Rokkodai Cho, Kobe, Hyogo 6578501, Japan.</t>
  </si>
  <si>
    <t>nikolas.sellheim@people.kobe-u.ac.jp</t>
  </si>
  <si>
    <t>Sellheim, Nikolas/KCK-7272-2024</t>
  </si>
  <si>
    <t>Sellheim, Nikolas/0000-0003-1690-3207</t>
  </si>
  <si>
    <t>NOV</t>
  </si>
  <si>
    <t>10.1017/S0032247417000420</t>
  </si>
  <si>
    <t>FX4WG</t>
  </si>
  <si>
    <t>WOS:000426078800009</t>
  </si>
  <si>
    <t>Nauels, A; Rogelj, J; Schleussner, CF; Meinshausen, M; Mengel, M</t>
  </si>
  <si>
    <t>Nauels, Alexander; Rogelj, Joeri; Schleussner, Carl-Friedrich; Meinshausen, Malte; Mengel, Matthias</t>
  </si>
  <si>
    <t>Linking sea level rise and socioeconomic indicators under the Shared Socioeconomic Pathways</t>
  </si>
  <si>
    <t>ENVIRONMENTAL RESEARCH LETTERS</t>
  </si>
  <si>
    <t>sea level rise; Shared Socioeconomic Pathways; climate change; climate impacts; climate mitigation; climate scenarios; antarctic dynamics</t>
  </si>
  <si>
    <t>CLIMATE; MODEL; PROJECTIONS; SCENARIOS; IMPACTS</t>
  </si>
  <si>
    <t>In order to assess future sea level rise and its societal impacts, we need to study climate change pathways combined with different scenarios of socioeconomic development. Here, we present sea level rise (SLR) projections for the Shared Socioeconomic Pathway (SSP) storylines and different year-2100 radiative forcing targets (FTs). Future SLR is estimated with a comprehensive SLR emulator that accounts for Antarctic rapid discharge from hydrofracturing and ice cliff instability. Across all baseline scenario realizations (no dedicated climate mitigation), we find 2100 median SLR relative to 1986-2005 of 89 cm (likely range: 57-130 cm) for SSP1, 105 cm (73-150 cm) for SSP2, 105 cm (75-147 cm) for SSP3, 93 cm (63-133 cm) for SSP4, and 132 cm (95-189 cm) for SSP5. The 2100 sea level responses for combined SSP-FT scenarios are dominated by the mitigation targets and yield median estimates of 52 cm (34-75 cm) for FT 2.6Wm(-2), 62 cm (40-96 cm) for FT 3.4Wm(-2), 75 cm (47-113 cm) for FT 4.5Wm(-2), and 91 cm (61-132 cm) for FT 6.0Wm(-2). Average 2081-2100 annual SLR rates are 5 mm yr-1 and 19 mm yr(-1) for FT 2.6Wm(-2) and the baseline scenarios, respectively. Our model setup allows linking scenario-specific emission and socioeconomic indicators to projected SLR. We find that 2100 median SSP SLR projections could be limited to around 50 cm if 2050 cumulative CO2 emissions since pre-industrial stay below 850 GtC, with a global coal phase-out nearly completed by that time. For SSP mitigation scenarios, a 2050 carbon price of 100 US$ 2005 tCO(2)(-1) would correspond to a median 2100 SLR of around 65 cm. Our results confirm that rapid and early emission reductions are essential for limiting 2100 SLR.</t>
  </si>
  <si>
    <t>[Nauels, Alexander; Meinshausen, Malte] Univ Melbourne, Australian German Climate &amp; Energy Coll, Melbourne, Vic, Australia; [Rogelj, Joeri] Int Inst Appl Syst Anal, Energy Program, Laxenburg, Austria; [Rogelj, Joeri] Swiss Fed Inst Technol, Inst Atmospher &amp; Climate Sci, Zurich, Switzerland; [Schleussner, Carl-Friedrich] Climate Analyt, Berlin, Germany; [Schleussner, Carl-Friedrich; Meinshausen, Malte; Mengel, Matthias] Potsdam Inst Climate Impact Res, Potsdam, Germany; [Rogelj, Joeri] Univ Oxford, Environm Change Inst, Oxford, England</t>
  </si>
  <si>
    <t>University of Melbourne; Melbourne Genomics Health Alliance; International Institute for Applied Systems Analysis (IIASA); Swiss Federal Institutes of Technology Domain; ETH Zurich; Potsdam Institut fur Klimafolgenforschung; University of Oxford</t>
  </si>
  <si>
    <t>Nauels, A (corresponding author), Univ Melbourne, Australian German Climate &amp; Energy Coll, Melbourne, Vic, Australia.</t>
  </si>
  <si>
    <t>alexander.nauels@climate-energy-college.org</t>
  </si>
  <si>
    <t>Meinshausen, Malte/A-7037-2011; Meinshausen, Malte/AAG-6505-2019; Rogelj, Joeri/I-7108-2012; Meinshausen, Malte/AAG-7985-2019</t>
  </si>
  <si>
    <t>Meinshausen, Malte/0000-0003-4048-3521; Meinshausen, Malte/0000-0003-4048-3521; Nauels, Alexander/0000-0003-1378-3377; Mengel, Matthias/0000-0001-6724-9685; Rogelj, Joeri/0000-0003-2056-9061</t>
  </si>
  <si>
    <t>Australian Research Council (ARC) Future Fellowship [FT130100809]; AXA Research Fund; German Federal Ministry for the Environment, Nature Conservation and Nuclear Safety [16_II_148_Global_A_IMPACT]; Oxford Martin School Visiting Fellowship Programme; Australian Research Council [FT130100809] Funding Source: Australian Research Council</t>
  </si>
  <si>
    <t>Australian Research Council (ARC) Future Fellowship(Australian Research Council); AXA Research Fund(AXA Research Fund); German Federal Ministry for the Environment, Nature Conservation and Nuclear Safety; Oxford Martin School Visiting Fellowship Programme; Australian Research Council</t>
  </si>
  <si>
    <t>We acknowledge the International Institute for Applied Systems Analysis (IIASA) which is hosting the SSP scenario database (https://tntcat.iiasa.ac.at/SspDb/). We would also like to thank R DeConto for providing the calibration data used in this study. M Meinshausen receives the Australian Research Council (ARC) Future Fellowship Grant FT130100809. M Mengel is supported by the AXA Research Fund. C-F Schleussner acknowledges support by the German Federal Ministry for the Environment, Nature Conservation and Nuclear Safety (16_II_148_Global_A_IMPACT). J Rogelj acknowledges support of the Oxford Martin School Visiting Fellowship Programme.</t>
  </si>
  <si>
    <t>1748-9326</t>
  </si>
  <si>
    <t>ENVIRON RES LETT</t>
  </si>
  <si>
    <t>Environ. Res. Lett.</t>
  </si>
  <si>
    <t>10.1088/1748-9326/aa92b6</t>
  </si>
  <si>
    <t>FV2JQ</t>
  </si>
  <si>
    <t>WOS:000424392400002</t>
  </si>
  <si>
    <t>Haidr, N; Hospitaleche, CA</t>
  </si>
  <si>
    <t>Haidr, Nadia; Hospitaleche, Carolina Acosta</t>
  </si>
  <si>
    <t>A new penguin cranium from Antarctica and its implications for body size diversity during the Eocene</t>
  </si>
  <si>
    <t>NEUES JAHRBUCH FUR GEOLOGIE UND PALAONTOLOGIE-ABHANDLUNGEN</t>
  </si>
  <si>
    <t>Sphenisciformes; Eocene; Seymour Island; 3D scan; anatomy; paleobiodiversity</t>
  </si>
  <si>
    <t>SEYMOUR ISLAND ANTARCTICA; SPHENISCIFORMES; AVES</t>
  </si>
  <si>
    <t>Although penguins have a very abundant fossil record in Antarctica, very few cranial elements have been found so far, and in all the cases the specimens are incomplete. We describe a new cranium of a medium-sized penguin from the late Eocene Submeseta Formation in Marambio/Seymour Island, Antarctica. Its morphology allows us to establish a common cranial pattern for all known Eocene taxa (including South American, Antarctic and probably Oceanian species), with very different proportions between cranium and post-cranium from those of modern penguins. These Paleogene fossils exhibit a small neurocrania, extremely elongated bills, large occipital condyles, and strong cranio-mandibular articulations.</t>
  </si>
  <si>
    <t>[Haidr, Nadia] IBIOMAR CONICET, Inst Biol Organismos Marinos, Bvd Brown 2915,U9120ACD, Puerto Madryn, Argentina; [Hospitaleche, Carolina Acosta] Consejo Nacl Invest Cient &amp; Tecn, Museo La Plata, Div Paleontol Vertebrados, Paseo Bosque S-N,B1900FWA, La Plata, Buenos Aires, Argentina</t>
  </si>
  <si>
    <t>Consejo Nacional de Investigaciones Cientificas y Tecnicas (CONICET); National University of La Plata; Museo La Plata</t>
  </si>
  <si>
    <t>Haidr, N (corresponding author), IBIOMAR CONICET, Inst Biol Organismos Marinos, Bvd Brown 2915,U9120ACD, Puerto Madryn, Argentina.</t>
  </si>
  <si>
    <t>nadiahaidr@gmail.com; acostacaro@fcnym.unlp.edu.ar</t>
  </si>
  <si>
    <t>Acosta Hospitaleche, Carolina/E-5740-2017</t>
  </si>
  <si>
    <t>Acosta Hospitaleche, Carolina/0000-0002-2614-1448; Haidr, Nadia/0000-0002-6335-2105</t>
  </si>
  <si>
    <t>E SCHWEIZERBARTSCHE VERLAGSBUCHHANDLUNG</t>
  </si>
  <si>
    <t>STUTTGART</t>
  </si>
  <si>
    <t>NAEGELE U OBERMILLER, SCIENCE PUBLISHERS, JOHANNESSTRASSE 3A, D 70176 STUTTGART, GERMANY</t>
  </si>
  <si>
    <t>0077-7749</t>
  </si>
  <si>
    <t>NEUES JAHRB GEOL P-A</t>
  </si>
  <si>
    <t>Neues. Jahrb. Geol. Palaontol.-Abh.</t>
  </si>
  <si>
    <t>10.1127/njgpa/2017/0698</t>
  </si>
  <si>
    <t>FT6QR</t>
  </si>
  <si>
    <t>WOS:000423279200008</t>
  </si>
  <si>
    <t>O'Reilly, J</t>
  </si>
  <si>
    <t>O'Reilly, Jessica</t>
  </si>
  <si>
    <t>Preparing for Catastrophe on the Polar Frontier An Antarctic Field Training Manual</t>
  </si>
  <si>
    <t>ENVIRONMENTAL HUMANITIES</t>
  </si>
  <si>
    <t>extreme nature; bureaucracy; disaster; Antarctic; climate</t>
  </si>
  <si>
    <t>PREPAREDNESS; DISASTER; SCIENCE; FUTURE</t>
  </si>
  <si>
    <t>From a distance, Antarctica invokes extreme imaginaries and possibilities. In the practice of everyday human Antarctic life, however, daily tasks and risks are heavily managed, mitigated, and overseen. To analyze the spectacular and mundane natures of human life in Antarctica, I will compare the paramilitary practicalities of Antarctic research station and field camp life with the visions of the Antarctic as a place of sublime wild nature, violent death, and climate disaster. Using three signature events in Antarctic field trainingpredeparture, orientation, and navigation-I consider how people visiting the Antarctic are trained to order their lives and work, especially in preparation for emergencies. Notions of risk, danger, and catastrophe hinge on the broader historical and cultural contexts of Antarctica as a frontier zone, making preparedness in the Antarctic gendered, militaristic, and highly ritualized. Finally, I compare climate catastrophe at a global scale-the other sort and scale of emergency Antarctic people are occupied with-with how traditional field preparedness maps onto this potential disaster. In field training, Antarctic people counter the tropes of wild nature with extreme and exaggerated performances of bureaucracy; this analysis, then, considers the generative potential of technocratic practices in the face of the Anthropocene, an environmental expression of human triumph and disaster. Practicing risk management requires practices of embodiment as well as literal and figurative orientations to potential hazards.</t>
  </si>
  <si>
    <t>[O'Reilly, Jessica] Indiana Univ, Int Studies, Bloomington, IN 47405 USA</t>
  </si>
  <si>
    <t>Indiana University System; Indiana University Bloomington</t>
  </si>
  <si>
    <t>O'Reilly, J (corresponding author), Indiana Univ, Int Studies, Bloomington, IN 47405 USA.</t>
  </si>
  <si>
    <t>Wenner-Gren Foundation; Social Science Research Council; Fulbright Institute of International Education</t>
  </si>
  <si>
    <t>Research for this article was funded by the Wenner-Gren Foundation, the Social Science Research Council, and the Fulbright Institute of International Education. I am indebted to Lisa Messeri, Valerie Olson, Juan Francisco Salazar, Cristian Simonetti, and two anonymous reviewers for suggestions during the writing process.</t>
  </si>
  <si>
    <t>DUKE UNIV PRESS</t>
  </si>
  <si>
    <t>DURHAM</t>
  </si>
  <si>
    <t>905 W MAIN ST, STE 18-B, DURHAM, NC 27701 USA</t>
  </si>
  <si>
    <t>2201-1919</t>
  </si>
  <si>
    <t>ENVIRON HUMANITIES</t>
  </si>
  <si>
    <t>Environ. Humanit.</t>
  </si>
  <si>
    <t>10.1215/22011919-4215370</t>
  </si>
  <si>
    <t>FS9PF</t>
  </si>
  <si>
    <t>WOS:000422749800013</t>
  </si>
  <si>
    <t>Horvath, I; Lovell, BC</t>
  </si>
  <si>
    <t>Horvath, Ildiko; Lovell, Brian C.</t>
  </si>
  <si>
    <t>Investigating the Development of Localized Neutral Density Increases During the 24 August 2005 Geomagnetic Storm</t>
  </si>
  <si>
    <t>INTERPLANETARY MAGNETIC-FIELD; HIGH-LATITUDE CONVECTION; POLAR-CAP CONVECTION; IMF B-Y; ALIGNED CURRENTS; GEOSYNCHRONOUS OBSERVATIONS; CONDUCTIVITY GRADIENTS; BIRKELAND CURRENTS; PLASMA CONVECTION; IMAGE SPACECRAFT</t>
  </si>
  <si>
    <t>We investigate localized thermospheric neutral density increases (or density spikes) developed during the 24 August 2005 geomagnetic storm and utilize a multi-instrument database for monitoring the underlying thermospheric, ionospheric, magnetospheric, and solar wind conditions. We study five scenarios occurring under eastward/westward BY dominations and demonstrating the development of density spikes during various events. These scenarios show (1) a northern density spike associated with enhanced antisunward polar flows driven by dayside merging along old-open field lines during the initial phase, (2) some southern density spikes associated with enhanced sunward auroral flows caused by auroral brightening events during the storm initial phase and main phase, (3) two pairs of southern dayside-nightside density spike configuration associated with enhanced antisunward polar flows caused by dayside merging and nightside magnetotail reconnections along old-open field lines during the underlying substorm activity, and (4) a series of enhanced polar sunward flows developed in the polar cap driven by different processes during the recovery phase. We provide a detailed analysis of these events including the specification of underlying field aligned current systems, flow channel types, and auroral forms. Observational results demonstrate the various density spikes and their associated auroral forms and/or flow channels and thus provide a better understanding of their development during this intense geomagnetic storm.</t>
  </si>
  <si>
    <t>[Horvath, Ildiko; Lovell, Brian C.] Univ Queensland, Sch Informat Technol &amp; Elect Engn, Secur &amp; Surveillance Res Grp, Brisbane, Qld, Australia</t>
  </si>
  <si>
    <t>University of Queensland</t>
  </si>
  <si>
    <t>Horvath, I (corresponding author), Univ Queensland, Sch Informat Technol &amp; Elect Engn, Secur &amp; Surveillance Res Grp, Brisbane, Qld, Australia.</t>
  </si>
  <si>
    <t>ihorvath@itee.uq.edu.au</t>
  </si>
  <si>
    <t>Horvath, Ildiko/0000-0002-1899-3907; Lovell, Brian/0000-0001-6722-1754</t>
  </si>
  <si>
    <t>Air Force Office of Scientific Research [FA2386-16-1-4127]</t>
  </si>
  <si>
    <t>Air Force Office of Scientific Research(United States Department of DefenseAir Force Office of Scientific Research (AFOSR))</t>
  </si>
  <si>
    <t>This material is based on research sponsored by the Air Force Office of Scientific Research, under agreement number FA2386-16-1-4127. The U.S. Government is authorized to reproduce and distribute reprints for governmental purposes notwithstanding any copyright notation thereon. We acknowledge Stephen B. Mende at UC/Berkeley and CDAWeb for the IMAGE WIC data and Harald Frey at UC/Berkeley for providing the IMAGE WIC pictures (https://cdaweb.gsfc.nasa.gov/cgi-bin/eval1.cgi). We are grateful to the ACE SWEPAM instrument team, the ACE Science Center for providing the ACE data (http://www.srl.caltech.edu/ACE/ASC/level2/), the GFZ Information System and Data Center (http%3A%2F%2Fisdc-old.gfz-potsdam.de%2Findex.php%3Fmodule%3Dpagesetter%26amp%3Bfunc%3Dviewpub%26amp%3Btid%3D1%26amp%3Bpid%3D34), and the DEOS (Delft Institute for Earth Observation and Space Systems) Thermospheric Web server (http://thermosphere.tudelft.nl/acceldrag/index.php) for the CHAMP and GRACE-A data and the Center for Space Sciences at the University of Texas at Dallas (http://cindispace.utdallas.edu/DMSP/dmsp_data_at_utdallas.html) along with the CEDAR Archival Madrigal Database (http://cedar.openmadrigal.org/) and the U.S. Air Force for providing the DMSP thermal plasma data. We also thank the World Data Center for Geomagnetism at Kyoto (http://wdc.kugi.kyoto-u.ac.jp/wdc/Sec3.html) for providing the geomagnetic indices and both The Technical University of Denmark and the Arctic and Antarctic Research Institute for the PCN and PCS indices (http://pcindex.org/). Special thanks are extended to Virginia Tech for the Interactive Map Potential Plotting tool (http://vt.superdarn.org/tiki-index.php?page=DaViT+Map+Potential+Plot) and to The Johns Hopkins University Applied Physics Laboratory for the spectrogram images and OVATION data (http://sd-www.jhuapl.edu/Aurora/ovation/ovation_display.html).</t>
  </si>
  <si>
    <t>10.1002/2017JA024362</t>
  </si>
  <si>
    <t>FS6WH</t>
  </si>
  <si>
    <t>WOS:000419938600054</t>
  </si>
  <si>
    <t>Cao, LQ; Jiao, L; Li, ZJ; Liu, TT; Zhong, YF</t>
  </si>
  <si>
    <t>Cao, Liqin; Jiao, Lei; Li, Zhijiang; Liu, Tingting; Zhong, Yanfei</t>
  </si>
  <si>
    <t>Grayscale Image Colorization Using an Adaptive Weighted Average Method</t>
  </si>
  <si>
    <t>JOURNAL OF IMAGING SCIENCE AND TECHNOLOGY</t>
  </si>
  <si>
    <t>COLOR; CLASSIFICATION; VIDEO</t>
  </si>
  <si>
    <t>To pursue the spatial consistency in the process of colorization, unpleasing transferred color may be produced due to over-smoothing. To solve this problem, the authors propose a colorization approach based on an adaptive weighted average method to assign color from a reference color image to a target grayscale image. In this approach, support vector machine and improved simple linear iterative clustering are combined to obtain class probability distribution and classification labels with high local spatial consistency. According to the classification results, the color candidate in reference image is sought by space features matching with the corresponding class labels. Thereafter, an adaptive weighted average filter based on the class probability is applied to compute the chrominance value by averaging the neighborhood of the candidate pixel, and then the color is assigned to the corresponding pixel in grayscale image. The adaptive weight filter can ensure spatial coherency and avoid over-smoothing simultaneously. Experimental results demonstrate the superiority of our method compared with the existing methods. (C) 2017 Society for Imaging Science and Technology.</t>
  </si>
  <si>
    <t>[Li, Zhijiang] Wuhan Univ, Sch Printing &amp; Packaging, 129 Luoyu Rd, Wuhan 430079, Hubei, Peoples R China; [Jiao, Lei] Univ Agder, Dept Informat &amp; Commun Technol, Jon Lilletunsvei 9, N-4879 Grimstad, Norway; [Liu, Tingting] Wuhan Univ, Chinese Antarctic Ctr Surveying &amp; Mapping, 129 Luoyu Rd, Wuhan 430079, Hubei, Peoples R China; [Zhong, Yanfei] Wuhan Univ, State Key Lab Informat Engn Surveying Mapping &amp; R, 129 Luoyu Rd, Wuhan 430079, Hubei, Peoples R China</t>
  </si>
  <si>
    <t>Wuhan University; University of Agder; Wuhan University; Wuhan University</t>
  </si>
  <si>
    <t>Li, ZJ (corresponding author), Wuhan Univ, Sch Printing &amp; Packaging, 129 Luoyu Rd, Wuhan 430079, Hubei, Peoples R China.</t>
  </si>
  <si>
    <t>lizhijiang@whu.edu.cn</t>
  </si>
  <si>
    <t>Liu, Tingting/HCH-2239-2022; Li, Zhijiang/AAO-7647-2020</t>
  </si>
  <si>
    <t>National Natural Science Foundation of China [41201449, 41671441]</t>
  </si>
  <si>
    <t>This study is funded by National Natural Science Foundation of China (41201449, 41671441).</t>
  </si>
  <si>
    <t>I S &amp; T-SOC IMAGING SCIENCE TECHNOLOGY</t>
  </si>
  <si>
    <t>7003 KILWORTH LA, SPRINGFIELD, VA 22151 USA</t>
  </si>
  <si>
    <t>1062-3701</t>
  </si>
  <si>
    <t>1943-3522</t>
  </si>
  <si>
    <t>J IMAGING SCI TECHN</t>
  </si>
  <si>
    <t>J. Imaging Sci. Technol.</t>
  </si>
  <si>
    <t>10.2352/J.ImagingSci.Technol.2017.61.6.060502</t>
  </si>
  <si>
    <t>Imaging Science &amp; Photographic Technology</t>
  </si>
  <si>
    <t>FR8AQ</t>
  </si>
  <si>
    <t>WOS:000419296700009</t>
  </si>
  <si>
    <t>Li, J; Chen, JL; Li, Z; Wang, SY; Hu, XG</t>
  </si>
  <si>
    <t>Li, Jin; Chen, Jianli; Li, Ziang; Wang, Song-Yun; Hu, Xiaogong</t>
  </si>
  <si>
    <t>Ellipsoidal Correction in GRACE Surface Mass Change Estimation</t>
  </si>
  <si>
    <t>GRACE; mass inversion; polar ice loss; ellipsoidal correction; spherical harmonics; ellipsoidal harmonics</t>
  </si>
  <si>
    <t>HARMONIC EXPANSION; LOVE NUMBERS; ICE-SHEET; GRAVITY; EARTH; ANTARCTICA; VARIABILITY; COMPUTATION</t>
  </si>
  <si>
    <t>The Earth's shape is much closer to an ellipsoid than a sphere. The commonly used spherical approximation in mass change inversion is expected to cause bias by the spherical harmonic (SH) solutions from Gravity Recovery and Climate Experiment (GRACE), especially in high-latitude regions where significant present-day ice losses occur. This bias, or ellipsoidal correction, reaches up to 8% from the evaluation by simulations based on synthetic mass change rate models. Further evaluation using 14 plus years of GRACE monthly SH solutions (from April 2002 to December 2016) indicates that the ellipsoidal correction is also noticeable in the total mass change time series over polar regions. Before and after the ellipsoidal correction, the estimated linear rates from mass change time series differ by 4.3%, 4.7%, 5.2%, 5.7%, and 6.6% for five selected regions over Greenland, Antarctic Peninsula, Amundsen Sea Embayment, Alaska glacier, and Svalbard Islands, respectively. Although with amplitudes likely below the current GRACE's uncertainty level, these differences are consistently negative over the five regions. This indicates that the spherical approximation leads to systematic underestimation for polar mass change rates. Thus, the ellipsoidal correction needs to be considered for more precise mass recovery with GRACE SH solutions. It also depends on spatial scales of mass change signals (the smaller the spatial scale, the larger the correction). To more reliably estimate high-latitude surface mass changes by GRACE SH solutions, the ellipsoidal correction is recommended, especially for ice-loss signals over polar regions.</t>
  </si>
  <si>
    <t>[Li, Jin; Li, Ziang; Wang, Song-Yun; Hu, Xiaogong] Chinese Acad Sci, Shanghai Astron Observ, Shanghai, Peoples R China; [Li, Jin; Li, Ziang; Wang, Song-Yun] Univ Chinese Acad Sci, Sch Astron &amp; Space Sci, Beijing, Peoples R China; [Chen, Jianli] Univ Texas Austin, Ctr Space Res, Austin, TX 78712 USA</t>
  </si>
  <si>
    <t>Chinese Academy of Sciences; Shanghai Astronomical Observatory, CAS; Chinese Academy of Sciences; University of Chinese Academy of Sciences, CAS; University of Texas System; University of Texas Austin</t>
  </si>
  <si>
    <t>Li, J (corresponding author), Chinese Acad Sci, Shanghai Astron Observ, Shanghai, Peoples R China.;Li, J (corresponding author), Univ Chinese Acad Sci, Sch Astron &amp; Space Sci, Beijing, Peoples R China.</t>
  </si>
  <si>
    <t>lijin@shao.ac.cn</t>
  </si>
  <si>
    <t>Li, Jin/H-5631-2019</t>
  </si>
  <si>
    <t>Li, Jin/0000-0002-6927-0549; Wang, Songyun/0000-0001-9305-8006; Chen, Jianli/0000-0001-5405-8441</t>
  </si>
  <si>
    <t>Natural Science Foundation of Shanghai [17ZR1435600]; Open Fund of Key Laboratory of Geospace Environment and Geodesy, Ministry of Education, Wuhan University [16-01-05]; National Key Research and Development Program of China [2016YFB0501405]; Special Program Fund of Shanghai Astronomical Observatory [Y196591009]; UCAS Joint PhD Training Program [UCAS [2015]37]</t>
  </si>
  <si>
    <t>Natural Science Foundation of Shanghai(Natural Science Foundation of Shanghai); Open Fund of Key Laboratory of Geospace Environment and Geodesy, Ministry of Education, Wuhan University; National Key Research and Development Program of China; Special Program Fund of Shanghai Astronomical Observatory; UCAS Joint PhD Training Program</t>
  </si>
  <si>
    <t>The GRACE RL05 solutions used in this study are provided by CSR via GFZ's ftp download link (ftp://rz-vm152.gfz-potsdam.de/grace/Level-2/CSR/RL05/). We appreciate the constructive comments from the two anonymous reviewers, which led to significant improvement of the manuscript. J.L. thanks B.F. Chao and X.P. Wu for discussions on the methods and is also grateful to the membership of Laboratory of Astronomy and Space Technology Applications at Shanghai Astronomical Observatory, Chinese Academy of Sciences. This study is supported by the Natural Science Foundation of Shanghai (17ZR1435600), the Open Fund of Key Laboratory of Geospace Environment and Geodesy, Ministry of Education, Wuhan University (16-01-05), the National Key Research and Development Program of China (2016YFB0501405), and the Special Program Fund of Shanghai Astronomical Observatory (Y196591009). S.Y.W. appreciates the support by the UCAS Joint PhD Training Program (UCAS [2015]37). This work made use of the High Performance Computing Resource in the Core Facility for Advanced Research Computing at Shanghai Astronomical Observatory, Chinese Academy of Sciences. Data for the ellipsoidal corrections in this paper are freely available upon request to J. Li.</t>
  </si>
  <si>
    <t>10.1002/2017JB014033</t>
  </si>
  <si>
    <t>FR5JL</t>
  </si>
  <si>
    <t>WOS:000419102700045</t>
  </si>
  <si>
    <t>Gerringer, ME; Drazen, JC; Linley, TD; Summers, AP; Jamieson, AJ; Yancey, PH</t>
  </si>
  <si>
    <t>Gerringer, Mackenzie E.; Drazen, Jeffrey C.; Linley, Thomas D.; Summers, Adam P.; Jamieson, Alan J.; Yancey, Paul H.</t>
  </si>
  <si>
    <t>Distribution, composition and functions of gelatinous tissues in deep-sea fishes</t>
  </si>
  <si>
    <t>subdermal extracellular matrix; buoyancy; Liparidae; hadal; swimming biomechanics; robotic model</t>
  </si>
  <si>
    <t>SUBDERMAL EXTRACELLULAR-MATRIX; IN-SITU OBSERVATIONS; DEMERSAL FISHES; ANTARCTIC SNAILFISH; ENZYME-ACTIVITIES; LIPARIDAE; BUOYANCY; TELEOSTEI; SCORPAENIFORMES; ADAPTATION</t>
  </si>
  <si>
    <t>Many deep-sea fishes have a gelatinous layer, or subdermal extracellular matrix, below the skin or around the spine. We document the distribution of gelatinous tissues across fish families (approx. 200 species in ten orders), then review and investigate their composition and function. Gelatinous tissues from nine species were analysed for water content (96.53 +/- 1.78% s.d.), ionic composition, osmolality, protein (0.39 +/- 0.23%), lipid (0.69 +/- 0.56%) and carbohydrate (0.61 +/- 0.28%). Results suggest that gelatinous tissues are mostly extracellular fluid, which may allow animals to grow inexpensively. Further, almost all gelatinous tissues floated in cold seawater, thus their lower density than seawater may contribute to buoyancy in some species. We also propose a new hypothesis: gelatinous tissues, which are inexpensive to grow, may sometimes be a method to increase swimming efficiency by fairing the transition from trunk to tail. Such a layer is particularly prominent in hadal snailfishes (Liparidae); therefore, a robotic snailfish model was designed and constructed to analyse the influence of gelatinous tissues on locomotory performance. The model swam faster with a watery layer, representing gelatinous tissue, around the tail than without. Results suggest that the tissues may, in addition to providing buoyancy and low-cost growth, aid deep-sea fish locomotion.</t>
  </si>
  <si>
    <t>[Gerringer, Mackenzie E.; Drazen, Jeffrey C.] Univ Hawaii Manoa, Dept Oceanog, 1000 Pope Rd, Honolulu, HI 96822 USA; [Linley, Thomas D.; Jamieson, Alan J.] Univ Aberdeen, Oceanlab, Main St, Newburgh AB41 6AA, Aberdeen, Scotland; [Summers, Adam P.] Univ Washington, Friday Harbor Labs, Friday Harbor, WA 98250 USA; [Yancey, Paul H.] Whitman Coll, Dept Biol, Walla Walla, WA 99362 USA; [Linley, Thomas D.] Newcastle Univ, Sch Marine Sci &amp; Technol, Ridley Bldg, Newcastle Upon Tyne NE1 7RU, Tyne &amp; Wear, England</t>
  </si>
  <si>
    <t>University of Hawaii System; University of Hawaii Manoa; University of Aberdeen; University of Washington; Whitman College; Newcastle University - UK</t>
  </si>
  <si>
    <t>Gerringer, ME (corresponding author), Univ Hawaii Manoa, Dept Oceanog, 1000 Pope Rd, Honolulu, HI 96822 USA.</t>
  </si>
  <si>
    <t>mgerring@hawall.edu</t>
  </si>
  <si>
    <t>Summers, Adam P/A-9060-2013; Drazen, Jeffrey/C-1197-2013</t>
  </si>
  <si>
    <t>Drazen, Jeffrey/0000-0001-9613-3833; Gerringer, Mackenzie/0000-0002-2026-5829; Summers, Adam/0000-0003-1930-9748; Jamieson, Alan/0000-0001-9835-2909</t>
  </si>
  <si>
    <t>National Science Foundation [OCE-0727135, OCE-1130712, OCE-1130494, IOS-1256602]</t>
  </si>
  <si>
    <t>Funding support was provided by the National Science Foundation grants OCE-0727135, OCE-1130712, OCE-1130494 and IOS-1256602.</t>
  </si>
  <si>
    <t>10.1098/rsos.171063</t>
  </si>
  <si>
    <t>FQ8BJ</t>
  </si>
  <si>
    <t>WOS:000418587600032</t>
  </si>
  <si>
    <t>Gohl, K; Freudenthal, T; Hillenbrand, CD; Klages, J; Larter, R; Bickert, T; Bohaty, S; Ehrmann, W; Esper, O; Frederichs, T; Gebhardt, C; Küssner, K; Kuhn, G; Pälike, H; Ronge, T; Pereira, PS; Smith, J; Uenzelmann-Neben, G; van de Flierdt, C</t>
  </si>
  <si>
    <t>Gohl, K.; Freudenthal, T.; Hillenbrand, C. -D.; Klages, J.; Larter, R.; Bickert, T.; Bohaty, S.; Ehrmann, W.; Esper, O.; Frederichs, T.; Gebhardt, C.; Kuessner, K.; Kuhn, G.; Paelike, H.; Ronge, T.; Pereira, P. Simoes; Smith, J.; Uenzelmann-Neben, G.; van de Flierdt, C.</t>
  </si>
  <si>
    <t>Sci Team Expedition PS104</t>
  </si>
  <si>
    <t>MeBo70 Seabed Drilling on a Polar Continental Shelf: Operational Report and Lessons From Drilling in the Amundsen Sea Embayment of West Antarctica</t>
  </si>
  <si>
    <t>GEOCHEMISTRY GEOPHYSICS GEOSYSTEMS</t>
  </si>
  <si>
    <t>MeBo70 seabed drill; Antarctic shelf; glacial-marine sediments; Amundsen Sea</t>
  </si>
  <si>
    <t>PINE ISLAND BAY; GROUNDING-LINE RETREAT; ICE-SHEET RETREAT; DYNAMICS; GLACIER; HISTORY; RECORD; DRIVEN</t>
  </si>
  <si>
    <t>A multibarrel seabed drill rig was used for the first time to drill unconsolidated sediments and consolidated sedimentary rocks from an Antarctic shelf with core recoveries between 7% and 76%. We deployed the MARUM-MeBo70 drill device at nine drill sites in the Amundsen Sea Embayment. Three sites were located on the inner shelf of Pine Island Bay from which soft sediments, presumably deposited at high sedimentation rates in isolated small basins, were recovered from drill depths of up to 36 m below seafloor. Six sites were located on the middle shelf of the eastern and western embayment. Drilling at five of these sites recovered consolidated sediments and sedimentary rocks from dipping strata spanning ages from Cretaceous to Miocene. This report describes the initial coring results, the challenges posed by drifting icebergs and sea ice, and technical issues related to deployment of the MeBo70. We also present recommendations for similar future drilling campaigns on polar continental shelves.</t>
  </si>
  <si>
    <t>[Gohl, K.; Klages, J.; Esper, O.; Gebhardt, C.; Kuessner, K.; Kuhn, G.; Ronge, T.; Uenzelmann-Neben, G.] Alfred Wegener Inst, Helmholtz Ctr Polar &amp; Marine Res, Bremerhaven, Germany; [Freudenthal, T.; Bickert, T.; Frederichs, T.; Paelike, H.] Univ Bremen, MARUM Ctr Marine Environm Sci, Bremen, Germany; [Hillenbrand, C. -D.; Larter, R.; Smith, J.] British Antarctic Survey, Cambridge, England; [Bohaty, S.] Univ Southampton, Ocean &amp; Earth Sci, Southampton, Hants, England; [Ehrmann, W.] Univ Leipzig, Inst Geol &amp; Geophys, Leipzig, Germany; [Pereira, P. Simoes; van de Flierdt, C.] Imperial Coll London, Dept Earth Sci &amp; Engn, London, England</t>
  </si>
  <si>
    <t>Helmholtz Association; Alfred Wegener Institute, Helmholtz Centre for Polar &amp; Marine Research; University of Bremen; UK Research &amp; Innovation (UKRI); Natural Environment Research Council (NERC); NERC British Antarctic Survey; University of Southampton; Leipzig University; Imperial College London</t>
  </si>
  <si>
    <t>Gohl, K (corresponding author), Alfred Wegener Inst, Helmholtz Ctr Polar &amp; Marine Res, Bremerhaven, Germany.</t>
  </si>
  <si>
    <t>karsten.gohl@awi.de</t>
  </si>
  <si>
    <t>Gebhardt, Catalina/AHI-6432-2022; Pälike, Heiko/A-6560-2008; Uenzelmann-Neben, Gabriele/AAI-8618-2020</t>
  </si>
  <si>
    <t>Gebhardt, Catalina/0000-0002-3227-0676; Pälike, Heiko/0000-0003-3386-0923; Uenzelmann-Neben, Gabriele/0000-0002-0115-5923; Riefstahl, Florian/0000-0002-1198-1698; Ronge, Thomas/0000-0003-2625-719X; Gohl, Karsten/0000-0002-9558-2116; Klages, Johann Philipp/0000-0003-0968-1183; Larter, Robert/0000-0002-8414-7389; Freudenthal, Tim/0000-0002-9700-4010</t>
  </si>
  <si>
    <t>Alfred Wegener Institute [AWI_PS104_001]; MARUM Center for Marine Environmental Sciences through the DFG [EXC309/FZT15]; British Antarctic Survey through its Polar Science for Planet Earth program; UK IODP program; NERC [NE/L004607/1, bas0100030] Funding Source: UKRI; Natural Environment Research Council [NE/L004607/1, bas0100030] Funding Source: researchfish</t>
  </si>
  <si>
    <t>Alfred Wegener Institute; MARUM Center for Marine Environmental Sciences through the DFG(German Research Foundation (DFG)); British Antarctic Survey through its Polar Science for Planet Earth program; UK IODP program; NERC(UK Research &amp; Innovation (UKRI)Natural Environment Research Council (NERC)); Natural Environment Research Council(UK Research &amp; Innovation (UKRI)Natural Environment Research Council (NERC))</t>
  </si>
  <si>
    <t>The operation of the MARUM-MeBo70 drill device was funded by the Alfred Wegener Institute through its Research Program PACES-II Topic 3 and grant AWI_PS104_001, the MARUM Center for Marine Environmental Sciences through the DFG funds EXC309/FZT15, the British Antarctic Survey through its Polar Science for Planet Earth program, and the UK IODP program. Every author was funded through one of these programs. We thank the master Stefan Schwarze and his crew of RV Polarstern for their excellent support during expedition PS104. We are also grateful to Kathrin Hoppner of the German Aerospace Center (DLR) who provided us with daily updates of high-resolution radar images from the TerraSAR-X and TanDEM-X satellites, to Vanessa Bowman who helped in obtaining a first estimate on Cretaceous-Paleocene pollen ages. The helpful review comments by Julia Wellner and Carlota Escutia are greatly appreciated. This project contributes to the Scientific Committee on Antarctic Research (SCAR) Scientific Research Program Past Antarctic Ice Sheet Dynamics (PAIS). The MeBo70 core data will be made available in the World Data Center PANGAEA (https://www.pangaea.de/) after scientific analyses are published in subsequent papers.</t>
  </si>
  <si>
    <t>1525-2027</t>
  </si>
  <si>
    <t>GEOCHEM GEOPHY GEOSY</t>
  </si>
  <si>
    <t>Geochem. Geophys. Geosyst.</t>
  </si>
  <si>
    <t>10.1002/2017GC007081</t>
  </si>
  <si>
    <t>FQ5MD</t>
  </si>
  <si>
    <t>WOS:000418403800030</t>
  </si>
  <si>
    <t>Venkataramana, V; Sarma, VVSS; Reddy, AM</t>
  </si>
  <si>
    <t>Venkataramana, V.; Sarma, V. V. S. S.; Reddy, Alavala Matta</t>
  </si>
  <si>
    <t>Impact of river discharge on distribution of zooplankton biomass, community structure and food web dynamics in the Western coastal Bay of Bengal</t>
  </si>
  <si>
    <t>REGIONAL STUDIES IN MARINE SCIENCE</t>
  </si>
  <si>
    <t>River discharge; Nutrients; Chl-alpha; Zooplankton; Bay of Bengal</t>
  </si>
  <si>
    <t>COPEPOD EUTERPINA-ACUTIFRONS; ARABIAN SEA; SPECIES COMPOSITION; PENILIA-AVIROSTRIS; INDIAN-OCEAN; ABUNDANCE; MONSOON; SEDIMENT; PRODUCTIVITY; CHLOROPHYLL</t>
  </si>
  <si>
    <t>Observations were carried out along the western coastal Bay of Bengal, to examine the physical, chemical and biological parameters during the summer monsoon particularly when the rivers of India are in flood condition and discharge large quantities of fresh water into the Bay of Bengal. River discharge has a significant impact on plankton biomass in the coastal Bay of Bengal. High concentrations of nutrients were observed at the Southern coastal Bay of Bengal (SCB), which were associated with high suspended matter (SPM) that limits the phytoplankton biomass (Chl-a). In contrast, the Northern coastal Bay of Bengal (NCB) was characterized by low nutrients and SPM coupled with higher phytoplankton biomass and zooplankton abundance. Therefore primary production in the coastal Bay of Bengal appears to be controlled by light availability in the water column more so than by nutrients, particularly during the peak river discharge. Relatively higher zooplankton biomass and abundance have been found in NCB than in SCB. Zooplankton biomass showed a strong linear relationship with phytoplankton biomass in NCB. On the other hand, a strong linear relationship was observed with particulate organic carbon (POC) in the SCB. (C) 2017 Elsevier B.V. All rights reserved.</t>
  </si>
  <si>
    <t>[Venkataramana, V.; Sarma, V. V. S. S.] Natl Inst Oceanog, Council Sci &amp; Ind Res, Reg Ctr, 176 Lawsons Bay Colony, Visakhapatnam, Andhra Pradesh, India; [Reddy, Alavala Matta] Adikavi Nannaya Univ, Dept Zool, Rajamahendravaram 533296, Andhra Pradesh, India</t>
  </si>
  <si>
    <t>Council of Scientific &amp; Industrial Research (CSIR) - India; CSIR - National Institute of Oceanography (NIO)</t>
  </si>
  <si>
    <t>Venkataramana, V (corresponding author), Natl Ctr Antarctic &amp; Ocean Res, Earth Syst Sci Org, Minist Earth Sci, Vasco Da Gama, Goa, Italy.</t>
  </si>
  <si>
    <t>venkat@ncaor.gov.in</t>
  </si>
  <si>
    <t>Alavala, Matta Reddy/K-8125-2012; Sarma, VVSS/B-5087-2008</t>
  </si>
  <si>
    <t>Venkataramana, Vankara/0000-0002-3925-015X; Sarma, V.V.S.S./0000-0002-0227-473X; Matta Reddy, Alavala/0000-0002-6955-2650</t>
  </si>
  <si>
    <t>Council of Scientific and Industrial Research (CSIR) [SIP 1308]</t>
  </si>
  <si>
    <t>Council of Scientific and Industrial Research (CSIR)(Council of Scientific &amp; Industrial Research (CSIR) - India)</t>
  </si>
  <si>
    <t>We would like to thank the Director, NIO, Goa, Dr. V.S.N. Murthy, Scientist-in-Charge of the Regional Centre and Dr. M. Dileep Kumar, DU Leader for encouragement and support. This work is a part of the Supra Institutional Project (SIP 1308) supported by Council of Scientific and Industrial Research (CSIR). We appreciated the help of ship crew members during sampling.</t>
  </si>
  <si>
    <t>2352-4855</t>
  </si>
  <si>
    <t>REG STUD MAR SCI</t>
  </si>
  <si>
    <t>Reg. Stud. Mar. Sci.</t>
  </si>
  <si>
    <t>10.1016/j.rsma.2017.09.007</t>
  </si>
  <si>
    <t>FP7AR</t>
  </si>
  <si>
    <t>WOS:000417779200029</t>
  </si>
  <si>
    <t>Bowers, K</t>
  </si>
  <si>
    <t>Bowers, Katherine</t>
  </si>
  <si>
    <t>Haunted Ice, Fearful Sounds, and the Arctic Sublime: Exploring Nineteenth-Century Polar Gothic Space</t>
  </si>
  <si>
    <t>GOTHIC STUDIES</t>
  </si>
  <si>
    <t>polar exploration; imagined geography; Arctic; Antarctica; ghosts; Gothic literature</t>
  </si>
  <si>
    <t>This article considers a unified polar Gothic as a way of examining texts set in Arctic and Antarctic space. Through analysis of Coleridge's 'The Rime of the Ancient Mariner', Shelley's Frankenstein, and Poe's The Narrative of Arthur Gordon Pym of Nantucket, the author creates a framework for understanding polar Gothic, which includes liminal space, the supernatural, the Gothic sublime, ghosts and apparitions, and imperial Gothic anxieties about the degradation of 'civilisation'. Analysing Verne's scientific-adventure novel The Adventures of Captain Hatteras (1866) with this framework, the author contextualises the continued public interest in the lost Franklin expedition and reflects on nineteenth-century polar Gothic anxieties in the present day. Polar space creates an uncanny potential for seeing one's own self and examining what lies beneath the surface of one's own rational mind.</t>
  </si>
  <si>
    <t>[Bowers, Katherine] Univ British Columbia, Slav Studies, Vancouver, BC, Canada</t>
  </si>
  <si>
    <t>University of British Columbia</t>
  </si>
  <si>
    <t>Bowers, K (corresponding author), Univ British Columbia, Dept Cent Eastern &amp; Northern European Studies, 924-1873 East Mall, Vancouver, BC V6T 1Z1, Canada.</t>
  </si>
  <si>
    <t>katherine.bowers@ubc.ca</t>
  </si>
  <si>
    <t>Bowers, Katherine/D-3038-2014</t>
  </si>
  <si>
    <t>Bowers, Katherine/0000-0002-3747-5160</t>
  </si>
  <si>
    <t>MANCHESTER UNIV PRESS</t>
  </si>
  <si>
    <t>MANCHESTER</t>
  </si>
  <si>
    <t>ALTRINCHAM ST, FLOOR J, RENOLD BUILDING, MANCHESTER M1 7JA, ENGLAND</t>
  </si>
  <si>
    <t>1362-7937</t>
  </si>
  <si>
    <t>2050-456X</t>
  </si>
  <si>
    <t>GOTHIC STUD</t>
  </si>
  <si>
    <t>Gothic Stud.</t>
  </si>
  <si>
    <t>10.7227/GS.0030</t>
  </si>
  <si>
    <t>FQ0EL</t>
  </si>
  <si>
    <t>WOS:000418023500006</t>
  </si>
  <si>
    <t>Pollard, D; Gomez, N; Deconto, RM</t>
  </si>
  <si>
    <t>Pollard, David; Gomez, Natalya; Deconto, Robert M.</t>
  </si>
  <si>
    <t>Variations of the Antarctic Ice Sheet in a Coupled Ice Sheet-Earth-Sea Level Model: Sensitivity to Viscoelastic Earth Properties</t>
  </si>
  <si>
    <t>Antarctic ice sheet; ice sheet model; Earth sea level model; viscoelastic Earth profile</t>
  </si>
  <si>
    <t>DYNAMIC TOPOGRAPHY CHANGE; LARGE ENSEMBLE ANALYSIS; LAST GLACIAL MAXIMUM; MANTLE VISCOSITY; WEST ANTARCTICA; BED TOPOGRAPHY; SOLID-EARTH; RETREAT; SIMULATION; DEGLACIATION</t>
  </si>
  <si>
    <t>A coupled ice sheet-solid Earth-sea level model is applied to long-term variations of the Antarctic ice sheet. A set of radially varying viscoelastic profiles in the global Earth model is used to explore feedbacks on ice sheet variability, including one with a very weak upper mantle zone and thin lithosphere representative of West Antarctic regions. Simulations are performed for (1) the deglacial retreat over the last similar to 20,000years, (2) the future 5,000years with greenhouse-gas scenario Representative Concentration Pathway 8.5 (RCP8.5), and (3) the warm Pliocene similar to 3Ma. For the deglacial period a large ensemble of 625 simulations is analyzed, with a score computed for each run based on comparisons to geologic and modern data. For each of the five Earth profiles, the top-scoring combinations of the other model parameters in the ensemble are used to perform future and Pliocene simulations. For the last deglacial retreat, the viscoelastic Earth profiles produce relatively small differences in overall ice volume and equivalent sea level. In contrast, profiles with weak upper mantle and thin lithosphere produce strong negative feedback and less ice retreat in the future and Pliocene runs. This is due to the faster pace of ice sheet retreat in these runs, leading to greater lags in the viscous bedrock rebound behind the unloading, which allows for greater influence of the viscosity profiles. However, the differences in grounding-line retreat are located primarily in East Antarctic basins, where a weak upper mantle and thin lithosphere may not be realistic, emphasizing the need for lateral heterogeneity in the Earth model.</t>
  </si>
  <si>
    <t>[Pollard, David] Penn State Univ, Earth &amp; Environm Syst Inst, University Pk, PA 16802 USA; [Gomez, Natalya] McGill Univ, Dept Earth &amp; Planetary Sci, Montreal, PQ, Canada; [Deconto, Robert M.] Univ Massachusetts, Dept Geosci, Amherst, MA 01003 USA</t>
  </si>
  <si>
    <t>Pennsylvania Commonwealth System of Higher Education (PCSHE); Pennsylvania State University; Pennsylvania State University - University Park; McGill University; University of Massachusetts System; University of Massachusetts Amherst</t>
  </si>
  <si>
    <t>Pollard, D (corresponding author), Penn State Univ, Earth &amp; Environm Syst Inst, University Pk, PA 16802 USA.</t>
  </si>
  <si>
    <t>pollard@essc.psu.edu</t>
  </si>
  <si>
    <t>Gomez, Natalya/AAU-4323-2020</t>
  </si>
  <si>
    <t>Gomez, Natalya/0000-0002-2463-7917</t>
  </si>
  <si>
    <t>National Science Foundation [OCE-1202632, DMS-1418090, GEO-1240507, OPP-1341394]; National Oceanic and Atmospheric Administration [NA130AR4310100]; Natural Science and Engineering Research Council; Canada Research Chairs program; Canadian Foundation for Innovation; McGill University; Direct For Mathematical &amp; Physical Scien; Division Of Mathematical Sciences [1418090] Funding Source: National Science Foundation; Directorate For Geosciences; Office of Polar Programs (OPP) [1443394] Funding Source: National Science Foundation; Directorate For Geosciences; Office of Polar Programs (OPP) [1341394] Funding Source: National Science Foundation</t>
  </si>
  <si>
    <t>National Science Foundation(National Science Foundation (NSF)); National Oceanic and Atmospheric Administration(National Oceanic Atmospheric Admin (NOAA) - USA); Natural Science and Engineering Research Council(Natural Sciences and Engineering Research Council of Canada (NSERC)); Canada Research Chairs program(Canada Research Chairs); Canadian Foundation for Innovation(Canada Foundation for Innovation); McGill University; Direct For Mathematical &amp; Physical Scien; Division Of Mathematical Sciences(National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t>
  </si>
  <si>
    <t>We thank Johannes Sutter and two anonymous reviewers for their careful and helpful reviews. This work was supported by National Science Foundation grants OCE-1202632 (PLIOMAX), DMS-1418090, GEO-1240507, and OPP-1341394 and by National Oceanic and Atmospheric Administration grant NA130AR4310100. N.G. is funded by the Natural Science and Engineering Research Council, the Canada Research Chairs program, the Canadian Foundation for Innovation and McGill University. Selected output files, metadata, and ice sheet model code are available at Penn State's Data Commons, http://www.datacommons.psu.edu, https://doi.org/10.18113/D3SS9W.</t>
  </si>
  <si>
    <t>10.1002/2017JF004371</t>
  </si>
  <si>
    <t>FQ1AF</t>
  </si>
  <si>
    <t>WOS:000418087800005</t>
  </si>
  <si>
    <t>Wilmes, SB; Green, JAM; Gomez, N; Rippeth, TP; Lau, H</t>
  </si>
  <si>
    <t>Wilmes, Sophie-Berenice; Green, J. A. Mattias; Gomez, Natalya; Rippeth, Tom P.; Lau, Harriet</t>
  </si>
  <si>
    <t>Global Tidal Impacts of Large-Scale Ice Sheet Collapses</t>
  </si>
  <si>
    <t>tides; ice sheet collapse; sea level; tidal mixing; Last Interglacial; West Antarctic Ice Sheet</t>
  </si>
  <si>
    <t>SEA-LEVEL RISE; OCEAN TIDES; WEST ANTARCTICA; CONTINENTAL-SHELF; EUROPEAN-SHELF; DISSIPATION; MODEL; FINGERPRINTS; CIRCULATION; SENSITIVITY</t>
  </si>
  <si>
    <t>Recent studies show that the glaciers draining both the West Antarctic and the Greenland Ice Sheets are experiencing an accelerated ice loss, highlighting the possibility of large-scale ice sheet retreat and sea level rise in the coming centuries and millennia. These sea level changes would vary spatially and could significantly alter global tides as the latter are highly dependent on bathymetry (or water column thickness under ice shelves) and basin shape. This paper investigates how the principal semidiurnal (M-2) tidal amplitudes and energy dissipation respond to the nonuniform sea level changes induced by complete ice sheet collapses. The sea level changes are calculated using gravitationally self-consistent sea level theory, and the tides are simulated using an established tidal model. Results from the simulations show global and spatially heterogeneous changes in tidal amplitudes. In addition, pronounced changes in tidal energy dissipation occur in both the open ocean and in shelf-seas, also altering the location of tidal mixing fronts. These changes have the potential to impact ocean mixing, and hence large-scale currents and climate patterns, and the contribution of shelf-sea to the global carbon cycle. The new results highlight the importance of considering changes in the tides in predictions of future climate and reconstructions of past climate phases such as the Last Interglacial.</t>
  </si>
  <si>
    <t>[Wilmes, Sophie-Berenice] Oregon State Univ, Coll Earth Ocean &amp; Atmospher Sci, Corvallis, OR 97331 USA; [Wilmes, Sophie-Berenice; Green, J. A. Mattias; Rippeth, Tom P.] Bangor Univ, Sch Ocean Sci, Menai Bridge, Gwynedd, Wales; [Gomez, Natalya] McGill Univ, Dept Earth &amp; Planetary Sci, Montreal, PQ, Canada; [Lau, Harriet] Harvard Univ, Dept Earth &amp; Planetary Sci, 20 Oxford St, Cambridge, MA 02138 USA</t>
  </si>
  <si>
    <t>Oregon State University; Bangor University; McGill University; Harvard University</t>
  </si>
  <si>
    <t>Wilmes, SB (corresponding author), Oregon State Univ, Coll Earth Ocean &amp; Atmospher Sci, Corvallis, OR 97331 USA.;Wilmes, SB (corresponding author), Bangor Univ, Sch Ocean Sci, Menai Bridge, Gwynedd, Wales.</t>
  </si>
  <si>
    <t>s.wilmes@bangor.ac.uk</t>
  </si>
  <si>
    <t>Fujitsu through HPC Wales; NSF [OCE-1559153]; Natural Environmental Research Council [NE/F014821/1, NE/I030224/1]; NSERC; Canada Research Chair; McGill University; Canadian Foundation for Innovation (CFI); Harvard University; NERC [NE/I030224/1, NE/F014821/1] Funding Source: UKRI; Natural Environment Research Council [NE/F014821/1, NE/I030224/1] Funding Source: researchfish</t>
  </si>
  <si>
    <t>Fujitsu through HPC Wales; NSF(National Science Foundation (NSF)); Natural Environmental Research Council(UK Research &amp; Innovation (UKRI)Natural Environment Research Council (NERC)); NSERC(Natural Sciences and Engineering Research Council of Canada (NSERC)); Canada Research Chair(Natural Resources CanadaCanadian Forest ServiceCanada Research Chairs); McGill University; Canadian Foundation for Innovation (CFI)(Canada Foundation for Innovation); Harvard University; NERC(UK Research &amp; Innovation (UKRI)Natural Environment Research Council (NERC)); Natural Environment Research Council(UK Research &amp; Innovation (UKRI)Natural Environment Research Council (NERC))</t>
  </si>
  <si>
    <t>S.B.W. received a PhD studentship from Fujitsu through HPC Wales, who also provided computer facilities and is funded through NSF grant OCE-1559153. J.A.M.G. acknowledges funding from the Natural Environmental Research Council through grants NE/F014821/1 and NE/I030224/1. N.G. is funded by NSERC, a Tier II Canada Research Chair, McGill University and the Canadian Foundation for Innovation (CFI). H.L. is supported by Harvard University. Discussions with James Scourse provided valuable feedback for the manuscript. We thank Laurie Padman and a further anonymous reviewer for their constructive feedback which improved the manuscript. Model output from this study can be obtained at https://zenodo.org/record/834464.</t>
  </si>
  <si>
    <t>10.1002/2017JC013109</t>
  </si>
  <si>
    <t>FQ1AV</t>
  </si>
  <si>
    <t>WOS:000418089400002</t>
  </si>
  <si>
    <t>Li, JK; Kohout, AL; Doble, MJ; Wadhams, P; Guan, CL; Shen, HH</t>
  </si>
  <si>
    <t>Li, Jingkai; Kohout, Alison L.; Doble, Martin J.; Wadhams, Peter; Guan, Changlong; Shen, Hayley H.</t>
  </si>
  <si>
    <t>Rollover of Apparent Wave Attenuation in Ice Covered Seas</t>
  </si>
  <si>
    <t>wave attenuation; rollover; field data; WAVEWATCH III (R) simulation</t>
  </si>
  <si>
    <t>OCEAN WAVES; ENERGY-TRANSFER; PROPAGATION; PANCAKE; SPECTRUM; ZONE</t>
  </si>
  <si>
    <t>Wave attenuation from two field experiments in the ice-covered Southern Ocean is examined. Instead of monotonically increasing with shorter waves, the measured apparent attenuation rate peaks at an intermediate wave period. This rollover phenomenon has been postulated as the result of wind input and nonlinear energy transfer between wave frequencies. Using WAVEWATCH III (R), we first validate the model results with available buoy data, then use the model data to analyze the apparent wave attenuation. With the choice of source parameterizations used in this study, it is shown that rollover of the apparent attenuation exists when wind input and nonlinear transfer are present, independent of the different wave attenuation models used. The period of rollover increases with increasing distance between buoys. Furthermore, the apparent attenuation for shorter waves drops with increasing separation between buoys or increasing wind input. These phenomena are direct consequences of the wind input and nonlinear energy transfer, which offset the damping caused by the intervening ice. Plain Language Summary A long standing question about the non-monotonic attenuation rate observed in waves propagating in ice covers is re-visited. This phenomenon has been discussed for over four decades without a conclusive explanation. Using recent data from two independent and very different field experiments in the Antarctic marginal ice zone, and the most updated global wave model WAVEWATCH III (R), the reason for this rollover of attenuation is determined. The wind input and nonlinear transfer of wave energy between different wave frequencies offset the damping caused by the ice cover, resulting in the apparent drop of attenuation especially for short waves. Therefore, as the distance between two observation points increase, the decay of high frequency wave energy between the two points decreases. With increasing separation between the two observation points, the wave period for rollover increases and the attenuation rate for all periods drops. When using field data to measure the attenuation rate, care must be taken to consider input from the existing energy sources between the two measuring points.</t>
  </si>
  <si>
    <t>[Li, Jingkai; Guan, Changlong] Ocean Univ China, Phys Oceanog Lab, CIMST, Qingdao, Peoples R China; [Li, Jingkai; Guan, Changlong] Qingdao Natl Lab Marine Sci &amp; Technol, Qingdao, Peoples R China; [Kohout, Alison L.] Natl Inst Water &amp; Atmospher Res, Christchurch, New Zealand; [Doble, Martin J.] Polar Sci Ltd, Appin, Scotland; [Wadhams, Peter] Univ Cambridge, Dept Appl Math &amp; Theoret Phys, Cambridge, England; [Shen, Hayley H.] Clarkson Univ, Dept Civil &amp; Environm Engn, Potsdam, NY 13699 USA; [Shen, Hayley H.] Nanyang Technol Univ, NEWRI, DHI NTU Ctr, Singapore, Singapore</t>
  </si>
  <si>
    <t>Ocean University of China; Laoshan Laboratory; National Institute of Water &amp; Atmospheric Research (NIWA) - New Zealand; University of Cambridge; Clarkson University; Nanyang Technological University; Danish Hydraulic Institute (DHI)</t>
  </si>
  <si>
    <t>Shen, HH (corresponding author), Clarkson Univ, Dept Civil &amp; Environm Engn, Potsdam, NY 13699 USA.;Shen, HH (corresponding author), Nanyang Technol Univ, NEWRI, DHI NTU Ctr, Singapore, Singapore.</t>
  </si>
  <si>
    <t>hhshen@clarkson.edu</t>
  </si>
  <si>
    <t>Doble, Martin J/A-9915-2012</t>
  </si>
  <si>
    <t>Doble, Martin/0000-0001-8185-6510</t>
  </si>
  <si>
    <t>National Key R&amp;D Program of China [2016YFC1401405, 2016YFC1402001]; National Natural Science Foundation of China [U1406401]; National Institute of Water and Atmosphere Research Ltd., New Zealand through the National Climate Centre Climate Systems programme.; UK Natural Environment Research Council [GR3/12952, ANT-17/3]; Office of Naval Research Sea State Departmental Research Initiative [N00014-13-1-0290, N00014-13-1-0294]; Ministry of Education, Singapore [MOE2013-T2-1-054]; Office of Naval Research [N62909-15-1-2069]</t>
  </si>
  <si>
    <t>National Key R&amp;D Program of China; National Natural Science Foundation of China(National Natural Science Foundation of China (NSFC)); National Institute of Water and Atmosphere Research Ltd., New Zealand through the National Climate Centre Climate Systems programme.; UK Natural Environment Research Council(UK Research &amp; Innovation (UKRI)Natural Environment Research Council (NERC)); Office of Naval Research Sea State Departmental Research Initiative(Office of Naval Research); Ministry of Education, Singapore(Ministry of Education, Singapore); Office of Naval Research(Office of Naval Research)</t>
  </si>
  <si>
    <t>The data used in this study are all provided in the references cited. This study was made possible by financial support from the National Key R&amp;D Program of China (2016YFC1401405 and 2016YFC1402001) and from National Natural Science Foundation of China (U1406401). The Southern Ocean data were obtained with funding from National Institute of Water and Atmosphere Research Ltd., New Zealand, through core funding under the National Climate Centre Climate Systems programme. Weddell Sea data were obtained as part of the UK Natural Environment Research Council project Short Timescale Motion of Pancake Ice (STiMPI) grant GR3/12952 aboard the F/S Polarstern during the ANT-17/3 cruise leg. Further analysis was funded under the Office of Naval Research Sea State Departmental Research Initiative, grants N00014-13-1-0290 and N00014-13-1-0294, the Ministry of Education, Singapore through the AcRF Tier 2 grant MOE2013-T2-1-054. In-kind support from the Office of Naval Research Global grant N62909-15-1-2069 is also appreciated.</t>
  </si>
  <si>
    <t>10.1002/2017JC012978</t>
  </si>
  <si>
    <t>WOS:000418089400013</t>
  </si>
  <si>
    <t>Li, CX; Wang, BD; Yang, GP; Wang, ZC; Chen, JF; Lyu, Y</t>
  </si>
  <si>
    <t>Li, Cheng-Xuan; Wang, Bao-Dong; Yang, Gui-Peng; Wang, Zi-Cheng; Chen, Jian-Fang; Lyu, Yang</t>
  </si>
  <si>
    <t>Occurrence and Turnover of Biogenic Sulfur in the Bering Sea During Summer</t>
  </si>
  <si>
    <t>dimethylsulfide; dimethylsulfoiopropionate; production and consumption; sea-to-air flux; Bering Sea</t>
  </si>
  <si>
    <t>SURFACE DIMETHYLSULFIDE CONCENTRATIONS; SPATIAL VARIATIONS; ARCTIC-OCEAN; ST-LAWRENCE; PHYTOPLANKTON COMMUNITY; METHANETHIOL FORMATION; TEMPORAL VARIABILITY; SEASONAL VARIABILITY; ATMOSPHERIC SULFUR; ANTARCTIC WATERS</t>
  </si>
  <si>
    <t>The horizontal/geographical variations in dissolved dimethylsulfide (DMS), its precursor dimethylsulfoniopropionate (DMSPd and DMSPp), and chlorophyll a (Chl a), as well as the oceanographic parameters influencing the concentrations of dimethylated sulfur compounds, were investigated in the Bering Sea from July to August 2012. Similar to Chl a, the surface DMS and DMSPp levels, as well as DMS(P) production and consumption rates, exhibited a declining gradient from the central basin to the continental shelf, with high-value areas appearing in the central basin, the slope regions, and Anadyr Strait but a low-value area occurring on the outer-middle continental shelf. Considerably high values of DMS and DMSP were measured in the saline Bering Sea Basin Deep Water (&gt;2,000 m) located at the southwest of the Bering Basin because of the release of resuspension in 2,000 m depth and the DMSP production from endogenous benthic bacteria and cyanobacteria population. Chl a was positively correlated with DMSPp and DMS in the surface waters and the upper water of the basin, whereas significant negative correlations were found between DMS and nutrients (dissolved inorganic nitrogen [DIN], phosphorus, and silicate) in the inner shelf of the Bering Sea. DMS microbial consumption was approximately 6.26 times faster than the DMS sea-air exchange, demonstrating that the major loss of DMS in the surface water occurred through biological consumption relative to evasion into the atmosphere. Average sea-to-air DMS fluxes were estimated to be 4.66 mol/(m(2).d), and consequently oceanic biogenic DMS emission had a dominant contribution to the sulfur budget over the observational area.</t>
  </si>
  <si>
    <t>[Li, Cheng-Xuan; Wang, Bao-Dong; Wang, Zi-Cheng; Lyu, Yang] State Ocean Adm, Inst Oceanog 1, Res Ctr Marine Ecol, Qingdao, Peoples R China; [Yang, Gui-Peng] Ocean Univ China, Key Lab Marine Chem Theory &amp; Technol, Qingdao, Peoples R China; [Yang, Gui-Peng] Qingdao Natl Lab Marine Sci &amp; Technol, Lab Marine Ecol &amp; Environm Sci, Qingdao, Peoples R China; [Chen, Jian-Fang] State Ocean Adm, Inst Oceanog 2, Hangzhou, Peoples R China</t>
  </si>
  <si>
    <t>First Institute of Oceanography, Ministry of Natural Resources; Ocean University of China; Laoshan Laboratory</t>
  </si>
  <si>
    <t>Wang, BD (corresponding author), State Ocean Adm, Inst Oceanog 1, Res Ctr Marine Ecol, Qingdao, Peoples R China.;Yang, GP (corresponding author), Ocean Univ China, Key Lab Marine Chem Theory &amp; Technol, Qingdao, Peoples R China.;Yang, GP (corresponding author), Qingdao Natl Lab Marine Sci &amp; Technol, Lab Marine Ecol &amp; Environm Sci, Qingdao, Peoples R China.</t>
  </si>
  <si>
    <t>wangbd@fio.org.cn; gpyang@ouc.edu.cn</t>
  </si>
  <si>
    <t>Yang, Gui-Peng/GZG-6468-2022</t>
  </si>
  <si>
    <t>Yang, Gui-Peng/0000-0002-0107-4568; Wang, Baodong/0000-0002-1323-1372</t>
  </si>
  <si>
    <t>National Natural Science Foundation of China [41676074, 41576073]; Basic Scientific Fund for National Public Research Institutes of China [2016Q04]; Chinese Polar Environment Comprehensive Investigation Programs [CHINARE2015-03-04-04]; AoShan Talents Program of Qingdao National Laboratory for Marine Science and Technology [2015 ASTP]</t>
  </si>
  <si>
    <t>National Natural Science Foundation of China(National Natural Science Foundation of China (NSFC)); Basic Scientific Fund for National Public Research Institutes of China; Chinese Polar Environment Comprehensive Investigation Programs; AoShan Talents Program of Qingdao National Laboratory for Marine Science and Technology</t>
  </si>
  <si>
    <t>We appreciate the great help and cooperation from the captain and all crews of Xuelong icebreaker during the fifth Chinese National Arctic Expedition. We are sincerely grateful to Yanpei Zhuang (Second Institute of Oceanography, SOA) for providing nutrient data in the same cruise. The CTD data were issued on the Resource-sharing Platform of Polar Science (http://www.chinare.org.cn) maintained by the Polar Research Institute of China and the Chinese National Arctic and Antarctic Data Center (CN-NADC). This work was financially supported by the National Natural Science Foundation of China (grant 41676074 and 41576073), Basic Scientific Fund for National Public Research Institutes of China (grant 2016Q04), Chinese Polar Environment Comprehensive Investigation Programs (grant CHINARE2015-03-04-04), and the AoShan Talents Program of Qingdao National Laboratory for Marine Science and Technology (grant 2015 ASTP).</t>
  </si>
  <si>
    <t>10.1002/2017JC013299</t>
  </si>
  <si>
    <t>WOS:000418089400014</t>
  </si>
  <si>
    <t>Kunze, E</t>
  </si>
  <si>
    <t>Kunze, Eric</t>
  </si>
  <si>
    <t>The Internal-Wave-Driven Meridional Overturning Circulation</t>
  </si>
  <si>
    <t>GLOBAL OCEAN CIRCULATION; LARGE-SCALE CIRCULATION; ANTARCTIC BOTTOM WATER; INDIAN-OCEAN; TURBULENT DISSIPATION; DEEP-OCEAN; NORTH-ATLANTIC; BRAZIL BASIN; FINESCALE PARAMETERIZATIONS; ABYSSAL CIRCULATION</t>
  </si>
  <si>
    <t>The upwelling diapycnal limb of the ocean's meridional overturning circulation is driven by divergence of diabatic turbulent buoyancy fluxes &lt; w'b'&gt; across density surfaces. A global assessment of zonally averaged internal-wave-driven turbulent diapycnal buoyancy fluxes from a strain-based finescale parameterization is used to infer mean diapycnal transports in the interior and near the bottom boundary. Bulk interior diabatic transports dominate above 2500-m depth (buoyancies vertical bar B vertical bar = g gamma(n)/rho(0) &lt; 0.267 ms(-2), neutral densities gamma(n) &lt; 27.9 kg m(-3)), upwelling at 10-11 Sv (1 Sv = 10(6) m(3) s(-1)); 2, 5, and 3-4 Sv in the Indian, Pacific, and Atlantic, respectively, but are weak in the abyss. Boundary water-mass transformations peak at 18-25 Sv (4-6, 10-14, and 4-5 Sv in the Indian, Pacific, and Atlantic) near buoyancy vertical bar B vertical bar similar to 0.268 m s(-2) (gamma(n) similar to 28.1 kg m(-3), 4500-m depth) between bottom and lower deep waters, consistent with published 20-30-Sv global Antarctic Bottom Water (AABW) transport estimates. Interior transports above 2500-m depth fall below inverse estimates, consistent with a more adiabatic ocean interior where diapycnal mixing occurs at Southern Hemisphere high-latitude surface density outcrops.</t>
  </si>
  <si>
    <t>[Kunze, Eric] Northwest Res Associates, Redmond, WA 98052 USA</t>
  </si>
  <si>
    <t>NorthWest Research Associates</t>
  </si>
  <si>
    <t>Kunze, E (corresponding author), Northwest Res Associates, Redmond, WA 98052 USA.</t>
  </si>
  <si>
    <t>kunze@nwra.com</t>
  </si>
  <si>
    <t>U.S. National Science Foundation [OCE-1153692]</t>
  </si>
  <si>
    <t>For Walter Munk on his 100th birthday. Barry Ma and Fiona Lo assisted with data extraction and the neutral density calculation. Questions about the distinction between interior and boundary transports raised by John Toole and discussions with Trevor McDougall and Casimir de Lavergne benefited revision of the manuscript immeasurably. Conversations with Susan Hautala, Pascale Lelong, Cimarron Wortham, and Jeffrey Early were much appreciated. This research was funded by U.S. National Science Foundation Grant OCE-1153692.</t>
  </si>
  <si>
    <t>10.1175/JPO-D-16-0142.1</t>
  </si>
  <si>
    <t>FP5QN</t>
  </si>
  <si>
    <t>WOS:000417674100002</t>
  </si>
  <si>
    <t>Li, Q; Lee, S</t>
  </si>
  <si>
    <t>Li, Qian; Lee, Sukyoung</t>
  </si>
  <si>
    <t>A Mechanism of Mixed Layer Formation in the Indo-Western Pacific Southern Ocean: Preconditioning by an Eddy-Driven Jet-Scale Overturning Circulation</t>
  </si>
  <si>
    <t>ANTARCTIC MODE WATER; WIND-DRIVEN; PARAMETERIZATION; FLUXES; VARIABILITY; SENSITIVITY; SUBDUCTION</t>
  </si>
  <si>
    <t>The formation of a narrow band of the deep wintermixed layer (hereinafter mixed layer wedge'') in the Indo-western Pacific Southern Ocean is examined using an eddy-resolving Parallel Ocean Program (POP) model simulation. The mixed layer wedge starts to deepen in June, centered at 47.5 degrees S, with a meridional scale of only; 28 latitude. Its center is located; 18 north of the model's Subantarctic Front (SAF). The Argo-based observed mixed layer is similarly narrow and occurs adjacent to the observed SAF. In the small sector of 130 degrees-142 degrees E, where the SAF is persistent and the mixed layer is deepest, the formation of the narrow mixed layer wedge coincides with destratification underneath the mixed layer. This destratification can be attributed primarily to the downwelling branch of a jet-scale overturning circulation (JSOC). The JSOC, which was reported in an earlier study by the authors, is driven by eddy momentum flux convergence and is therefore thermally indirect: its descending branch occurs on the warmer equatorward flank of the SAF, promoting destratification during the warm season. The model-generated net air-sea heat flux reveals a similar wedge-like feature, indicating that the flux contributes to the mixed layer depth wedge, but again this feature is preconditioned by the JSOC. Ekman advection contributes to the formation of the mixed layer, but it occurs farther north of the region where themixed layer initially deepens. These findings suggest that the eddy-driven JSOC associated with the SAF plays an important role in initiating the narrow, deep mixed layer wedge that forms north of the SAF.</t>
  </si>
  <si>
    <t>[Li, Qian; Lee, Sukyoung] Penn State Univ, Dept Meteorol &amp; Atmospher Sci, University Pk, PA 16802 USA</t>
  </si>
  <si>
    <t>Pennsylvania Commonwealth System of Higher Education (PCSHE); Pennsylvania State University; Pennsylvania State University - University Park</t>
  </si>
  <si>
    <t>Li, Q (corresponding author), Penn State Univ, Dept Meteorol &amp; Atmospher Sci, University Pk, PA 16802 USA.</t>
  </si>
  <si>
    <t>qvl5065@psu.edu</t>
  </si>
  <si>
    <t>LI, QIAN/0000-0002-2099-233X</t>
  </si>
  <si>
    <t>National Science Foundation [ATM-1139970, OCE960914]; Directorate For Geosciences; Div Atmospheric &amp; Geospace Sciences [1455577] Funding Source: National Science Foundation</t>
  </si>
  <si>
    <t>National Science Foundation(National Science Foundation (NSF)); Directorate For Geosciences; Div Atmospheric &amp; Geospace Sciences(National Science Foundation (NSF)NSF - Directorate for Geosciences (GEO))</t>
  </si>
  <si>
    <t>We thank Alexa Griesel for providing the detailed information about the POP model experiment, and we also thank Matthew Mazloff for his comments on using the SOSE. Q.L. and S.L. were supported by the National Science Foundation under Grant ATM-1139970. An allocation of advanced computing resources OCE960914 provided by the National Science Foundation was instrumental in performing this research. The computations were performed on Kraken at the National Institute for Computational Sciences (http://www.nics.tennessee.edu/).</t>
  </si>
  <si>
    <t>10.1175/JPO-D-17-0006.1</t>
  </si>
  <si>
    <t>WOS:000417674100007</t>
  </si>
  <si>
    <t>Rodger, CJ; Mac Manus, DH; Dalzell, M; Thomson, AWP; Clarke, E; Petersen, T; Clilverd, MA; Divett, T</t>
  </si>
  <si>
    <t>Rodger, Craig J.; Mac Manus, Daniel H.; Dalzell, Michael; Thomson, Alan W. P.; Clarke, Ellen; Petersen, Tanja; Clilverd, Mark A.; Divett, Tim</t>
  </si>
  <si>
    <t>Long-Term Geomagnetically Induced Current Observations From New Zealand: Peak Current Estimates for Extreme Geomagnetic Storms</t>
  </si>
  <si>
    <t>geomagnetically induced currents; space weather; extreme storms; New Zealand</t>
  </si>
  <si>
    <t>SPACE WEATHER; OCTOBER 2003; SYSTEMS; UK</t>
  </si>
  <si>
    <t>Geomagnetically induced current (GIC) observations made in New Zealand over 14years show induction effects associated with a rapidly varying horizontal magnetic field (dB(H)/dt) during geomagnetic storms. This study analyzes the GIC observations in order to estimate the impact of extreme storms as a hazard to the power system in New Zealand. Analysis is undertaken of GIC in transformer number six in Islington, Christchurch (ISL M6), which had the highest observed currents during the 6 November 2001 storm. Using previously published values of 3,000nT/min as a representation of an extreme storm with 100year return period, induced currents of 455A were estimated for Islington (with the 95% confidence interval range being 155-605A). For 200year return periods using 5,000nT/min, current estimates reach 755A (confidence interval range 155-910A). GIC measurements from the much shorter data set collected at transformer number 4 in Halfway Bush, Dunedin, (HWB T4), found induced currents to be consistently a factor of 3 higher than at Islington, suggesting equivalent extreme storm effects of 460-1,815A (100year return) and 460-2,720A (200year return). An estimate was undertaken of likely failure levels for single-phase transformers, such as HWB T4 when it failed during the 6 November 2001 geomagnetic storm, identifying that induced currents of 100A can put such transformer types at risk of damage. Detailed modeling of the New Zealand power system is therefore required to put this regional analysis into a global context.</t>
  </si>
  <si>
    <t>[Rodger, Craig J.; Mac Manus, Daniel H.; Divett, Tim] Univ Otago, Dept Phys, Dunedin, New Zealand; [Dalzell, Michael] Transpower New Zealand Ltd, Wellington, New Zealand; [Thomson, Alan W. P.; Clarke, Ellen] British Geol Survey, Edinburgh, Midlothian, Scotland; [Petersen, Tanja] GNS Sci, Lower Hutt, New Zealand; [Clilverd, Mark A.] British Antarctic Survey, NERC, Cambridge, England</t>
  </si>
  <si>
    <t>University of Otago; UK Research &amp; Innovation (UKRI); Natural Environment Research Council (NERC); NERC British Geological Survey; GNS Science - New Zealand; UK Research &amp; Innovation (UKRI); Natural Environment Research Council (NERC); NERC British Antarctic Survey</t>
  </si>
  <si>
    <t>Rodger, CJ (corresponding author), Univ Otago, Dept Phys, Dunedin, New Zealand.</t>
  </si>
  <si>
    <t>crodger@physics.otago.ac.nz</t>
  </si>
  <si>
    <t>Mac Manus, Daniel/0000-0003-1175-2251; Divett, Tim/0000-0003-0778-4250; Rodger, Craig J./0000-0002-6770-2707</t>
  </si>
  <si>
    <t>New Zealand Ministry of Business, Innovation and Employment Hazards; Infrastructure Research Fund [UOOX1502]; Transpower New Zealand; NERC [bas0100031, bgs05003, NE/P017231/1, NE/P016693/1] Funding Source: UKRI; Natural Environment Research Council [bgs05003, bas0100031, NE/P017231/1, NE/P016693/1] Funding Source: researchfish</t>
  </si>
  <si>
    <t>New Zealand Ministry of Business, Innovation and Employment Hazards; Infrastructure Research Fund; Transpower New Zealand; NERC(UK Research &amp; Innovation (UKRI)Natural Environment Research Council (NERC)); Natural Environment Research Council(UK Research &amp; Innovation (UKRI)Natural Environment Research Council (NERC))</t>
  </si>
  <si>
    <t>This research was supported by the New Zealand Ministry of Business, Innovation and Employment Hazards and Infrastructure Research Fund contract UOOX1502. The authors would like to thank Transpower New Zealand for supporting this study. Data availability is described at the following websites: http://www.intermagnet.org/imos/imos-list/imos-details-eng.php?iaga_code=EYR (Eyrewell magnetometer). K indices for Eyrewell are available by contacting one of the coauthors, Tanja Petersen (t.petersen@gns.cri.nz). The New Zealand LEM DC data from which we determined GIC measurements were provided to us by Transpower New Zealand with caveats and restrictions. This includes requirements of permission before all publications and presentations. In addition, we are unable to directly provide the New Zealand LEM DC data or the derived GIC observations. Requests for access to the measurements need to be made to Transpower New Zealand. At this time the contact point is Michael Dalzell (michael.dalzell@transpower.co.nz). We are very grateful for the substantial data access they have provided, noting that this can be a challenge in the space weather field (Hapgood &amp; Knipp, 2016). The Kp and ap data came from the World Data Centre for Solar-Terrestrial Physics, Chilton, UK (https://www.ukssdc.ac.uk/wdcc1/geophy_menu.html), and the aa* data from British Geological Survey (http://www.geomag.bgs.ac.uk/data_service/data/magnetic_indices/aaindex. html).</t>
  </si>
  <si>
    <t>10.1002/2017SW001691</t>
  </si>
  <si>
    <t>FP8TP</t>
  </si>
  <si>
    <t>WOS:000417919300004</t>
  </si>
  <si>
    <t>Udevitz, MS; Jay, CV; Taylor, RL; Fischbach, AS; Beatty, WS; Noren, SR</t>
  </si>
  <si>
    <t>Udevitz, Mark S.; Jay, Chadwick V.; Taylor, Rebecca L.; Fischbach, Anthony S.; Beatty, William S.; Noren, Shawn R.</t>
  </si>
  <si>
    <t>Forecasting consequences of changing sea ice availability for Pacific walruses</t>
  </si>
  <si>
    <t>ECOSPHERE</t>
  </si>
  <si>
    <t>Arctic; behavioral response; bioenergetics; body condition; climate change; disturbance; environmental change; individual-based model; Odobenus rosmarus; pinniped; sea ice; walrus</t>
  </si>
  <si>
    <t>ANTARCTIC FUR SEALS; ODOBENUS-ROSMARUS; METABOLIC-RATES; ENVIRONMENTAL-CHANGE; BIOENERGETICS MODEL; MARINE MAMMALS; HAUL-OUT; ENERGETICS; BEHAVIOR; IMPACTS</t>
  </si>
  <si>
    <t>The accelerating rate of anthropogenic alteration and disturbance of environments has increased the need for forecasting effects of environmental change on fish and wildlife populations. Models linking projections of environmental change with behavioral responses and bioenergetic effects can provide a basis for these forecasts. There is particular interest in forecasting effects of projected reductions in sea ice availability on Pacific walruses (Odobenus rosmarus divergens). Declining extent of summer sea ice in the Chukchi Sea has caused Pacific walruses to increase use of coastal haulouts and decrease use of more productive offshore feeding areas. Such climate-induced changes in distribution and behavior could ultimately affect the status of the population. We developed behavioral models to relate changes in sea ice availability to adult female walrus movements and activity levels, and adapted previously developed bioenergetics models to relate those activity levels to energy requirements and the ability to meet those requirements. We then linked these models to general circulation model projections of future ice availability to forecast autumn body condition for female walruses during mid-and late-century time periods. Our results suggest that as sea ice becomes less available in the Chukchi Sea, female walruses will spend more time in the southwestern region of that sea, less time resting, and less time foraging. Median forecasted autumn body masses were 7-12% lower in future scenarios than during recent times, but posterior distributions broadly overlapped and median forecasted seasonal mass losses (15-34%) were comparable to seasonal mass losses routinely experienced by other pinnipeds. These seasonal reductions in body condition would be unlikely to result in demographic effects, but if walruses were unable to rebuild endogenous reserves while wintering in the Bering Sea, cumulative effects could have implications for reproduction and survival, ultimately affecting the status of the Pacific walrus population. Our approach provides a general framework for forecasting consequences of the broad range of environmental changes and anthropogenic disturbances that may affect bioenergetics through behavioral responses or changes in prey availability.</t>
  </si>
  <si>
    <t>[Udevitz, Mark S.; Jay, Chadwick V.; Taylor, Rebecca L.; Fischbach, Anthony S.] US Geol Survey, Alaska Sci Ctr, 4210 Univ Dr, Anchorage, AK 99508 USA; [Beatty, William S.] US Fish &amp; Wildlife Serv, Marine Mammals Management, 1011 East Tudor Rd, Anchorage, AK 99503 USA; [Noren, Shawn R.] Univ Calif Santa Cruz, Inst Marine Sci, 100 Shaffer Rd, Santa Cruz, CA 95060 USA</t>
  </si>
  <si>
    <t>United States Department of the Interior; United States Geological Survey; United States Department of the Interior; US Fish &amp; Wildlife Service; University of California System; University of California Santa Cruz</t>
  </si>
  <si>
    <t>Udevitz, MS (corresponding author), US Geol Survey, Alaska Sci Ctr, 4210 Univ Dr, Anchorage, AK 99508 USA.</t>
  </si>
  <si>
    <t>mudevitz@usgs.gov</t>
  </si>
  <si>
    <t>Fischbach, Anthony S/E-7166-2010; Taylor, Rebecca/JDM-3627-2023</t>
  </si>
  <si>
    <t>Beatty, William/0000-0003-0013-3113</t>
  </si>
  <si>
    <t>U.S. Geological Survey; Changing Arctic Ecosystems initiative; USGS-BOEM Outer Continental Shelf program</t>
  </si>
  <si>
    <t>U.S. Geological Survey(United States Geological Survey); Changing Arctic Ecosystems initiative; USGS-BOEM Outer Continental Shelf program</t>
  </si>
  <si>
    <t>We thank the crews of the R/V Norseman II and all field personnel who assisted with offshore walrus tagging, and the community of the Native Village of Point Lay, especially M. Tracey, L. Ferreira III, and W. Harding-Lampe, for their help with onshore walrus tagging. We also thank D. C. Douglas for helpful discussions about global climate models and B. D. Taras and two anonymous reviewers for helpful comments on earlier versions of the manuscript. Funding for this project was provided by the U.S. Geological Survey, Changing Arctic Ecosystems initiative, and the USGS-BOEM Outer Continental Shelf program. Any use of trade, firm, or product names is for descriptive purposes only and does not imply endorsement by the U.S. Government.</t>
  </si>
  <si>
    <t>2150-8925</t>
  </si>
  <si>
    <t>Ecosphere</t>
  </si>
  <si>
    <t>e02014</t>
  </si>
  <si>
    <t>10.1002/ecs2.2014</t>
  </si>
  <si>
    <t>FP0WV</t>
  </si>
  <si>
    <t>WOS:000417330000025</t>
  </si>
  <si>
    <t>Mach, PM; Winfield, JL; Aguilar, RA; Wright, KC; Verbeck, GF</t>
  </si>
  <si>
    <t>Mach, Phillip M.; Winfield, Jaime L.; Aguilar, Roberto A.; Wright, Kenneth C.; Verbeck, Guido F.</t>
  </si>
  <si>
    <t>A portable mass spectrometer study targeting anthropogenic contaminants in Sub-Antarctic Puerto Williams, Chile</t>
  </si>
  <si>
    <t>INTERNATIONAL JOURNAL OF MASS SPECTROMETRY</t>
  </si>
  <si>
    <t>Environmental; BTEX; Benzene; Portable instrumentation; Pollutants</t>
  </si>
  <si>
    <t>ECOLOGICAL RESEARCH-PROGRAM; FORENSIC APPLICATIONS; WARFARE AGENTS; SYSTEMS; HYDROCARBONS; IONIZATION; MANAGEMENT; PATAGONIA; VOLATILE; AMERICA</t>
  </si>
  <si>
    <t>Investigations into anthropogenic sources of pollutants in the remote region of Puerto Williams, Chile utilized a fieldable portable mass spectrometer for on-site analysis targeting water and atmospheric air. This expedition highlights the benefits of portable instrumentation that is readily taken out into the field, in providing the community with scientific evidence of ongoing contamination. Two notable locations exhibited noticeable quantities of BTEX constituents, while remote regions remain untainted. Correlations between distance to the community and the sampling sites are indicative of sources of pollutants being anthropogenic in nature. (C) 2016 Elsevier B.V. All rights reserved.</t>
  </si>
  <si>
    <t>[Mach, Phillip M.; Aguilar, Roberto A.; Verbeck, Guido F.] Univ North Texas, Dept Chem, Denton, TX 76203 USA; [Winfield, Jaime L.; Wright, Kenneth C.] Inficon, Syracuse, NY 13057 USA</t>
  </si>
  <si>
    <t>University of North Texas System; University of North Texas Denton</t>
  </si>
  <si>
    <t>Verbeck, GF (corresponding author), Univ North Texas, Dept Chem, Denton, TX 76203 USA.</t>
  </si>
  <si>
    <t>gverbeck@unt.edu</t>
  </si>
  <si>
    <t>Verbeck, Guido/AAF-3774-2019</t>
  </si>
  <si>
    <t>Verbeck, Guido/0000-0002-3317-9911</t>
  </si>
  <si>
    <t>1387-3806</t>
  </si>
  <si>
    <t>1873-2798</t>
  </si>
  <si>
    <t>INT J MASS SPECTROM</t>
  </si>
  <si>
    <t>Int. J. Mass Spectrom.</t>
  </si>
  <si>
    <t>10.1016/j.ijms.2016.12.008</t>
  </si>
  <si>
    <t>Physics, Atomic, Molecular &amp; Chemical; Spectroscopy</t>
  </si>
  <si>
    <t>Physics; Spectroscopy</t>
  </si>
  <si>
    <t>FO6UF</t>
  </si>
  <si>
    <t>WOS:000417002300020</t>
  </si>
  <si>
    <t>Zhan, LY; Wu, M; Chen, LQ; Zhang, JX; Li, YH; Liu, J</t>
  </si>
  <si>
    <t>Zhan, Liyang; Wu, Man; Chen, Liqi; Zhang, Jixia; Li, Yuhong; Liu, Jian</t>
  </si>
  <si>
    <t>The Air-Sea Nitrous Oxide Flux along Cruise Tracks to the Arctic Ocean and Southern Ocean</t>
  </si>
  <si>
    <t>ATMOSPHERE</t>
  </si>
  <si>
    <t>nitrous oxide; Antarctic; Arctic; air-sea flux</t>
  </si>
  <si>
    <t>DISSOLVED N2O; GAS-EXCHANGE; WIND-SPEED; EMISSIONS; SURFACE; WEST; PACIFIC; WATER</t>
  </si>
  <si>
    <t>Nitrous oxide is a trace gas with two global environmental effects: it depletes stratospheric ozone and contributes to the greenhouse effect. Oceans are one of the most significant nitrous oxide sources; however, there are ocean areas whose contributions to the nitrous oxide budget are not yet well studied. The Southern Ocean and the Arctic Ocean feature strong winds and portions that are covered by sea ice. These intense environmental conditions and the remoteness of these regions hamper fieldwork; hence, very limited data are available on the distributions and the source and sink characteristics of nitrous oxide. Using data from the 4th Chinese National Arctic Research Expedition and the 27th Chinese National Antarctic Research Expedition, the first global-scale investigation of the surface water N2O distribution pattern, the factors influencing the N2O distribution and the air-sea N2O flux are discussed in this study. The results show that the tropical and subtropical regions (30 degrees N-30 degrees S) exhibit significant source characteristics, with a maximum air-sea flux of approximately 21.0 +/- 3.9 molm(-2)d(-1). The high air-sea flux may result from the coastal influences and high wind speeds in certain areas. The distribution patterns of N2O in the sub-polar regions (30 degrees N-60 degrees N, 30 degrees S-60 degrees S) transition from oversaturated to approximate equilibrium with the atmosphere, and the boundaries generally correspond with frontal structures. The distributions of N2O in the high-latitude Southern Ocean and Arctic Ocean (&gt;60 degrees N and 60 degrees S) exhibit contrasting patterns. With the exception of the continental shelf hotspot, the Arctic Ocean surface water is undersaturated with N2O; in contrast, the high-latitude Southern Ocean along the cruise track is oversaturated with N2O. The high-latitude Southern Ocean may act as a N2O source, with a maximum air-sea N2O flux of approximately 9.8 +/- 0.5 molm(-2)d(-1) at approximately 60 degrees S, whereas the air-sea N2O flux of the Arctic Ocean is close to zero due to the low wind speed conditions at these latitudes.</t>
  </si>
  <si>
    <t>[Zhan, Liyang; Wu, Man; Chen, Liqi; Zhang, Jixia; Li, Yuhong; Liu, Jian] State Oceanog Adm, Key Lab Global Change &amp; Marine Atmospher Chem, Inst Oceanog 3, Xiamen 361005, Peoples R China</t>
  </si>
  <si>
    <t>Zhan, LY; Wu, M (corresponding author), State Oceanog Adm, Key Lab Global Change &amp; Marine Atmospher Chem, Inst Oceanog 3, Xiamen 361005, Peoples R China.</t>
  </si>
  <si>
    <t>zhanliyang@tio.org.cn; wuman@tio.org.cn; chenliqi@tio.org.cn; zhanliyang@tio.org.cn; liyuhong@tio.org.cn; liujian@tio.org.cn</t>
  </si>
  <si>
    <t>Zhan, Liyang/0000-0002-1380-453X</t>
  </si>
  <si>
    <t>National Natural Science Foundation of China [41230529, 41476172]; Chinese Projects for Investigations and Assessments of the Arctic and Antarctic [01-04, 02-01, 03-04]; Chinese International Cooperation Projects [S2015GR1195, IC201201, IC201308, IC201513]</t>
  </si>
  <si>
    <t>National Natural Science Foundation of China(National Natural Science Foundation of China (NSFC)); Chinese Projects for Investigations and Assessments of the Arctic and Antarctic; Chinese International Cooperation Projects</t>
  </si>
  <si>
    <t>This work was funded by the National Natural Science Foundation of China (Grant Nos. 41230529 and 41476172), Chinese Projects for Investigations and Assessments of the Arctic and Antarctic (Grants Nos. CHINARE2012-15 for 01-04, 02-01, and 03-04), and the Chinese International Cooperation Projects (S2015GR1195, IC201201, IC201308, and IC201513). We would like to thank the officers, captain and crew of the R/V Xuelong for help with the sampling. Finally, we thank the anonymous reviewers for their helpful comments on the manuscript.</t>
  </si>
  <si>
    <t>2073-4433</t>
  </si>
  <si>
    <t>ATMOSPHERE-BASEL</t>
  </si>
  <si>
    <t>Atmosphere</t>
  </si>
  <si>
    <t>10.3390/atmos8110216</t>
  </si>
  <si>
    <t>FO2JH</t>
  </si>
  <si>
    <t>WOS:000416602500010</t>
  </si>
  <si>
    <t>Johnson, LR; Boersch-Supan, PH; Phillips, RA; Ryan, SJ</t>
  </si>
  <si>
    <t>Johnson, Leah R.; Boersch-Supan, Philipp H.; Phillips, Richard A.; Ryan, Sadie J.</t>
  </si>
  <si>
    <t>Changing measurements or changing movements? Sampling scale and movement model identifiability across generations of biologging technology</t>
  </si>
  <si>
    <t>Antarctic albatrosses; Diomedea exulans; immersion logger; Levy flight; movement patterns; Thalassarche melanophris</t>
  </si>
  <si>
    <t>FLIGHT SEARCH PATTERNS; STATE-SPACE MODELS; LEVY-FLIGHT; WANDERING ALBATROSSES; 2 DECADES; ECOLOGY; CONSTRAINTS; ANIMALS; SUCCESS</t>
  </si>
  <si>
    <t>Animal movement patterns contribute to our understanding of variation in breeding success and survival of individuals, and the implications for population dynamics. Over time, sensor technology for measuring movement patterns has improved. Although older technologies may be rendered obsolete, the existing data are still valuable, especially if new and old data can be compared to test whether a behavior has changed over time. We used simulated data to assess the ability to quantify and correctly identify patterns of seabird flight lengths under observational regimes used in successive generations of wet/dry logging technology. Care must be taken when comparing data collected at differing timescales, even when using inference procedures that incorporate the observational process, as model selection and parameter estimation may be biased. In practice, comparisons may only be valid when degrading all data to match the lowest resolution in a set. Changes in tracking technology, such as the wet/dry loggers explored here, that lead to aggregation of measurements at different temporal scales make comparisons challenging. We therefore urge ecologists to use synthetic data to assess whether accurate parameter estimation is possible for models comparing disparate data sets before planning experiments and conducting analyses such as responses to environmental changes or the assessment of management actions.</t>
  </si>
  <si>
    <t>[Johnson, Leah R.] Virginia Tech, Dept Stat, Blacksburg, VA USA; [Johnson, Leah R.; Boersch-Supan, Philipp H.] Univ S Florida, Dept Integrat Biol, Tampa, FL USA; [Boersch-Supan, Philipp H.; Ryan, Sadie J.] Univ Florida, Dept Geog, Gainesville, FL 32611 USA; [Boersch-Supan, Philipp H.; Ryan, Sadie J.] Univ Florida, Emerging Pathogens Inst, Gainesville, FL USA; [Phillips, Richard A.] NERC, British Antarct Survey, Cambridge, England</t>
  </si>
  <si>
    <t>Virginia Polytechnic Institute &amp; State University; State University System of Florida; University of South Florida; State University System of Florida; University of Florida; State University System of Florida; University of Florida; UK Research &amp; Innovation (UKRI); Natural Environment Research Council (NERC); NERC British Antarctic Survey</t>
  </si>
  <si>
    <t>Johnson, LR (corresponding author), Virginia Tech, Dept Stat, Blacksburg, VA USA.</t>
  </si>
  <si>
    <t>lrjohn@vt.edu</t>
  </si>
  <si>
    <t>Ryan, Sadie Jane/H-7488-2019; Boersch-Supan, Philipp H/A-3040-2012</t>
  </si>
  <si>
    <t>Ryan, Sadie Jane/0000-0002-4308-6321; Boersch-Supan, Philipp H/0000-0001-6723-6833; Johnson, Leah/0000-0002-9922-579X</t>
  </si>
  <si>
    <t>Division of Polar Programs [1341649]; NSF; Office of Polar Programs (OPP); Directorate For Geosciences [1341649] Funding Source: National Science Foundation; NERC [bas0100035] Funding Source: UKRI</t>
  </si>
  <si>
    <t>Division of Polar Programs(National Science Foundation (NSF)NSF - Directorate for Geosciences (GEO)); NSF(National Science Foundation (NSF)); Office of Polar Programs (OPP); Directorate For Geosciences(National Science Foundation (NSF)NSF - Directorate for Geosciences (GEO)); NERC(UK Research &amp; Innovation (UKRI)Natural Environment Research Council (NERC))</t>
  </si>
  <si>
    <t>Division of Polar Programs, Grant/Award Number: 1341649; NSF</t>
  </si>
  <si>
    <t>10.1002/ece3.3461</t>
  </si>
  <si>
    <t>FN3LN</t>
  </si>
  <si>
    <t>WOS:000415900800006</t>
  </si>
  <si>
    <t>Cimoli, E; Marcer, M; Vandecrux, B; Boggild, CE; Williams, G; Simonsen, SB</t>
  </si>
  <si>
    <t>Cimoli, Emiliano; Marcer, Marco; Vandecrux, Baptiste; Boggild, Carl E.; Williams, Guy; Simonsen, Sebastian B.</t>
  </si>
  <si>
    <t>Application of Low-Cost UASs and Digital Photogrammetry for High-Resolution Snow Depth Mapping in the Arctic</t>
  </si>
  <si>
    <t>snow; snow mapping; snow depth; Arctic; remote sensing; UAS; digital photogrammetry; Structure from Motion</t>
  </si>
  <si>
    <t>STRUCTURE-FROM-MOTION; SCALE SPATIAL VARIABILITY; ALPINE TERRAIN; WINTER; UAV; RECONSTRUCTION; CLIMATE; IMAGERY; MODELS; COVER</t>
  </si>
  <si>
    <t>The repeat acquisition of high-resolution snow depth measurements has important research and civil applications in the Arctic. Currently the surveying methods for capturing the high spatial and temporal variability of the snowpack are expensive, in particular for small areal extents. An alternative methodology based on Unmanned Aerial Systems (UASs) and digital photogrammetry was tested over varying surveying conditions in the Arctic employing two diverse and low-cost UAS-camera combinations (500 and 1700 USD, respectively). Six areas, two in Svalbard and four in Greenland, were mapped covering from 1386 to 38,410 m(2). The sites presented diverse snow surface types, underlying topography and light conditions in order to test the method under potentially limiting conditions. The resulting snow depth maps achieved spatial resolutions between 0.06 and 0.09 m. The average difference between UAS-estimated and measured snow depth, checked with conventional snow probing, ranged from 0.015 to 0.16 m. The impact of image pre-processing was explored, improving point cloud density and accuracy for different image qualities and snow/light conditions. Our UAS photogrammetry results are expected to be scalable to larger areal extents. While further validation is needed, with the inclusion of extra validation points, the study showcases the potential of this cost-effective methodology for high-resolution monitoring of snow dynamics in the Arctic and beyond.</t>
  </si>
  <si>
    <t>[Cimoli, Emiliano; Marcer, Marco; Vandecrux, Baptiste; Boggild, Carl E.] Tech Univ Denmark, Arctic Technol Ctr, DK-2800 Lyngby, Denmark; [Cimoli, Emiliano; Williams, Guy] Univ Tasmania, Inst Marine &amp; Antarctic Studies, Hobart, Tas 7001, Australia; [Marcer, Marco] Univ Grenoble Alpes, Inst Geog Alpine, F-3800 Grenoble, France; [Vandecrux, Baptiste] Geol Survey Denmark &amp; Greenland, DK-1350 Copenhagen K, Denmark; [Williams, Guy] Univ Tasmania, Antarctic Climate &amp; Ecosyst Cooperat Res Ctr, Hobart, Tas 7001, Australia; [Simonsen, Sebastian B.] Tech Univ Denmark, DTU Space, Dept Geodynam, DK-2800 Lyngby, Denmark</t>
  </si>
  <si>
    <t>Technical University of Denmark; University of Tasmania; Communaute Universite Grenoble Alpes; Universite Grenoble Alpes (UGA); Geological Survey Of Denmark &amp; Greenland; Antarctic Climate &amp; Ecosystems Cooperative Research Centre (ACE CRC); University of Tasmania; Technical University of Denmark</t>
  </si>
  <si>
    <t>Cimoli, E (corresponding author), Tech Univ Denmark, Arctic Technol Ctr, DK-2800 Lyngby, Denmark.;Cimoli, E (corresponding author), Univ Tasmania, Inst Marine &amp; Antarctic Studies, Hobart, Tas 7001, Australia.</t>
  </si>
  <si>
    <t>emiliano.cimoli@utas.edu.au; marco.marcer@gmail.com; bava@byg.dtu.dk; post@ceboggild.dk; guy.darvall.williams@gmail.com; ssim@space.dtu.dk</t>
  </si>
  <si>
    <t>Vandecrux, Baptiste/ABD-6079-2020; Cimoli, Emiliano/H-1862-2018; Simonsen, Sebastian Bjerregaard/F-4791-2013</t>
  </si>
  <si>
    <t>Vandecrux, Baptiste/0000-0002-4169-8973; Cimoli, Emiliano/0000-0001-7964-2716; Simonsen, Sebastian Bjerregaard/0000-0001-9569-1294</t>
  </si>
  <si>
    <t>Arctic Field Grant (AFG); Gronlandsbanken; Society for Arctic Research and Technology (SAFT); AFG; SAFT</t>
  </si>
  <si>
    <t>The study was funded by the Arctic Field Grant (AFG), Gronlandsbanken and the Society for Arctic Research and Technology (SAFT). The Svalbard fieldwork campaigns were funded by the AFG. The Greenland fieldwork campaigns were funded by Gronlandsbanken and SAFT. Deepest gratitude to these institutions for lending the opportunity to work on such a fascinating project. We would like to thank Fred Sigernes and Chris Borstad from the University Centre in Svalbard (UNIS) for their guidance and huge support on the Svalbard campaigns. Special thanks as well to Martin Kotol from ARTEK for his support in the Greenland summer campaigns. Gratitude goes also to fellow UAS pilots Timon Bruggemann and to Marius Petersen for his UAS flying assistance. We would like to acknowledge Inger Lill Bratbergsengen from KONGSBERG Gruppen and Shfaqat Abbas Khan from DTU Space for providing positioning data of the reference stations. Special thanks to Yves Buhler for providing great advice and feedback on an earlier version of the manuscript. We would finally like to acknowledge the three anonymous reviewers for their highly constructive feedback provided during the reviewing process.</t>
  </si>
  <si>
    <t>10.3390/rs9111144</t>
  </si>
  <si>
    <t>FO1VC</t>
  </si>
  <si>
    <t>WOS:000416554100059</t>
  </si>
  <si>
    <t>Zhou, CX; Zheng, L</t>
  </si>
  <si>
    <t>Zhou, Chunxia; Zheng, Lei</t>
  </si>
  <si>
    <t>Mapping Radar Glacier Zones and Dry Snow Line in the Antarctic Peninsula Using Sentinel-1 Images</t>
  </si>
  <si>
    <t>snowmelt; radar glacier zone; dry snow line; Antarctic Peninsula; Sentinel-1</t>
  </si>
  <si>
    <t>MICROWAVE EMISSION MODEL; SYNTHETIC-APERTURE RADAR; GREENLAND ICE-SHEET; SAR DATA; WET-SNOW; SCATTEROMETER DATA; LAYERED SNOWPACKS; MELT DETECTION; TIME-SERIES; SHELF</t>
  </si>
  <si>
    <t>Surface snowmelt causes changes in mass and energy balance, and endangers the stabilities of the ice shelves in the Antarctic Peninsula (AP). The dynamic changes of the snow and ice conditions in the AP were observed by Sentinel-1 images with a spatial resolution of 40 m in this study. Snowmelt detected by the special sensor microwave/imager (SSM/I) is used to study the relationship between summer snowmelt and winter synthetic aperture radar (SAR) backscatter. Radar glacier zones (RGZs) classifications were conducted based on their differences in liquid snow content, snow grain size, and the relative elevations. We developed a practical method based on the simulations of a microwave scattering model to classify RGZs by using Sentinel-1 images in the AP. The summer snowmelt detected by SSM/I and Sentinel-1 data are compared between 2014 and 2015. The SSM/I-derived melting days is used to validate the winter dry snow line (DSL). RGZs derived from Sentinel-1 images suggest that snowmelt expanded from inland of the Larsen C Ice Shelf to the coastal area, whereas an opposite direction was found in the George VI Ice Shelf. The long melting season in the grounding zone of the Larsen C Ice Shelf may result from the adiabatically-dried fohn winds on the east side of the AP. As the uppermost limit of summer snowmelt, DSL was mapped based on the winter Sentinel-1 mosaic of the AP. Compared with the SSM/I-derived melting days, the winter DSL mainly distributed in the areas melted for one to three days in summer. DSL elevations on the Palmer Land increased from south to north.</t>
  </si>
  <si>
    <t>[Zhou, Chunxia; Zheng, Lei] Wuhan Univ, Chinese Antarctic Ctr Surveying &amp; Mapping, Wuhan 430079, Hubei, Peoples R China; [Zhou, Chunxia; Zheng, Lei] Natl Adm Surveying Mapping &amp; Geoinformat, Key Lab Polar Surveying &amp; Mapping, Wuhan 430079, Hubei, Peoples R China</t>
  </si>
  <si>
    <t>Zheng, L (corresponding author), Wuhan Univ, Chinese Antarctic Ctr Surveying &amp; Mapping, Wuhan 430079, Hubei, Peoples R China.;Zheng, L (corresponding author), Natl Adm Surveying Mapping &amp; Geoinformat, Key Lab Polar Surveying &amp; Mapping, Wuhan 430079, Hubei, Peoples R China.</t>
  </si>
  <si>
    <t>zhoucx@whu.edu.cn; zhenglei0611@hotmail.com</t>
  </si>
  <si>
    <t>Zheng, Lei/AAU-3788-2020</t>
  </si>
  <si>
    <t>National Natural Science Foundation of China (NSFC) [41531069, 41376187]; Chinese Polar Environment Comprehensive Investigation &amp; Assessment Programme [CHINARE2017-02-05]</t>
  </si>
  <si>
    <t>National Natural Science Foundation of China (NSFC)(National Natural Science Foundation of China (NSFC)); Chinese Polar Environment Comprehensive Investigation &amp; Assessment Programme</t>
  </si>
  <si>
    <t>The authors would like to thank the European Space Agency and the National Snow and Ice Data Center for providing the Sentinel-1 images and SSM/I brightness temperature data respectively. We also thank Martin Proksch (University of Innsbruck) for providing consultations on the MEMLS3&amp;a. This research was supported in part by the National Natural Science Foundation of China (NSFC) (Grant no. 41531069 and 41376187) and in part by the Chinese Polar Environment Comprehensive Investigation &amp; Assessment Programme (CHINARE2017-02-05).</t>
  </si>
  <si>
    <t>10.3390/rs9111171</t>
  </si>
  <si>
    <t>WOS:000416554100086</t>
  </si>
  <si>
    <t>Williams, SM; Holmes, BJ; Tracey, SR; Pepperell, JG; Domeier, ML; Bennett, MB</t>
  </si>
  <si>
    <t>Williams, Samuel M.; Holmes, Bonnie J.; Tracey, Sean R.; Pepperell, Julian G.; Domeier, Michael L.; Bennett, Michael B.</t>
  </si>
  <si>
    <t>Environmental influences and ontogenetic differences in vertical habitat use of black marlin (Istiompax indica) in the southwestern Pacific</t>
  </si>
  <si>
    <t>billfish; diving behaviour; ontogeny; physiology; telemetry</t>
  </si>
  <si>
    <t>TUNA THUNNUS-ALBACARES; BLUE MARLIN; TETRAPTURUS-AUDAX; MAKAIRA-NIGRICANS; MOVEMENTS; BEHAVIOR; ATLANTIC; TEMPERATURE; FISHES; OXYGEN</t>
  </si>
  <si>
    <t>The black marlin (Istiompax indica) is a highly migratory billfish that occupies waters throughout the tropical and subtropical Indo-Pacific. To characterize the vertical habitat use of I. indica, we examined the temperature-depth profiles collected using 102 pop-up satellite archival tags deployed off the east coast of Australia. Modelling of environmental variables revealed location, sea-surface height deviation, mixed layer depth and dissolved oxygen to all be significant predictors of vertical habitat use. Distinct differences in diel movements were observed between the size classes, with larger size classes of marlin (greater than 50 kg) undertaking predictable bounce-iving activity during daylight hours, while diving behaviour of the smallest size class occurred randomly during both day and night. Overall, larger size classes of I. indica were found to use an increased thermal range and spend more time in waters below 150m than fish of smaller size classes. The differences in the diving behaviour among size classes were suggested to reflect ontogenetic differences in foraging behaviour or physiology. The findings of this study demonstrate, for the first time to our knowledge, ontogenetic differences in vertical habitat in a species of billfish, and further the understanding of pelagic fish ecophysiology in the presence of global environmental change.</t>
  </si>
  <si>
    <t>[Williams, Samuel M.; Holmes, Bonnie J.; Bennett, Michael B.] Univ Queensland, Sch Biomed Sci, St Lucia, Qld, Australia; [Tracey, Sean R.] Univ Tasmania, Inst Marine &amp; Antarctic Studies, Private Bag 49, Hobart, Tas, Australia; [Pepperell, Julian G.] Pepperell Res &amp; Consulting Pty Ltd, POB 1475, Noosaville Dc, Qld 4566, Australia; [Domeier, Michael L.] Marine Conservat Sci Inst, Fallbrook, CA USA</t>
  </si>
  <si>
    <t>University of Queensland; University of Tasmania</t>
  </si>
  <si>
    <t>Williams, SM (corresponding author), Univ Queensland, Sch Biomed Sci, St Lucia, Qld, Australia.</t>
  </si>
  <si>
    <t>samuel.williams5@uq.net.au</t>
  </si>
  <si>
    <t>Bennett, Michael/A-7218-2012; Holmes, Bonnie/AAZ-5413-2021; Bennett, Michael/L-4483-2019; Tracey, Sean/J-7446-2014</t>
  </si>
  <si>
    <t>Holmes, Bonnie/0000-0002-8559-9950; Bennett, Michael/0000-0001-8051-0040; Tracey, Sean/0000-0002-6735-5899; Williams, Samuel/0000-0002-2251-2774</t>
  </si>
  <si>
    <t>Kirby Family; Queensland Game Fishing Association; Game Fishing Association of Australia</t>
  </si>
  <si>
    <t>S.M.W. received funding to undertake the project from the Kirby Family, the Queensland Game Fishing Association and Game Fishing Association of Australia.</t>
  </si>
  <si>
    <t>10.1098/rsos.170694</t>
  </si>
  <si>
    <t>FO4CI</t>
  </si>
  <si>
    <t>WOS:000416787500013</t>
  </si>
  <si>
    <t>Vágnerová, R; Lukesová, A; Lukes, M; Roznovská, P; Holá, M; Fulnecková, J; Fajkus, J; Angelis, KJ</t>
  </si>
  <si>
    <t>Vagnerova, Radka; Lukesova, Alena; Lukes, Martin; Roznovska, Petra; Hola, Marcela; Fulneckova, Jana; Fajkus, Jiri; Angelis, Karel J.</t>
  </si>
  <si>
    <t>Evolutionarily Distant Streptophyta Respond Differently to Genotoxic Stress</t>
  </si>
  <si>
    <t>GENES</t>
  </si>
  <si>
    <t>Physcomitrella patens; Klebsormidium; Zygnema; DNA damage and repair; bleomycin; methyl methanesulfonate; ultraviolet light</t>
  </si>
  <si>
    <t>COMET ASSAY; DNA-DAMAGE; ANTARCTIC STRAINS; OSMOTIC-STRESS; ZYGNEMA; ZYGNEMATOPHYCEAE; ULTRASTRUCTURE; DESICCATION; RADIATION; EXPOSURE</t>
  </si>
  <si>
    <t>Research in algae usually focuses on the description and characterization of morphoand phenotype as a result of adaptation to a particular habitat and its conditions. To better understand the evolution of lineages we characterized responses of filamentous streptophyte green algae of the genera Klebsormidium and Zygnema, and of a land plantthe moss Physcomitrella patensto genotoxic stress that might be relevant to their environment. We studied the induction and repair of DNA double strand breaks (DSBs) elicited by the radiomimetic drug bleomycin, DNA single strand breaks (SSB) as consequence of base modification by the alkylation agent methyl methanesulfonate (MMS) and of ultra violet (UV)-induced photo-dimers, because the mode of action of these three genotoxic agents is well understood. We show that the Klebsormidium and Physcomitrella are similarly sensitive to introduced DNA lesions and have similar rates of DSBs repair. In contrast, less DNA damage and higher repair rate of DSBs was detected in Zygnema, suggesting different mechanisms of maintaining genome integrity in response to genotoxic stress. Nevertheless, contrary to fewer detected lesions is Zygnema more sensitive to genotoxic treatment than Klebsormidium and Physcomitrella</t>
  </si>
  <si>
    <t>[Vagnerova, Radka; Roznovska, Petra; Hola, Marcela; Angelis, Karel J.] Czech Acad Sci, Inst Expt Bot, Vvi, Na Karlovce 1, Prague 16000 6, Czech Republic; [Lukesova, Alena] Biol Ctr ASCR, Inst Soil Biol, Vvi, Na Sadkach 7, Ceske Budejovice 37005, Czech Republic; [Lukes, Martin] Inst Microbiol ASCR, Ctr Algatech, Lab Photosynth, Trebon 37981, Czech Republic; [Fulneckova, Jana] Czech Acad Sci, Inst Biophys, Vvi, Kralovopolska 135, Brno 61265, Czech Republic; [Fajkus, Jiri] Masaryk Univ, Fac Sci, Lab Funct Genom &amp; Prote, NCBR, Kotlarska 2, CS-61137 Brno, Czech Republic; [Fajkus, Jiri] Masaryk Univ, CEITEC Cent European Inst Technol, Mendel Ctr Plant Genom &amp; Prote, Kamenice 5, Brno 62500, Czech Republic</t>
  </si>
  <si>
    <t>Czech Academy of Sciences; Institute of Experimental Botany of the Czech Academy of Sciences; Czech Academy of Sciences; Biology Centre of the Czech Academy of Sciences; Czech Academy of Sciences; Institute of Microbiology of the Czech Academy of Sciences; Czech Academy of Sciences; Institute of Biophysics of the Czech Academy of Sciences; Masaryk University Brno; Masaryk University Brno</t>
  </si>
  <si>
    <t>Angelis, KJ (corresponding author), Czech Acad Sci, Inst Expt Bot, Vvi, Na Karlovce 1, Prague 16000 6, Czech Republic.</t>
  </si>
  <si>
    <t>radka.vagnerova@centrum.cz; luksa@upb.cas.cz; lukesm@alga.cz; roznovska@gmail.com; marcelahola@seznam.cz; fulneckova@ibp.cz; fajkus@sci.muni.cz; karel.angelis@gmail.com</t>
  </si>
  <si>
    <t>Lukeš, Martin/AAV-4722-2020; Fajkus, Jiří/D-2499-2012; Hola, Marcela/H-5803-2018; Lukešová, Alena/G-1451-2014; Fulneckova, Jana/H-1918-2014; Angelis, Karel/H-2275-2014</t>
  </si>
  <si>
    <t>Lukeš, Martin/0000-0003-3493-9780; Fajkus, Jiří/0000-0002-3112-1716; Fulneckova, Jana/0000-0002-5041-1399; Angelis, Karel/0000-0003-3718-247X; Hola, Marcela/0000-0001-9242-2208</t>
  </si>
  <si>
    <t>Czech Science Foundation [16-01137S]; Ministry of Education, Youth and Sports of the Czech Republic under the project CEITEC [LQ1601]; Ministry of Education, Youth and Sports of the Czech Republic under the COST Action [CA15132, LTC17047/2017]</t>
  </si>
  <si>
    <t>Czech Science Foundation(Grant Agency of the Czech Republic); Ministry of Education, Youth and Sports of the Czech Republic under the project CEITEC; Ministry of Education, Youth and Sports of the Czech Republic under the COST Action</t>
  </si>
  <si>
    <t>This work was supported by the Czech Science Foundation (16-01137S) and by the Ministry of Education, Youth and Sports of the Czech Republic under the project CEITEC 2020 (LQ1601) and COST Action CA15132 (grant LTC17047/2017). AL would like to thank Romana Bicova and Lenka Stenclova (Institute of Soil Biology) for algal cultivation and technical help.</t>
  </si>
  <si>
    <t>2073-4425</t>
  </si>
  <si>
    <t>GENES-BASEL</t>
  </si>
  <si>
    <t>Genes</t>
  </si>
  <si>
    <t>10.3390/genes8110331</t>
  </si>
  <si>
    <t>FO4GS</t>
  </si>
  <si>
    <t>WOS:000416800600041</t>
  </si>
  <si>
    <t>Valukenko, NV; Kotlyakov, VM; Sonechkin, DM</t>
  </si>
  <si>
    <t>Valukenko, N. V.; Kotlyakov, V. M.; Sonechkin, D. M.</t>
  </si>
  <si>
    <t>The Connection between the Growth of Anthropogenic Carbon Dioxide in the Atmosphere and the Current Climate Warming</t>
  </si>
  <si>
    <t>DOKLADY EARTH SCIENCES</t>
  </si>
  <si>
    <t>VOSTOK ICE CORE; ANTARCTIC TEMPERATURE; GLOBAL TEMPERATURE; PHASE RELATION; CO2; RECORD</t>
  </si>
  <si>
    <t>Variations in the atmospheric carbon dioxide concentration and the average global near-surface air temperature are compared over the last 50-year period. It turns out that, within the interannual time scales, the carbon dioxide concentration variations generally lagged behind the corresponding temperature variations. However, within time scales of more than 40 years in the 1980s-1990s, when the growth of CO2 and temperature accelerated, carbon dioxide was in the lead. This fact indicates that atmospheric pollution actually could have begun to affect the climate at that time.</t>
  </si>
  <si>
    <t>[Valukenko, N. V.; Sonechkin, D. M.] Russian Acad Sci, Shirshov Inst Oceanol, Moscow 117997, Russia; [Kotlyakov, V. M.] Russian Acad Sci, Inst Geog, Moscow 119017, Russia</t>
  </si>
  <si>
    <t>Russian Academy of Sciences; Shirshov Institute of Oceanology; Russian Academy of Sciences; Institute of Geography, Russian Academy of Sciences</t>
  </si>
  <si>
    <t>Sonechkin, DM (corresponding author), Russian Acad Sci, Shirshov Inst Oceanol, Moscow 117997, Russia.</t>
  </si>
  <si>
    <t>dsonech@yandex.ru</t>
  </si>
  <si>
    <t>Russian Foundation for Basic Research [15-05-00510]</t>
  </si>
  <si>
    <t>This work was supported by the Russian Foundation for Basic Research, project no. 15-05-00510.</t>
  </si>
  <si>
    <t>1028-334X</t>
  </si>
  <si>
    <t>1531-8354</t>
  </si>
  <si>
    <t>DOKL EARTH SCI</t>
  </si>
  <si>
    <t>Dokl. Earth Sci.</t>
  </si>
  <si>
    <t>10.1134/S1028334X17110083</t>
  </si>
  <si>
    <t>FO3TA</t>
  </si>
  <si>
    <t>WOS:000416756000013</t>
  </si>
  <si>
    <t>Lewis, LR; Biersma, EM; Carey, SB; Holsinger, K; McDaniel, SF; Rozzi, R; Goffinet, B</t>
  </si>
  <si>
    <t>Lewis, Lily R.; Biersma, Elisabeth M.; Carey, Sarah B.; Holsinger, Kent; McDaniel, Stuart F.; Rozzi, Ricardo; Goffinet, Bernard</t>
  </si>
  <si>
    <t>Resolving the northern hemisphere source region for the long-distance dispersal event that gave rise to the South American endemic dung moss Tetraplodon fuegianus</t>
  </si>
  <si>
    <t>AMERICAN JOURNAL OF BOTANY</t>
  </si>
  <si>
    <t>amphitropical; Bryopsida; RADseq; Splachnaceae</t>
  </si>
  <si>
    <t>MULTILOCUS GENOTYPE DATA; POPULATION-STRUCTURE; PHYLOGENETIC ANALYSES; BIPOLAR DISTRIBUTION; CRYPTIC SPECIATION; F-STATISTICS; SNP DATA; BRYOPHYTES; INFERENCE; PHYLOGEOGRAPHY</t>
  </si>
  <si>
    <t>PREMISE OF THE STUDY: American bipolar plant distributions characterize taxa at various taxonomic ranks but are most common in the bryophytes at infraspecific and infrageneric levels. A previous study on the bipolar disjunction in the dung moss genus Tetraplodon found that direct long-distance dispersal from North to South in the Miocene-Pleistocene accounted for the origin of the Southern American endemic Tetraplodon fuegianus, congruent with other molecular studies on bipolar bryophytes. The previous study, however, remained inconclusive regarding a specific northern hemisphere source region for the transequatorial dispersal event that gave rise to T. fuegianus. METHODS: To estimate spatial genetic structure and phylogeographic relationships within the bipolar lineage of T etraplodon, which includes T. fuegianus, we analyzed thousands of restriction-site-associated DNA (RADseq) loci and single nucleotide polymorphisms using Bayesian individual assignment and maximum likelihood and coalescent model based phylogenetic approaches. KEY RESULTS: Northwestern North America is the most likely source of the recent ancestor to T. fuegianus. CONCLUSIONS: Tetraplodon fuegianus, which marks the southernmost populations in the bipolar lineage of Tetraplodon, arose following a single long-distance dispersal event involving a T. mnioides lineage that is now rare in the northern hemisphere and potentially restricted to the Pacific Northwest of North America. Furthermore, gene flow between sympatric lineages of Tetraplodon mnioides in the northern hemisphere is limited, possibly due to high rates of selfing or reproductive isolation.</t>
  </si>
  <si>
    <t>[Lewis, Lily R.; Holsinger, Kent; Goffinet, Bernard] Univ Connecticut, Dept Ecol &amp; Evolutionary Biol, Storrs, CT 06269 USA; [Lewis, Lily R.; Carey, Sarah B.; McDaniel, Stuart F.] Univ Florida, Dept Biol, Gainesville, FL 32601 USA; [Biersma, Elisabeth M.] Univ Cambridge, Dept Plant Sci, Downing St, Cambridge CB2 3EA, England; [Biersma, Elisabeth M.] British Antarctic Survey, Nat Environm Res Council, Madingley Rd, Cambridge CB3 0ET, England; [Rozzi, Ricardo] Inst Ecol &amp; Biodivers, Santiago, Chile; [Rozzi, Ricardo] Omora Ethnobot Pk, Puerto Williams, Antarctic Provi, Chile; [Rozzi, Ricardo] Univ Magallanes, Punta Arenas, Magallanes Prov, Chile; [Rozzi, Ricardo] Univ North Texas, Dept Philosophy, Denton, TX 76201 USA</t>
  </si>
  <si>
    <t>University of Connecticut; State University System of Florida; University of Florida; University of Cambridge; UK Research &amp; Innovation (UKRI); Natural Environment Research Council (NERC); NERC British Antarctic Survey; Universidad de Magallanes; University of North Texas System; University of North Texas Denton</t>
  </si>
  <si>
    <t>Lewis, LR (corresponding author), Univ Connecticut, Dept Ecol &amp; Evolutionary Biol, Storrs, CT 06269 USA.;Lewis, LR (corresponding author), Univ Florida, Dept Biol, Gainesville, FL 32601 USA.</t>
  </si>
  <si>
    <t>LilyRLewis@gmail.com</t>
  </si>
  <si>
    <t>Biersma, Elisabeth Machteld/JKI-1084-2023; Holsinger, Kent/A-7435-2009; Biersma, Elisabeth Machteld/AAL-9818-2020; Rozzi, Ricardo/G-1047-2012</t>
  </si>
  <si>
    <t>Holsinger, Kent/0000-0003-4312-3804; Biersma, Elisabeth Machteld/0000-0002-9877-2177; Rozzi, Ricardo/0000-0001-5265-8726</t>
  </si>
  <si>
    <t>U. S. National Science Foundation [DEB-1311405]; Chilean Institute for Ecology and Biodiversity; Omora Ethnobotanical Park [ICM P05-002, Basal-CONICYT PFB-23]; U. K. Natural Environment Research Council (NERC) [NE/K50094X/1]; NERC; NERC [NE/K50094X/1, bas0100036] Funding Source: UKRI; Natural Environment Research Council [1246575, bas0100036] Funding Source: researchfish</t>
  </si>
  <si>
    <t>U. S. National Science Foundation(National Science Foundation (NSF)); Chilean Institute for Ecology and Biodiversity; Omora Ethnobotanical Park; U. K. 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</si>
  <si>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U. S. National Science Foundation for Doctoral Dissertation Improvement Grant DEB-1311405 and Graduate Research Fellowship to L.R.L, the Chilean Institute for Ecology and Biodiversity and Omora Ethnobotanical Park (for grants ICM P05-002 and Basal-CONICYT PFB-23), the U. K. Natural Environment Research Council (NERC) for studentship (ref NE/K50094X/1) to E.M.B, and NERC core funding to the British Antarctic Survey Biodiversity, Evolution and Adaptation Team, and Ms Trudy Gerlach for financial support. We are grateful to Nasim Rahmatpour, who performed flow cytometry and assisted with interpretation of results. We thank Paul O. Lewis and Jill Wegrzyn at the UCONN Bioinformatics Facility for help with data processing and analysis, Joerg Graf and Mike Nelson at the UCONN MiSeq Facility and Bo Reese at the UCONN Center for Genome Innovation for help with data generation. We also thank William R. Buck, Juan Larrain, Matt von Konrat, Dietmar Quandt, Leopoldo G. Sancho, Kristian Hassel, Tommy Presto, Lars Hedenas, Blanka Aguero, and Jon Shaw for help with fieldwork. Liu Yang and Rafael Medina helped with various aspects of the project, and the McDaniel Laboratory provided feedback on drafts. Finally, we thank the anonymous reviewers, whose thoughtful comments significantly strengthened this manuscript.</t>
  </si>
  <si>
    <t>BOTANICAL SOC AMER INC</t>
  </si>
  <si>
    <t>ST LOUIS</t>
  </si>
  <si>
    <t>PO BOX 299, ST LOUIS, MO 63166-0299 USA</t>
  </si>
  <si>
    <t>0002-9122</t>
  </si>
  <si>
    <t>1537-2197</t>
  </si>
  <si>
    <t>AM J BOT</t>
  </si>
  <si>
    <t>Am. J. Bot.</t>
  </si>
  <si>
    <t>10.3732/ajb.1700144</t>
  </si>
  <si>
    <t>FN8VD</t>
  </si>
  <si>
    <t>WOS:000416302800003</t>
  </si>
  <si>
    <t>Villaverde, T; Escudero, M; Martín-Bravo, S; Jiménez-Mejías, P; Sanmartín, I; Vargas, P; Luceño, M</t>
  </si>
  <si>
    <t>Villaverde, Tamara; Escudero, Marcial; Martin-Bravo, Santiago; Jimenez-Mejias, Pedro; Sanmartin, Isabel; Vargas, Pablo; Luceno, Modesto</t>
  </si>
  <si>
    <t>Bipolar distributions in vascular plants: A review</t>
  </si>
  <si>
    <t>amphitropical; Antarctic; biogeographic patterns; boreal; dispersal vectors; New Zealand; polar regions; South America</t>
  </si>
  <si>
    <t>LONG-DISTANCE DISPERSAL; SEED DISPERSAL; SOUTHERN-HEMISPHERE; NEW-ZEALAND; HOLOCENTRIC CHROMOSOMES; MOLECULAR PHYLOGENY; SPECIAL EMPHASIS; TRIBE CARICEAE; NORTH-AMERICA; DNA EVIDENCE</t>
  </si>
  <si>
    <t>Bipolar disjunct distributions are a fascinating biogeographic pattern exhibited by about 30 vascular plants, whose populations reach very high latitudes in the northern and southern hemispheres. In this review, we first propose a new framework for the definition of bipolar disjunctions and then reformulate a list of guiding principles to consider how to study bipolar species. Vicariance and convergent evolution hypotheses have been argued to explain the origin of this fragmented distribution pattern, but we show here that they can be rejected for all bipolar species, except for Carex microglochin. Instead, human introduction and dispersal (either direct or by mountain-hopping)-facilitated by standard and nonstandard vectors-are the most likely explanations for the origin of bipolar plant disjunctions. Successful establishment after dispersal is key for colonization of the disjunct areas and appear to be related to both intrinsic (e.g., self-compatibility) and extrinsic (mutualistic and antagonistic interactions) characteristics. Most studies on plant bipolar disjunctions have been conducted in Carex (Cyperaceae), the genus of vascular plants with the largest number of bipolar species. We found a predominant north-tosouth direction of dispersal, with an estimated time of diversification in agreement with major cooling events during the Pliocene and Pleistocene. Bipolar Carex species do not seem to depend on specialized traits for long-distance dispersal and could have dispersed through one or multiple stochastic events, with birds as the most likely dispersal vector.</t>
  </si>
  <si>
    <t>[Villaverde, Tamara; Sanmartin, Isabel; Vargas, Pablo] CSIC, RJB, Plaza Murillo 2, ES-28014 Madrid, Spain; [Villaverde, Tamara; Martin-Bravo, Santiago; Luceno, Modesto] Univ Pablo de Olavide, Dept Mol Biol &amp; Biochem Engn, Carretera Utrera Km 1, ES-41013 Seville, Spain; [Escudero, Marcial] Univ Seville, Dept Plant Biol &amp; Ecol, Reina Mercedes Sn, ES-41012 Seville, Spain; [Jimenez-Mejias, Pedro] Smithsonian Inst, Natl Museum Nat Hist, 10th &amp; Constitut Aves NW, Washington, DC 20560 USA</t>
  </si>
  <si>
    <t>Consejo Superior de Investigaciones Cientificas (CSIC); CSIC - Real Jardin Botanico de Madrid; Universidad Pablo de Olavide; University of Sevilla; Smithsonian Institution; Smithsonian National Museum of Natural History</t>
  </si>
  <si>
    <t>Villaverde, T (corresponding author), CSIC, RJB, Plaza Murillo 2, ES-28014 Madrid, Spain.;Villaverde, T (corresponding author), Univ Pablo de Olavide, Dept Mol Biol &amp; Biochem Engn, Carretera Utrera Km 1, ES-41013 Seville, Spain.</t>
  </si>
  <si>
    <t>tvilhid@gmail.com</t>
  </si>
  <si>
    <t>Lirio, Antonio Marcial Escudero/H-2099-2015; Sanmartin, Isabel/G-3131-2015; Villaverde, Tamara/M-9555-2018; Martín-Bravo, Santiago/I-3554-2017; Jimenez-Mejias, Pedro/H-7274-2015</t>
  </si>
  <si>
    <t>Lirio, Antonio Marcial Escudero/0000-0002-2541-5427; Sanmartin, Isabel/0000-0001-6104-9658; Villaverde, Tamara/0000-0002-9236-8616; Martin-Bravo, Santiago/0000-0003-0626-0770; Vargas, Pablo/0000-0003-4502-0382; Jimenez-Mejias, Pedro/0000-0003-2815-4477</t>
  </si>
  <si>
    <t>Spanish Ministry of Economy and Competitiveness [CGL2012-3874, CGL2016-77401-P]</t>
  </si>
  <si>
    <t>Spanish Ministry of Economy and Competitiveness(Spanish Government)</t>
  </si>
  <si>
    <t>The authors thank Michael Simpson, Matt Guilliams, Leigh Johnson, and Justen Whittall for organizing the Patterns and Processes of American Amphitropical Plant Disjunctions: New Insights symposium at the Botanical Society of America annual meeting during 30 July-3 August 2016 in Savannah, Georgia (USA). We also thank Marcelo Arana and Weston Testo for their help with Huperzia and Isaac Garrido Benavent and two anonymous reviewers for their comments on the manuscript. This research was supported by the Spanish Ministry of Economy and Competitiveness (projects CGL2012-3874 and CGL2016-77401-P).</t>
  </si>
  <si>
    <t>10.3732/ajb.1700159</t>
  </si>
  <si>
    <t>WOS:000416302800006</t>
  </si>
  <si>
    <t>Yasunaga, G; Pastene, LA; Bando, T; Hakamada, T; Fujise, Y</t>
  </si>
  <si>
    <t>Yasunaga, Genta; Pastene, Luis A.; Bando, Takeharu; Hakamada, Takashi; Fujise, Yoshihiro</t>
  </si>
  <si>
    <t>Age estimation of Antarctic minke whales Balaenoptera bonaerensis based on aspartic acid racemization technique</t>
  </si>
  <si>
    <t>FISHERIES SCIENCE</t>
  </si>
  <si>
    <t>Antarctic minke whale; Lens; Age estimation; Racemization; Aspartic acid</t>
  </si>
  <si>
    <t>GROWTH; ISOMERIZATION; CRYSTALLIN; RESIDUES; LENS</t>
  </si>
  <si>
    <t>Counting of the growth layers in the earplugs is the most accepted technique for determining chronological age of Antarctic minke whales; however, unreadable growth layers form in some individuals, especially in young animals. In this study, aspartic acid racemization (AAR) technique was developed for estimating ages in this species with the aim of complementing the age estimated using earplugs. To validate the technique and to determine the specific coefficients for age estimation, the ratio of d and l-enantiomers of aspartic acid (Asp D/L) in lens of 18 whales and 20 fetuses were analyzed and compared with earplug-based age estimates. The equation for age estimation by AAR in this species was as follows: Log(e){[1 + (Asp D/L)(act)]/[1 - (Asp D/L)(act)]} = 2.30 x 10(-3) x earplug age (year) + 0.0201 (p &lt; 0.001, r (2) = 0.918). There is a strong correlation between the age estimates by AAR and earplugs. This study was successful in developing the AAR technique for the Antarctic minke whale, and the application of this technique can complement the age estimation of this species based on earplug readings, especially for young animals with unreadable earplugs.</t>
  </si>
  <si>
    <t>[Yasunaga, Genta; Pastene, Luis A.; Bando, Takeharu; Hakamada, Takashi; Fujise, Yoshihiro] Inst Cetacean Res, Chuo Ku, 4-5 Toyomi Cho, Tokyo 1040055, Japan</t>
  </si>
  <si>
    <t>Yasunaga, G (corresponding author), Inst Cetacean Res, Chuo Ku, 4-5 Toyomi Cho, Tokyo 1040055, Japan.</t>
  </si>
  <si>
    <t>yasunaga@cetacean.jp; pastene@cetacean.jp; bando@cetacean.jp; hakamada@cetacean.jp; fujise@cetacean.jp</t>
  </si>
  <si>
    <t>Yasunaga, Genta/0000-0001-5599-6851</t>
  </si>
  <si>
    <t>0919-9268</t>
  </si>
  <si>
    <t>1444-2906</t>
  </si>
  <si>
    <t>FISHERIES SCI</t>
  </si>
  <si>
    <t>Fish. Sci.</t>
  </si>
  <si>
    <t>10.1007/s12562-017-1122-0</t>
  </si>
  <si>
    <t>FO1WR</t>
  </si>
  <si>
    <t>WOS:000416559900010</t>
  </si>
  <si>
    <t>Halpin, JA; Daczko, NR; Kohler, ME; Whittaker, JM</t>
  </si>
  <si>
    <t>Halpin, Jacqueline A.; Daczko, Nathan R.; Kohler, Madeline E.; Whittaker, Joanne M.</t>
  </si>
  <si>
    <t>Strike-slip tectonics during the Neoproterozoic-Cambrian assembly of East Gondwana: Evidence from a newly discovered microcontinent in the Indian Ocean (Batavia Knoll)</t>
  </si>
  <si>
    <t>Batavia Knoll; Gondwana; Hf-isotopes; Kuunga Orogen/Suture; Zircon age</t>
  </si>
  <si>
    <t>OFFSHORE WESTERN-AUSTRALIA; MALANI IGNEOUS SUITE; PB ZIRCON AGES; YILGARN CRATON; BUNGER HILLS; ANTARCTIC SHIELD; LARSEMANN HILLS; MOBILE BELT; DYKE SWARM; LU-HF</t>
  </si>
  <si>
    <t>The first dredge samples recovered from the Batavia Knoll in the eastern Indian Ocean demonstrate it is a rifted continental fragment that now lies submerged in 2 km of water between the Perth Abyssal Plain and Wharton Basin, similar to 1600 km offshore Western Australia. This knoll is the second microcontinent to have been discovered in this region, lying similar to 180 km to the NE of Gulden Draak Knoll; both knolls rifted from the Indian margin at c. 104-101 Ma during the breakup of East Gondwana. Dredged rocks include granite, granodiorite, charnockite and quartz-rich pegmatite, preserving igneous microstructure and biotite-schlieren. The composite nature of many samples suggests derivation from a felsic igneous complex. This basement is at least partly covered by Late Cretaceous sedimentary strata. Zircon grains from five representative granitoid samples primarily display modified oscillatory zoning and U-Pb data that spread along concordia over similar to 50-70 m.y., suggesting protracted magmatism and Pb-loss during the latest Neoproterozoic-early Cambrian (c. 580-530 Ma). Despite the span in U-Pb zircon ages, the primary igneous populations exhibit a relatively narrow range of initial Hf isotopic ratios (Hfi = 0.281290-0.281814; epsilon Hf-i = 41.40 to 2332). This evolved nature of the Hf signature suggests derivation of melts from ancient crust (T-DM2 = 4.05-2.92 Ga) with very limited juvenile input. Plate models based on sparse paleomagnetic data imply significant relative motion between India and Australia during the late Neoproterozoic-Cambrian. We suggest the new isotopic data from the Batavia Knoll granitic rocks, coupled with other regional geological constraints, are consistent with magmatic intrusion and subsequent disturbance of U-Pb systems along a late Neoproterozoic-Cambrian sinistral strike -slip margin related to Gondwana assembly. (C) 2017 International Association for Gondwana Research. Published by Elsevier B.V. All rights reserved.</t>
  </si>
  <si>
    <t>[Halpin, Jacqueline A.; Whittaker, Joanne M.] Univ Tasmania, Inst Marine &amp; Antarctic Studies, Private Bag 129, Hobart, Tas 7001, Australia; [Daczko, Nathan R.; Kohler, Madeline E.] Macquarie Univ, Dept Earth &amp; Planetary Sci, ARC Ctr Excellence Core Crust Fluid Syst CCFS GEM, N Ryde, NSW 2109, Australia</t>
  </si>
  <si>
    <t>University of Tasmania; Macquarie University</t>
  </si>
  <si>
    <t>Halpin, JA (corresponding author), Univ Tasmania, Inst Marine &amp; Antarctic Studies, Private Bag 129, Hobart, Tas 7001, Australia.</t>
  </si>
  <si>
    <t>jahalpin@utas.edu.au</t>
  </si>
  <si>
    <t>Halpin, Jacqueline A/A-3776-2014; Whittaker, Joanne/B-3695-2010</t>
  </si>
  <si>
    <t>Halpin, Jacqueline A/0000-0002-4992-8681; Daczko, Nathan/0000-0002-3737-3818; Whittaker, Joanne/0000-0002-3170-3935</t>
  </si>
  <si>
    <t>Macquarie University [9200900498]; Australian Research Council [DP120102060, DE140100376]; Statoil [SS2011_V06]; Australian Research Council's Special Research Initiative for Antarctic Gateway Partnership [SR140300001]; DEST Systemic Infrastructure Grants; ARC LIEF; NCRIS/AuScope; Macquarie University; Australian Research Council [DE140100376] Funding Source: Australian Research Council</t>
  </si>
  <si>
    <t>Macquarie University; Australian Research Council(Australian Research Council); Statoil; Australian Research Council's Special Research Initiative for Antarctic Gateway Partnership(Australian Research Council); DEST Systemic Infrastructure Grants(Australian GovernmentDepartment of Industry, Innovation and Science); ARC LIEF(Australian Research Council); NCRIS/AuScope(Australian GovernmentDepartment of Industry, Innovation and Science); Macquarie University; Australian Research Council(Australian Research Council)</t>
  </si>
  <si>
    <t>This work was supported by the Chief Scientist (Simon Williams), crew and scientific party aboard voyage SS2011_V06 of Australia's Marine National Facility, R/V Southern Surveyor. This work began with the Honours research project of MEK. Macquarie University internal funding (9200900498) and Australian Research Council Discovery Project funding (DP120102060) to NRD provided financial support to conduct this research. JMW was supported by Australian Research Council funding (DE140100376) and sponsorship by Statoil, who also provided significant additional financial support for voyage SS2011_V06. This research was also supported under the Australian Research Council's Special Research Initiative for Antarctic Gateway Partnership (Project ID SR140300001). We are grateful to N. Pearson (CoE CCFS/GEMOC, Macquarie University) for help with the analytical work. The authors would like to thank Chris Kirkland and an anonymous reviewer for their careful and constructive reviews, and Alan Collins for editorial handling. The analytical data were obtained using instrumentation funded by DEST Systemic Infrastructure Grants, ARC LIEF, NCRIS/AuScope, industry partners and Macquarie University. This is contribution 1005 from the ARC Centre of Excellence for Core to Crust Fluid Systems (http://www.ccfs.mq.edu.au) and 1177 in the GEMOC Key Centre (http://www.gemoc.mq.edu.au).</t>
  </si>
  <si>
    <t>10.1016/j.gr.2017.08.002</t>
  </si>
  <si>
    <t>FO1EK</t>
  </si>
  <si>
    <t>WOS:000416499300009</t>
  </si>
  <si>
    <t>Fischer, AM; Pang, D; Kidd, IM; Moreno-Madriñán, MJ</t>
  </si>
  <si>
    <t>Fischer, Andrew M.; Pang, Daniel; Kidd, Ian M.; Moreno-Madrinan, Max J.</t>
  </si>
  <si>
    <t>Spatio-Temporal Variability in a Turbid and Dynamic Tidal Estuarine Environment (Tasmania, Australia): An Assessment of MODIS Band 1 Reflectance</t>
  </si>
  <si>
    <t>ISPRS INTERNATIONAL JOURNAL OF GEO-INFORMATION</t>
  </si>
  <si>
    <t>coastal; estuary; water quality; turbidity; tides; MODIS</t>
  </si>
  <si>
    <t>TOTAL SUSPENDED MATTER; TAMPA-BAY; OCEAN COLOR; SEDIMENT; RIVER; PERFORMANCE; SYSTEM; IMPACT; WATERS; MODEL</t>
  </si>
  <si>
    <t>Patterns of turbidity in estuarine environments are linked to hydrodynamic processes. However, the linkage between patterns and processes remains poorly resolved due to the scarcity of data needed to resolve fine scale highly dynamic processes in tidal estuaries. The application of remote sensing technology to monitor dynamic coastal areas such as estuaries offers important advantages in this regard, by providing synoptic maps of larger, constantly changing regions over consistent periods. In situ turbidity measurements were correlated against the Moderate Resolution Imaging Spectrometer Terra sensor 250 m surface reflectance product, in order to assess this product for examining the complex estuarine waters of the Tamar estuary (Australia). Satellite images were averaged to examine spatial, seasonal and annual patterns of turbidity. Relationships between in situ measurements of turbidity and reflectance is positively correlated and improves with increased tidal height, a decreased overpass-in situ gap, and one day after a rainfall event. Spatial and seasonal patterns that appear in seasonal and annual MODIS averages, highlighting the usefulness of satellite imagery for resource managers to manage sedimentation issues in a degraded estuary.</t>
  </si>
  <si>
    <t>[Fischer, Andrew M.; Pang, Daniel; Kidd, Ian M.] Univ Tasmania, Inst Marine &amp; Antarctic Studies, Launceston, Tas 7250, Australia; [Moreno-Madrinan, Max J.] Indiana Univ Purdue Univ, Fairbanks Sch Publ Hlth, Dept Environm Hlth Sci, Indianapolis, IN 46202 USA</t>
  </si>
  <si>
    <t>University of Tasmania; Indiana University System; Indiana University-Purdue University Indianapolis</t>
  </si>
  <si>
    <t>Moreno-Madriñán, MJ (corresponding author), Indiana Univ Purdue Univ, Fairbanks Sch Publ Hlth, Dept Environm Hlth Sci, Indianapolis, IN 46202 USA.</t>
  </si>
  <si>
    <t>andy.fischer@utas.edu.au; danielpang2020@yahoo.com; Ian.Kidd@utas.edu.au; mmorenom@iu.edu</t>
  </si>
  <si>
    <t>Moreno-Madrinan, Max/0000-0001-7154-0707; Fischer, Andrew/0000-0001-5284-6428</t>
  </si>
  <si>
    <t>2220-9964</t>
  </si>
  <si>
    <t>ISPRS INT J GEO-INF</t>
  </si>
  <si>
    <t>ISPRS Int. Geo-Inf.</t>
  </si>
  <si>
    <t>10.3390/ijgi6110320</t>
  </si>
  <si>
    <t>Computer Science, Information Systems; Geography, Physical; Remote Sensing</t>
  </si>
  <si>
    <t>Computer Science; Physical Geography; Remote Sensing</t>
  </si>
  <si>
    <t>FO3ZZ</t>
  </si>
  <si>
    <t>WOS:000416779300001</t>
  </si>
  <si>
    <t>Jalowitzki, T; Gervasoni, F; Conceiçao, RV; Orihashi, Y; Bertotto, GW; Sumino, H; Schilling, ME; Nagao, K; Morata, D; Sylvester, P</t>
  </si>
  <si>
    <t>Jalowitzki, Tiago; Gervasoni, Fernanda; Conceicao, Rommulo V.; Orihashi, Yuji; Bertotto, Gustavo W.; Sumino, Hirochika; Schilling, Manuel E.; Nagao, Keisuke; Morata, Diego; Sylvester, Paul</t>
  </si>
  <si>
    <t>Slab-derived components in the subcontinental lithospheric mantle beneath Chilean Patagonia: Geochemistry and Sr-Nd-Pb isotopes of mantle xenoliths and host basalt</t>
  </si>
  <si>
    <t>Coyhaique spinel-peridotites; Slab-derived metasomatism; HIMU-like host basalt; Andean back-arc; Chilean Patagonia</t>
  </si>
  <si>
    <t>K-AR AGES; SOUTHERNMOST SOUTH-AMERICA; AIKE VOLCANIC FIELD; LAGO BUENOS-AIRES; TRACE-ELEMENT; ANTARCTIC PENINSULA; PERIDOTITE XENOLITHS; ARGENTINE PATAGONIA; CONTINENTAL-CRUST; WINDOW MAGMATISM</t>
  </si>
  <si>
    <t>In subduction zones, ultramafic xenoliths hosted in alkaline basalts can yield significant information about the role of potential slab-derived components in the subcontinental lithospheric mantle (SCLM). Chemical and isotopic heterogeneities in such xenoliths are usually interpreted to reflect melt extraction followed by metasomatic re-enrichment. Here we report new whole-rock major, trace element and isotopic (Sr-Nd-Pb) data for a Proterozoic suite of 17 anhydrous spinel-lherzolites and Eocene (new K-Ar data) host alkaline basalt found near Coyhaique (similar to 46 degrees S), Aysen Region, Chile. These Patagonian nodules are located in a current back-arc position, similar to 100 km east of the present day volcanic arc and similar to 320 km from the Chile Trench. The mantle xenoliths consist of coarse- to medium-grained spinel-lherzolites with trace element compositions characteristic of a subduction zone setting, such as pronounced negative Nb, Ta and Ti anomalies coupled with significant enrichment of LILEs (e.g., U) and chalcophile elements (W, Pb and Sn). Most of them are characterized by flat to depleted light-rare earth element (LREE) patterns (Ce/Yb-N = 0.6-1.1) coupled with less radiogenic Sr-Pb (Sr-87/Sr-86 = 0.702422-0.703479; Pb-208/Pb-204 = 18.212-18.539) and more radiogenic Nd isotopic compositions (Nd-143/Nd-144 = 0.512994-0.513242), similar to the depleted mantle component (DMM or PREMA). In contrast, samples with slight LREE enrichment (Ce/YbN = 1.3-1.8) show more radiogenic Sr-Pb (87Sr/86Sr = 0.703791-0.704239; Pb-206/Pb-204 = 18.572-18.703) and less radiogenic Nd isotopic compositions (143Nd/144Nd = 0.512859-0.512934), similar to the EM-2 reservoir. These new geochemical and isotope data suggest that the Coyhaique spinel-lherzolites are derived from a heterogeneous SCLM resulting from mixing between a depleted mantle component and up to 10% of slab-derived components. The enriched component added to the SCLM represents variable extents of melts of both subducted Chile Trench sediments and modified oceanic crust throughout the initial stages of the Farallon-Aluk ridge collision during Paleocene to Eocene time. However, based on the tectonic evolution of southern South America, we cannot exclude the influence of long-lived subduction events beneath south Patagonia. Although we believe that the studied samples were brought to the surface in this geodynamic context, there is no evidence that ocean island basalt (OIB)-like melts related to the Farallon-Aluk asthenospheric slab window affected the peridotite composition. The host alkaline basalt is a single unit with a HIMU-like OIB signature characterized by marked positive Nb-Ta anomalies coupled with negative anomalies in highly incompatible and fluid-mobile elements (Rb, K, Pb, and Sr). The compositional similarity between the HIMU-like OIB mantle source and the host basalt is also evident from trace element ratios (Ba-Th-K-La-Zr)/Nb] as well as by the low Sr-87/Sr-86(i) (0.703039-0.703058) and relatively high Nd-143/Nd-144(i) (0.512880-0.512874) and Pb-206/Pb-204 (19.333-19.389) isotopic ratios. The low Pb-206/Pb-204 ratios compared to end-member HIMU lavas (e.g., Sta. Helena and the Cook-Austral Islands) suggest that this region was modified by processes associated with a prolonged period of subduction related to the Andean orogenesis and the recycling of several oceanic plates beneath the continent, following the Mesozoic breakup of Gondwana or an even older subduction-related event with young recycling ages (&lt;2 Ga). (C) 2017 Elsevier B.V. All rights reserved.</t>
  </si>
  <si>
    <t>[Jalowitzki, Tiago; Conceicao, Rommulo V.] Univ Fed Rio Grande do Sul, Inst Geociencias, Av Bento Goncalves 9500,Predio 43129, BR-91501970 Porto Alegre, RS, Brazil; [Gervasoni, Fernanda] UFG, Fac Ciencias &amp; Tecnol, Setor Conde dos Arcos, Rua Mucuri S-N, Aparecida De Goiania, Go, Brazil; [Orihashi, Yuji] Univ Tokyo, Earthquake Res Inst, Bunkyo Ku, Yayoi 1-1-1, Tokyo 1130032, Japan; [Bertotto, Gustavo W.] Univ Nacl La Pampa, CONICET, INCITAP, Uruguay 151, RA-6300 Santa Rosa, La Pampa, Argentina; [Sumino, Hirochika] Univ Tokyo, Grad Sch Arts &amp; Sci, Dept Basic Sci, Meguro Ku, 3-8-1 Komaba, Tokyo 1538902, Japan; [Schilling, Manuel E.] Univ Austral Chile, Fac Ciencias, Inst Ciencias Tierra, Valdivia 5090000, Region De Los R, Chile; [Nagao, Keisuke] KOPRI Korea Polar Res Inst, Div Polar Earth Syst Sci, 26 Songdomirae Ro, Incheon 21990, South Korea; [Morata, Diego] Univ Chile, Fac Ciencas Fis &amp; Matemat, Dept Geol, Plaza Ercilla 803, Santiago, Chile; [Morata, Diego] Fondap Conicyt, CEGA, Santiago, Chile; [Sylvester, Paul] Texas Tech Univ, Dept Geosci, 125 Sci Bldg, Lubbock, TX 79409 USA</t>
  </si>
  <si>
    <t>Universidade Federal do Rio Grande do Sul; Universidade Federal de Goias; University of Tokyo; Consejo Nacional de Investigaciones Cientificas y Tecnicas (CONICET); University of Tokyo; Universidad Austral de Chile; Korea Polar Research Institute (KOPRI); Universidad de Chile; Texas Tech University System; Texas Tech University</t>
  </si>
  <si>
    <t>Jalowitzki, T (corresponding author), Univ Fed Rio Grande do Sul, Inst Geociencias, Av Bento Goncalves 9500,Predio 43129, BR-91501970 Porto Alegre, RS, Brazil.</t>
  </si>
  <si>
    <t>tiago.jalowitzki@ufrgs.br</t>
  </si>
  <si>
    <t>Orihashi, Yuji/A-3352-2013; Sumino, Hirochika/G-4912-2014; Jalowitzki, Tiago/AAK-8760-2021; Sumino, Hirochika/AAH-2640-2019; Schilling, Manuel Enrique/D-2916-2015; Morata, Diego/G-4871-2016; Gervasoni, Fernanda/C-5947-2018; Vieira Conceicao, Rommulo/D-6030-2014</t>
  </si>
  <si>
    <t>Jalowitzki, Tiago/0000-0001-9857-7876; Schilling, Manuel Enrique/0000-0003-4930-8906; Morata, Diego/0000-0002-9751-2429; Gervasoni, Fernanda/0000-0002-9533-4008; Sumino, Hirochika/0000-0002-4689-6231; Vieira Conceicao, Rommulo/0000-0001-7934-7098; Bertotto, Gustavo/0000-0001-5139-6701</t>
  </si>
  <si>
    <t>JSPS KAKENHI [21403012, 15H02630]; National Council of Technological and Scientific Development - CNPq, Brazil; Earthquake Research Institute (ERI) cooperative research program, University of Tokyo; Grants-in-Aid for Scientific Research [15H02630] Funding Source: KAKEN</t>
  </si>
  <si>
    <t>JSPS KAKENHI(Ministry of Education, Culture, Sports, Science and Technology, Japan (MEXT)Japan Society for the Promotion of ScienceGrants-in-Aid for Scientific Research (KAKENHI)); National Council of Technological and Scientific Development - CNPq, Brazil(Conselho Nacional de Desenvolvimento Cientifico e Tecnologico (CNPQ)); Earthquake Research Institute (ERI) cooperative research program, University of Tokyo; Grants-in-Aid for Scientific Research(Ministry of Education, Culture, Sports, Science and Technology, Japan (MEXT)Japan Society for the Promotion of ScienceGrants-in-Aid for Scientific Research (KAKENHI))</t>
  </si>
  <si>
    <t>The National Council of Technological and Scientific Development - CNPq, Brazil, JSPS KAKENHI Grant Numbers 21403012 &amp; 15H02630 awarded to Y. O. and the Earthquake Research Institute (ERI) cooperative research program, University of Tokyo, supported this study. We are thankful to N. Hokanishi for help with the XRF analysis and M. Assis, A. Martins, G. Raupp, and L. Carniel for assistance with the isotopic procedures. The authors are also grateful to A. Chapman and T. Riley for their constructive comments and suggestions on earlier versions of the manuscript Finally, we thank A. Kerr for his comments and efficient editorial handling.</t>
  </si>
  <si>
    <t>10.1016/j.lithos.2017.09.008</t>
  </si>
  <si>
    <t>FN7GA</t>
  </si>
  <si>
    <t>WOS:000416185500012</t>
  </si>
  <si>
    <t>de Vargas, MVM; Minozzo, MM; Pereira, AB; Victoria, FD</t>
  </si>
  <si>
    <t>Magalhaes de Vargas, Maria Victoria; Minozzo, Monica Munareto; Pereira, Antonio Batista; Victoria, Filipe de Carvalho</t>
  </si>
  <si>
    <t>GROWTH AND DEVELOPMENT OF HALOPHYTE Funaria hygrometrica HEDW. (Funariaceae) UNDER SALT STRESS</t>
  </si>
  <si>
    <t>BIOSCIENCE JOURNAL</t>
  </si>
  <si>
    <t>Mosses; Salt stress; Axenic tissue culture; In vitro development</t>
  </si>
  <si>
    <t>PHYSCOMITRELLA-PATENS; SALINITY; RESPONSES; TOLERANCE; BRYOPHYTES; PLANTS; MOSS</t>
  </si>
  <si>
    <t>The ability of bryophytes to tolerate salt is determined by a number of biochemical routes, whereas the salt ends up driving the activation of adaptive responses to tolerate this adverse condition. Salinity is the main limiting environmental factor under plant development, and is caused by excess salt ions in the environment, mainly Na(+)and Cl. The optimal growth of plants in saline environment is obtained in concentrations of 50% of NaCl. Due to these findings, the importance of the study of the effect of salinity on the germination of plants, in this case in Funaria hygrometrica Hedw., is noticed.</t>
  </si>
  <si>
    <t>[Magalhaes de Vargas, Maria Victoria] Univ Fed Pampa, UNIPAMPA, Biotecnol, Sao Gabriel, RS, Brazil; [Minozzo, Monica Munareto] Univ Fed Pampa, UNIPAMPA, Programa Pos Grad Ciencias Biol, Sao Gabriel, RS, Brazil; [Pereira, Antonio Batista; Victoria, Filipe de Carvalho] Univ Fed Pampa, UNIPAMPA, Sao Gabriel, RS, Brazil</t>
  </si>
  <si>
    <t>Universidade Federal do Pampa; Universidade Federal do Pampa; Universidade Federal do Pampa</t>
  </si>
  <si>
    <t>de Vargas, MVM (corresponding author), Univ Fed Pampa, UNIPAMPA, Biotecnol, Sao Gabriel, RS, Brazil.</t>
  </si>
  <si>
    <t>mariavictoriamagalhaes@gmail.com</t>
  </si>
  <si>
    <t>Victoria, Filipe/F-6066-2013; Victoria, Filipe C/E-1890-2012; Pereira, Antonio/AAD-5703-2019; Pereira, Antonio B/I-8201-2014</t>
  </si>
  <si>
    <t>Victoria, Filipe/0000-0002-8580-1813; Pereira, Antonio B/0000-0003-0368-4594</t>
  </si>
  <si>
    <t>National Council for Research and Development (CNPq) [574018/2008-5]; Carlos Chagas Research Support Foundation of the State of Rio de Janeiro (FAPERJ) [E-16/170.023/2008]; Brazilian Ministry of Science, Technology and Innovation (MCTI); Inter-Ministry Commission for Sea Resources (CIRM); Brazilian Ministry of Environment (MMA)</t>
  </si>
  <si>
    <t>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Brazilian Ministry of Science, Technology and Innovation (MCTI); Inter-Ministry Commission for Sea Resources (CIRM); Brazilian Ministry of Environment (MMA)</t>
  </si>
  <si>
    <t>This work integrates the National Institute of Science and Technology Antarctic Environmental Research (INCT-APA) that receives scientific and financial support from the National Council for Research and Development (CNPq process: no 574018/2008-5) and Carlos Chagas Research Support Foundation of the State of Rio de Janeiro (FAPERJ no E-16/170.023/2008). The authors also acknowledge the support of the Brazilian Ministries of Science, Technology and Innovation (MCTI), of Environment (MMA) and Inter-Ministry Commission for Sea Resources (CIRM).</t>
  </si>
  <si>
    <t>UNIV FEDERAL UBERLANDIA</t>
  </si>
  <si>
    <t>UBERLANDIA</t>
  </si>
  <si>
    <t>AV PARA, 1720 CAMPUS UMUARAMA, UBERLANDIA, 38400-902, BRAZIL</t>
  </si>
  <si>
    <t>1981-3163</t>
  </si>
  <si>
    <t>BIOSCI J</t>
  </si>
  <si>
    <t>Biosci. J.</t>
  </si>
  <si>
    <t>NOV-DEC</t>
  </si>
  <si>
    <t>Agriculture, Multidisciplinary; Agronomy; Biology</t>
  </si>
  <si>
    <t>Agriculture; Life Sciences &amp; Biomedicine - Other Topics</t>
  </si>
  <si>
    <t>FN6ER</t>
  </si>
  <si>
    <t>WOS:000416106500025</t>
  </si>
  <si>
    <t>Puigcorbé, V; Roca-Martí, M; Masqué, P; Benitez-Nelson, C; van der Loeff, MR; Bracher, A; Moreau, S</t>
  </si>
  <si>
    <t>Puigcorbe, Viena; Roca-Marti, Montserrat; Masque, Pere; Benitez-Nelson, Claudia; van der Loeff, Michiel Rutgers; Bracher, Astrid; Moreau, Sebastien</t>
  </si>
  <si>
    <t>Latitudinal distributions of particulate carbon export across the North Western Atlantic Ocean</t>
  </si>
  <si>
    <t>GEOTRACES; Particulate organic carbon export; North Atlantic; Thorium; Satellite-derived export models</t>
  </si>
  <si>
    <t>ORGANIC-CARBON; PARTICLE EXPORT; PRIMARY PRODUCTIVITY; SARGASSO SEA; SATELLITE ALGORITHMS; BIOLOGICAL PUMP; TWILIGHT ZONE; SEDIMENT TRAP; REMOVAL RATES; WATER COLUMN</t>
  </si>
  <si>
    <t>Th-234-derived carbon export fluxes were measured in the Atlantic Ocean under the GEOTRACES framework to evaluate basin-scale export variability. Here, we present the results from the northern half of the GA02 transect, spanning from the equator to 64 degrees N. As a result of limited site-specific C/Th-234 ratio measurements, we further combined our data with previous work to develop a basin wide C/Th-234 ratio depth curve. While the magnitude of organic carbon fluxes varied depending on the C/Th-234 ratio used, latitudinal trends were similar, with sizeable and variable organic carbon export fluxes occurring at high latitudes and low to negligible fluxes occurring in oligotrophic waters. Our results agree with previous studies, except at the boundaries between domains, where fluxes were relatively enhanced. Three different models were used to obtain satellite-derived net primary production (NPP). In general, NPP estimates had similar trends along the transect, but there were significant differences in the absolute magnitude depending on the model used. Nevertheless, organic carbon export efficiencies were generally &lt; 25%, with the exception of a few stations located in the transition area between the riverine and the oligotrophic domains and between the oligotrophic and the temperate domains. Satellite-derived organic carbon export models from Dunne et al. (2005) (D05), Laws et al. (2011) (L11) and Henson et al. (2011) (H11) were also compared to our Th-234-derived carbon exports fluxes. D05 and L11 provided estimates closest to values obtained with the Th-234 approach (within a 3-fold difference), but with no clear trends. The H11 model, on the other hand, consistently provided lower export estimates. The large increase in export data in the Atlantic Ocean derived from the GEOTRACES Program, combined with satellite observations and modeling efforts continue to improve the estimates of carbon export in this ocean basin and therefore reduce uncertainty in the global carbon budget. However, our results also suggest that tuning export models and including biological parameters at a regional scale is necessary for improving satellite-modeling efforts and providing export estimates that are more representative of in situ observations.</t>
  </si>
  <si>
    <t>[Puigcorbe, Viena; Roca-Marti, Montserrat; Masque, Pere] Univ Autonoma Barcelona, Inst Ciencia &amp; Tecnol Ambientals, Bellaterra, Spain; [Puigcorbe, Viena; Roca-Marti, Montserrat; Masque, Pere] Univ Autonoma Barcelona, Dept Fis, Bellaterra, Spain; [Puigcorbe, Viena; Masque, Pere] Edith Cowan Univ, Sch Sci, Joondalup, WA, Australia; [Puigcorbe, Viena; Masque, Pere] Edith Cowan Univ, Ctr Marine Ecosyst Res, Joondalup, WA, Australia; [Masque, Pere] Univ Western Australia, Oceans Inst, 35 Stirling Highway, Crawley, WA, Australia; [Masque, Pere] Univ Western Australia, Sch Phys, 35 Stirling Highway, Crawley, WA, Australia; [Benitez-Nelson, Claudia] Univ South Carolina, Sch Earth Ocean &amp; Environm, Columbia, SC USA; [van der Loeff, Michiel Rutgers; Bracher, Astrid] Alfred Wegener Inst, Helmholtz Ctr Polar &amp; Marine Res, Bremerhaven, Germany; [Bracher, Astrid] Univ Bremen, Inst Environm Phys, Bremen, Germany; [Moreau, Sebastien] Univ Tasmania, Inst Marine &amp; Antartic Studies, Hobart, Tas, Australia</t>
  </si>
  <si>
    <t>Autonomous University of Barcelona; Autonomous University of Barcelona; Edith Cowan University; Edith Cowan University; University of Western Australia; University of Western Australia; University of South Carolina System; University of South Carolina Columbia; Helmholtz Association; Alfred Wegener Institute, Helmholtz Centre for Polar &amp; Marine Research; University of Bremen; University of Tasmania</t>
  </si>
  <si>
    <t>Puigcorbé, V (corresponding author), Edith Cowan Univ, Sch Sci, Joondalup, WA, Australia.;Puigcorbé, V (corresponding author), Edith Cowan Univ, Ctr Marine Ecosyst Res, Joondalup, WA, Australia.</t>
  </si>
  <si>
    <t>v.puigcorbelacueva@ecu.edu.au</t>
  </si>
  <si>
    <t>Bracher, Astrid/B-7805-2013; Martí, Montserrat Roca/AAD-2094-2022; Masque, Pere/B-7379-2008; Masque, Pere/AAC-9349-2022; Puigcorbé, Viena/I-9349-2016; Bracher, Astrid/I-2672-2013</t>
  </si>
  <si>
    <t>Martí, Montserrat Roca/0000-0002-4719-9358; Masque, Pere/0000-0002-1789-320X; Masque, Pere/0000-0002-1789-320X; Puigcorbé, Viena/0000-0001-5892-2305; Bracher, Astrid/0000-0003-3025-5517; Moreau, Sebastien/0000-0001-9446-812X</t>
  </si>
  <si>
    <t>Ministerio de Ciencia e Innovacion (Spain) [CTM2011-14027-E]; Generalitat de Catalunya to the research group MERS [2014 SGR-1365]; Spanish government [AP-2009-4733, AP2010-2510]; Australian Research Council's Special Research Initiative for Antarctic Gateway Partnership [SR140300001]</t>
  </si>
  <si>
    <t>Ministerio de Ciencia e Innovacion (Spain)(Spanish Government); Generalitat de Catalunya to the research group MERS; Spanish government(Spanish Government); Australian Research Council's Special Research Initiative for Antarctic Gateway Partnership(Australian Research Council)</t>
  </si>
  <si>
    <t>We are grateful to the crews of R/V Pelagia for their hospitality and help during the cruises 64PE319 and 64PE321, and the respective chief scientist, Loes Gerringa and Micha Rijkenberg, for their support and their good leadership. We further thank all the scientists on board for their cooperation and assistance during both cruises. We are particularly grateful to S. Kretschmer and O. Lechtenfeld for their help in providing ISP samples. We warmly thank J. van Ooijen and K. Bakker for the analyses of nutrients, as well as S. Ober, M. Laan, S. van Heuven, S. Asjes and L. Wuis for providing high quality CTD data and the help after the cruise by H. van Aken providing a first description of the hydrographic structure encountered during the GA02 cruises. We also wish to acknowledge M. Rijkenberg for providing the mixed layer depths and I. Stimac for the ICPMS analyses. The authors would like to thank the European Space Agency (ESA) and ACRI for GlobCOlour-OSS2015 demonstration product data, ESA for MERIS and NASA for SeaWiFS and MODIS data. Financial support for this project was provided by the Ministerio de Ciencia e Innovacion (CTM2011-14027-E, Spain) and the Generalitat de Catalunya to the research group MERS (2014 SGR-1365). V. Puigcorbe and M. Roca-Marti have been funded by PhD fellowship from the Spanish government (AP-2009-4733 and AP2010-2510, respectively). S. Moreau is a postdoctoral researcher with the F.R.S.-FNRS and is supported by the Australian Research Council's Special Research Initiative for Antarctic Gateway Partnership (Project ID SR140300001).</t>
  </si>
  <si>
    <t>10.1016/j.dsr.2017.08.016</t>
  </si>
  <si>
    <t>FN7IJ</t>
  </si>
  <si>
    <t>WOS:000416191600011</t>
  </si>
  <si>
    <t>Kusahara, K; Williams, GD; Massom, R; Reid, P; Hasumi, H</t>
  </si>
  <si>
    <t>Kusahara, Kazuya; Williams, Guy D.; Massom, Robert; Reid, Phillip; Hasumi, Hiroyasu</t>
  </si>
  <si>
    <t>Roles of wind stress and thermodynamic forcing in recent trends in Antarctic sea ice and Southern Ocean SST: An ocean-sea ice model study</t>
  </si>
  <si>
    <t>GLOBAL AND PLANETARY CHANGE</t>
  </si>
  <si>
    <t>CMIP5 MODELS; BELLINGSHAUSEN SEAS; CLIMATE-CHANGE; ANNULAR MODE; FRESH-WATER; VARIABILITY; SIMULATIONS; EVOLUTION; AMUNDSEN; IMPACTS</t>
  </si>
  <si>
    <t>In contrast to a strong decrease in Arctic sea ice extent, overall Antarctic sea ice extent has modestly increased since 1979. Several hypotheses have been proposed for the net Antarctic sea ice expansion, including atmosphere/ocean circulation and temperature changes, sea ice-atmospheric-ocean feedback, increased precipitation, and enhanced basal meltwater from ice shelves. Concomitant with this positive trend in Antarctic sea ice, sea surface temperatures (SSTs) over the Southern Ocean south of approximately 45 degrees S have cooled over this period. However, the mechanisms responsible for the Antarctic sea ice expansion and the SST cooling trend remain poorly defined. Here, we conduct comprehensive sensitivity experiments using a coupled ocean-sea ice model with a steady-state ice shelf component in order to investigate the main drivers of recent trends in Antarctic sea ice and SST over the Southern Ocean. The results suggest that Antarctic sea ice expansion is mostly explained by trends in the thermodynamic surface forcing, notably cooling and drying and a reduction in longwave radiation. Similarly, thermodynamic forcing is found to be the main driver of the zonal SST cooling trend. While apparently less influential on sea ice extent and SST, wind stress plays a key role in sea ice motion, thickening coastal sea ice, and thinning and decreasing the concentration of ice in mid-pack regions of the Amundsen-eastern Ross seas and 65-95 degrees E in winter-spring. Furthermore, the model suggests that ocean-ice shelf interaction does not significantly influence the observed trends in Antarctic sea ice coverage and Southern Ocean SST in recent decades.</t>
  </si>
  <si>
    <t>[Kusahara, Kazuya; Williams, Guy D.; Massom, Robert; Reid, Phillip] Antarctic Climate &amp; Ecosyst Cooperat Res Ctr, Hobart, Tas, Australia; [Williams, Guy D.] Univ Tasmania, Inst Marine &amp; Antarctic Studies, Hobart, Tas, Australia; [Massom, Robert] Australian Antarctic Div, Kingston, Tas, Australia; [Reid, Phillip] Australian Bur Meteorol, Hobart, Tas, Australia; [Hasumi, Hiroyasu] Univ Tokyo, Atmosphere &amp; Ocean Res Inst, Kashiwa, Chiba, Japan</t>
  </si>
  <si>
    <t>Antarctic Climate &amp; Ecosystems Cooperative Research Centre (ACE CRC); University of Tasmania; Australian Antarctic Division; Bureau of Meteorology - Australia; University of Tokyo</t>
  </si>
  <si>
    <t>Kusahara, K (corresponding author), Univ Tasmania, Antarctic Climate &amp; Ecosyst Cooperat Res Ctr, Private Bag 80, Hobart, Tas 7001, Australia.</t>
  </si>
  <si>
    <t>kazuya.kusahara@utas.edu.au</t>
  </si>
  <si>
    <t>Massom, Robert/0000-0003-1533-5084; Kusahara, Kazuya/0000-0003-4067-7959</t>
  </si>
  <si>
    <t>Australian Government's Cooperative Research Centre through ACE CRC; Australian Research Council's future fellowship program; Canon Foundation; JSPS KAKENHI [26247980]; Grants-in-Aid for Scientific Research [15H05825] Funding Source: KAKEN</t>
  </si>
  <si>
    <t>Australian Government's Cooperative Research Centre through ACE CRC; Australian Research Council's future fellowship program(Australian Research Council); Canon Foundation(Canon Foundation);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</si>
  <si>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supported by the Australian Government's Cooperative Research Centre through the ACE CRC, and contributes to AAS 4116 and WCRP CliC targeted activity Linkages between Cryosphere Elements. KK was supported by the Canon Foundation. GW was supported by the Australian Research Council's future fellowship program. HH was supported by JSPS KAKENHI grant number 26247980. We are grateful to the two anonymous reviewers for their careful reading and constructive comments on the manuscript.</t>
  </si>
  <si>
    <t>0921-8181</t>
  </si>
  <si>
    <t>1872-6364</t>
  </si>
  <si>
    <t>GLOBAL PLANET CHANGE</t>
  </si>
  <si>
    <t>Glob. Planet. Change</t>
  </si>
  <si>
    <t>10.1016/j.gloplacha.2017.09.012</t>
  </si>
  <si>
    <t>FN1SM</t>
  </si>
  <si>
    <t>WOS:000415771500009</t>
  </si>
  <si>
    <t>Mantegna, GA; White, CJ; Remenyi, TA; Corney, SP; Fox-Hughes, P</t>
  </si>
  <si>
    <t>Mantegna, Gabriel A.; White, Christopher J.; Remenyi, Tomas A.; Corney, Stuart P.; Fox-Hughes, Paul</t>
  </si>
  <si>
    <t>Simulating sub-daily Intensity-Frequency-Duration curves in Australia using a dynamical high-resolution regional climate model</t>
  </si>
  <si>
    <t>JOURNAL OF HYDROLOGY</t>
  </si>
  <si>
    <t>Sub-daily rainfall; Extremes; Intensity-Frequency-Duration; Depth-Duration-Frequency; Flood; RCM</t>
  </si>
  <si>
    <t>PRECIPITATION EXTREMES; RAINFALL EXTREMES; TEMPERATURE; PERFORMANCE; TASMANIA; INCREASE; TRENDS; IMPACT; RCM</t>
  </si>
  <si>
    <t>Climate change has the potential to significantly alter the characteristics of high-intensity, short-duration rainfall events, potentially leading to more severe and more frequent flash floods. Research has shown that future changes to such events could far exceed expectations based on temperature scaling and basic physical principles alone, but that computationally expensive convection-permitting models are required to accurately simulate sub-daily extreme rainfall events. It is therefore crucial to be able to model future changes to sub-daily duration extreme rainfall events as cost effectively as possible, especially in Australia where such information is scarce. In this study, we seek to determine what the shortest duration of extreme rainfall is that can be simulated by a less computationally expensive convection-parametrizing Regional Climate Model (RCM). We examine the ability of the Conformal Cubic Atmospheric Model (CCAM), a similar to 10 km high-resolution convection-parametrizing RCM, to reproduce sub-daily Intensity-Frequency-Duration (IFD) curves corresponding to two long-term observational stations in the Australian island state of Tasmania, and examine the future model projections. We find that CCAM simulates observed extreme rainfall statistics well for 3-h durations and longer, challenging the current understanding that convection-permitting models are needed to accurately model sub-daily extreme rainfall events. Further, future projections from CCAM for the end of this Century show that extreme sub-daily rainfall intensities could increase by more than 15% per degrees C, far exceeding the 7% scaling estimate predicted by the Clausius-Clapeyron vapour pressure relationship and the 5% scaling estimate recommended by the Australian Rainfall and Runoff guide. (C) 2017 Elsevier B.V. All rights reserved.</t>
  </si>
  <si>
    <t>[Mantegna, Gabriel A.] Johns Hopkins Univ, Dept Environm Hlth &amp; Engn, 3400 North Charles St, Baltimore, MD 21218 USA; [White, Christopher J.] Univ Tasmania, Sch Engn &amp; ICT, Private Bag 65, Hobart, Tas 7001, Australia; [White, Christopher J.; Remenyi, Tomas A.; Corney, Stuart P.; Fox-Hughes, Paul] Antarctic Climate &amp; Ecosyst Cooperat Res Ctr, Private Bag 80, Hobart, Tas 7001, Australia; [Fox-Hughes, Paul] Bur Meteorol, 5-111 Macquarie St, Hobart, Tas 7000, Australia</t>
  </si>
  <si>
    <t>Johns Hopkins University; University of Tasmania; Antarctic Climate &amp; Ecosystems Cooperative Research Centre (ACE CRC); Bureau of Meteorology - Australia</t>
  </si>
  <si>
    <t>White, CJ (corresponding author), Univ Tasmania, Sch Engn &amp; ICT, Private Bag 65, Hobart, Tas 7001, Australia.</t>
  </si>
  <si>
    <t>gabriel.mantegna@gmail.com; chris.white@utas.edu.au; tom.remenyi@utas.edu.au; stuart.corney@utas.edu.au; paul.fox-hughes@bom.gov.au</t>
  </si>
  <si>
    <t>Fox-Hughes, Paul D/G-8731-2013</t>
  </si>
  <si>
    <t>Mantegna, Gabriel/0000-0002-7707-0221; Remenyi, Tomas/0000-0002-4145-9323</t>
  </si>
  <si>
    <t>School for International Training Study Abroad program; University of Tasmania; Australian Government's Cooperative Research Centres Programme through Antarctic Climate and Ecosystems Cooperative Research Centre</t>
  </si>
  <si>
    <t>School for International Training Study Abroad program; University of Tasmania; Australian Government's Cooperative Research Centres Programme through Antarctic Climate and Ecosystems Cooperative Research Centre(Australian GovernmentDepartment of Industry, Innovation and ScienceCooperative Research Centres (CRC) Programme)</t>
  </si>
  <si>
    <t>This work was supported by the School for International Training Study Abroad program (GM), the University of Tasmania (CW) and the Australian Government's Cooperative Research Centres Programme through the Antarctic Climate and Ecosystems Cooperative Research Centre (TR, SC and CW). The funding sources had no involvements in the study design, the writing of the manuscript, or the decision to submit for publication.</t>
  </si>
  <si>
    <t>0022-1694</t>
  </si>
  <si>
    <t>1879-2707</t>
  </si>
  <si>
    <t>J HYDROL</t>
  </si>
  <si>
    <t>J. Hydrol.</t>
  </si>
  <si>
    <t>10.1016/j.jhydrol.2017.09.025</t>
  </si>
  <si>
    <t>Engineering, Civil; Geosciences, Multidisciplinary; Water Resources</t>
  </si>
  <si>
    <t>Engineering; Geology; Water Resources</t>
  </si>
  <si>
    <t>FN1RT</t>
  </si>
  <si>
    <t>WOS:000415769600020</t>
  </si>
  <si>
    <t>Böttger, U; Bulat, SA; Hanke, F; Pavlov, SG; Greiner-Bär, M; Hübers, HW</t>
  </si>
  <si>
    <t>Boettger, U.; Bulat, S. A.; Hanke, F.; Pavlov, S. G.; Greiner-Baer, M.; Huebers, H-W</t>
  </si>
  <si>
    <t>Identification of inorganic and organic inclusions in the subglacial antarctic Lake Vostok ice with Raman spectroscopy</t>
  </si>
  <si>
    <t>JOURNAL OF RAMAN SPECTROSCOPY</t>
  </si>
  <si>
    <t>Raman spectroscopy; inclusions in ice; subglacial Lake Vostok; ice; space missions to icy moons</t>
  </si>
  <si>
    <t>The investigation of inclusions entrapped into the accretion ice of the subglacial Lake Vostok in Antarctica gives an insight into former times of the Antarctic history. Terrestrial (of biological and geologically mineralogical origin) as well as extraterrestrial (meteorites) materials are hermetically embedded in the Vostok ice core and provide information about the conditions and events on Earth existed/occurred during last million years. Confocal Raman spectroscopy is well suited for the analysis of the inclusions without melting the ice and, therefore, preventing undesirable contamination with present-day material. It is a nondestructive method for material identification with depth resolving capability. It permits a locally precise statement about the chemical-mineralogical composition and allows the context information preservation of several side by side inclusions. Here, we present first results of our Raman measurements of the inclusion embedded in the Lake Vostok ice sample 5G-3 3607-4 (3607-m depth). The results obtained confirm that Raman spectroscopy is a very useful method for the exploration of inclusions entrapped into lattice of any natural ice. As Raman spectroscopy is already planned to be applied in upcoming missions in space research (ExoMars, Mars 2020, to the icy moons), a co-operation of the space science community with the Antarctica-Lake Vostok community is suggested to test the space instrumentation under the extreme environment of the Central East Antarctica and conditions of the subglacial Lake Vostok. Copyright (c) 2017 John Wiley &amp; Sons, Ltd.</t>
  </si>
  <si>
    <t>[Boettger, U.; Hanke, F.; Pavlov, S. G.; Greiner-Baer, M.; Huebers, H-W] German Aerosp Ctr DLR, Inst Opt Sensor Syst, Rutherforstr 2, D-12489 Berlin, Germany; [Bulat, S. A.] NRC KI, Petersburg Nucl Phys Inst, Gatchina 188300, Leningrad Regio, Russia; [Hanke, F.; Huebers, H-W] Humboldt Univ, D-12489 Berlin, Germany; [Bulat, S. A.] Ural Fed Univ, Inst Phys &amp; Technol, Ekaterinburg 620002, Russia</t>
  </si>
  <si>
    <t>Helmholtz Association; German Aerospace Centre (DLR); National Research Centre - Kurchatov Institute; Petersburg Nuclear Physics Institute; Humboldt University of Berlin; Ural Federal University</t>
  </si>
  <si>
    <t>Böttger, U (corresponding author), German Aerosp Ctr DLR, Inst Opt Sensor Syst, Rutherforstr 2, D-12489 Berlin, Germany.</t>
  </si>
  <si>
    <t>ute.boettger@dlr.de</t>
  </si>
  <si>
    <t>Bulat, Sergey/0000-0002-2574-882X</t>
  </si>
  <si>
    <t>LGGE (Grenoble, France); Russian Foundation for Basic Research (RFBR) [16-05-00845]; Act 211 Government of the Russian Federation [02.A03.21.0006]</t>
  </si>
  <si>
    <t>LGGE (Grenoble, France); Russian Foundation for Basic Research (RFBR)(Russian Foundation for Basic Research (RFBR)); Act 211 Government of the Russian Federation</t>
  </si>
  <si>
    <t>We would like to thank LGGE (Grenoble, France) for providing facilities to treat and process the ice sample as well as supporting the research. Furthermore, we thank for the fruitful co-operation with the Institute for Planetary Research at DLR Berlin.; The research (S. Bulat) was partially supported by the Russian Foundation for Basic Research (RFBR), Research Project No. 16-05-00845 as well as the Act 211 Government of the Russian Federation, Agreement No. 02.A03.21.0006.</t>
  </si>
  <si>
    <t>0377-0486</t>
  </si>
  <si>
    <t>1097-4555</t>
  </si>
  <si>
    <t>J RAMAN SPECTROSC</t>
  </si>
  <si>
    <t>J. Raman Spectrosc.</t>
  </si>
  <si>
    <t>10.1002/jrs.5142</t>
  </si>
  <si>
    <t>Spectroscopy</t>
  </si>
  <si>
    <t>FN7YU</t>
  </si>
  <si>
    <t>WOS:000416235800018</t>
  </si>
  <si>
    <t>Meyerink, SW; Ellwood, MJ; Maher, WA; Price, GD; Strzepek, RF</t>
  </si>
  <si>
    <t>Meyerink, Scott W.; Ellwood, Michael J.; Maher, William A.; Price, G. Dean; Strzepek, Robert F.</t>
  </si>
  <si>
    <t>Effects of iron limitation on silicon uptake kinetics and elemental stoichiometry in two Southern Ocean diatoms, Eucampia antarctica and Proboscia inermis, and the temperate diatom Thalassiosira pseudonana</t>
  </si>
  <si>
    <t>LIMNOLOGY AND OCEANOGRAPHY</t>
  </si>
  <si>
    <t>COMPARATIVE SEQUENCE-ANALYSIS; EQUATORIAL PACIFIC-OCEAN; SEAWATER PH MEASUREMENTS; LIGHT CO-LIMITATION; REGULATE SI UPTAKE; NAVICULA-PELLICULOSA; CELL-CYCLE; FRAGILARIOPSIS-KERGUELENSIS; ACID CONCENTRATIONS; MARINE DIATOMS</t>
  </si>
  <si>
    <t>We investigated the effects of iron (Fe) limitation on the elemental stoichiometry, silicic acid (Si(OH)(4)) uptake kinetics and cell morphology in two Southern Ocean diatoms Eucampia antarctica and Proboscia inermis and the temperate diatom Thalassiosira pseudonana. An increase in Fe-stress resulted in reductions in specific growth rate and decreases in cellular nitrogen (N) and carbon (C) content relative to cellular biogenic silica (BSi) in both Southern Ocean diatoms and a reduction in growth rate only for T. pseudonana. Both E. antarctica and P. inermis exhibited an increase in cell volume in response to Fe-limitation resulting in a decrease in the cell surface to volume ratio, while normalization of BSi content to cell surface area suggests these diatoms do not become more heavily silicified under Fe limitation. Kinetic Si(OH)(4) uptake experiments performed on all three diatom species show that Si(OH)(4) uptake is reduced under Fe-limited conditions. For Southern Ocean diatoms, this was manifested through a decrease in the maximum specific uptake rate of Si(OH)(4) (VSi-max), along with a decrease in the half-saturation constant for Si(OH)(4) uptake (K-Si) under Fe stress for E. antarctica. Our data also show that when normalized to cell surface area, VSi-max of the three diatoms species exhibited a linear relationship with cellular growth rate, and was independent of cell morphological variations. Our results suggest that the morphological adaptations of Southern Ocean diatoms in response to Fe-stress have the potential to affect phytoplankton community dynamics and Si(OH)(4):NO3 uptake and export ratios in Southern Ocean waters.</t>
  </si>
  <si>
    <t>[Meyerink, Scott W.; Ellwood, Michael J.; Strzepek, Robert F.] Australian Natl Univ, Res Sch Earth Sci, Canberra, ACT, Australia; [Maher, William A.] Univ Canberra, Inst Appl Ecol, Ecochem Lab, Bruce, ACT, Australia; [Price, G. Dean] Australian Natl Univ, Res Biol Sci, Canberra, ACT, Australia; [Strzepek, Robert F.] Univ Tasmania, Inst Marine &amp; Antarctic Studies, Hobart, Tas, Australia</t>
  </si>
  <si>
    <t>Australian National University; University of Canberra; Australian National University; University of Tasmania</t>
  </si>
  <si>
    <t>Ellwood, MJ (corresponding author), Australian Natl Univ, Res Sch Earth Sci, Canberra, ACT, Australia.</t>
  </si>
  <si>
    <t>michael.ellwood@anu.edu.au</t>
  </si>
  <si>
    <t>Ellwood, Michael J/G-7390-2011; Strzepek, Robert Francis/GQH-8703-2022; Price, Graeme D/C-9505-2009</t>
  </si>
  <si>
    <t>Strzepek, Robert Francis/0000-0002-6442-7121; Ellwood, Michael/0000-0003-4288-8530; Price, Graeme D/0000-0001-5906-4912</t>
  </si>
  <si>
    <t>Australian Research Council [DP130100679]; Australian Antarctic Division (AAD) [3120]</t>
  </si>
  <si>
    <t>Australian Research Council(Australian Research Council); Australian Antarctic Division (AAD)</t>
  </si>
  <si>
    <t>The quality of this manuscript was greatly improved by the comments and constructive criticism of three anonymous reviewers. The Australian Research Council (DP130100679) and the Australian Antarctic Division (AAD Project 3120) are acknowledged for financial support of this work.</t>
  </si>
  <si>
    <t>0024-3590</t>
  </si>
  <si>
    <t>1939-5590</t>
  </si>
  <si>
    <t>LIMNOL OCEANOGR</t>
  </si>
  <si>
    <t>Limnol. Oceanogr.</t>
  </si>
  <si>
    <t>10.1002/lno.10578</t>
  </si>
  <si>
    <t>Limnology; Oceanography</t>
  </si>
  <si>
    <t>FN3WB</t>
  </si>
  <si>
    <t>WOS:000415930800008</t>
  </si>
  <si>
    <t>Bercovici, SK; Huber, BA; DeJong, HB; Dunbar, RB; Hansell, DA</t>
  </si>
  <si>
    <t>Bercovici, Sarah K.; Huber, Bruce A.; DeJong, Hans B.; Dunbar, Robert B.; Hansell, Dennis A.</t>
  </si>
  <si>
    <t>Dissolved organic carbon in the Ross Sea: Deep enrichment and export</t>
  </si>
  <si>
    <t>CIRCULATION; SHELF; VARIABILITY; VENTILATION; ZONE</t>
  </si>
  <si>
    <t>Antarctica's continental shelves generate the densest waters in the world and are responsible for the formation of Antarctic Bottom Water (AABW), a water mass with the potential to sequester carbon in the deep ocean for millennia. One such form of marine carbon is dissolved organic carbon (DOC), the ocean's largest standing stock of reduced carbon. In this study, we quantify DOC enrichment in dense shelf waters (DSW) in the Ross Sea and assess the potential for DOC to be sequestered from Antarctic shelves into AABW. We find that Ross Sea DSW is enriched in DOC by approximate to 7 mol kg(-1) relative to the incoming source waters (initial conditions), which is primarily caused by vertical mixing. The total DOC excess in DSW suggests that 4.0 +/- 0.6 Tg DOC yr(-1) is exported off the shelf. However, this exported fraction does not appear to persist in newly formed AABW and is likely remineralized, sequestering this carbon as TCO2 in the deep ocean.</t>
  </si>
  <si>
    <t>[Bercovici, Sarah K.; Hansell, Dennis A.] Univ Miami, Dept Ocean Sci, Miami, FL 33146 USA; [Huber, Bruce A.] Columbia Univ, Lamont Doherty Geol Observ, Palisades, NY 10964 USA; [DeJong, Hans B.; Dunbar, Robert B.] Stanford Univ, Dept Earth Syst Sci, Stanford, CA 94305 USA</t>
  </si>
  <si>
    <t>University of Miami; Columbia University; Stanford University</t>
  </si>
  <si>
    <t>Bercovici, SK (corresponding author), Univ Miami, Dept Ocean Sci, Miami, FL 33146 USA.</t>
  </si>
  <si>
    <t>sbercovici@rsmas.miami.edu</t>
  </si>
  <si>
    <t>Hansell, Dennis A./AAC-1271-2019</t>
  </si>
  <si>
    <t>Hansell, Dennis A./0000-0001-9275-3445; Bercovici, Sarah/0000-0002-6877-9909; Dunbar, Robert/0000-0002-9728-5609; Huber, Bruce/0000-0001-6413-1614</t>
  </si>
  <si>
    <t>US National Science Foundation [OPP-1142117, ANT1143834]; Division Of Ocean Sciences; Directorate For Geosciences [1436748] Funding Source: National Science Foundation</t>
  </si>
  <si>
    <t>US National Science Foundation(National Science Foundation (NSF)); Division Of Ocean Sciences; Directorate For Geosciences(National Science Foundation (NSF)NSF - Directorate for Geosciences (GEO))</t>
  </si>
  <si>
    <t>We thank Meredith Jennings for help in collecting the DOC measurements and we thank Wenhao Chen and Lillian Custals for running the DOC measurements. We additionally thank the scientists, captains, and crews from the TRACERS and CLIVAR S04P cruises aboard the RV Nathaniel B. Palmer. This work was supported by the US National Science Foundation OPP-1142117 to D.A. Hansell and ANT1143834 to B.A. Huber. Hydrographic and biogeochemical data used in this manuscript were obtained from the US CLIVAR Repeat Hydrography long line datasets (http://cdiac.ornl.gov/oceans/RepeatSections/) and the TRACERS datasets (http://www.bco-dmo.org/deployment/547873).</t>
  </si>
  <si>
    <t>10.1002/lno.10592</t>
  </si>
  <si>
    <t>WOS:000415930800017</t>
  </si>
  <si>
    <t>Pandey, DK; Anitha, G; Prerna, R; Pandey, A</t>
  </si>
  <si>
    <t>Pandey, Dhananjai K.; Anitha, Goli; Prerna, Ramesh; Pandey, Anju</t>
  </si>
  <si>
    <t>Late Cenozoic seismic stratigraphy of the Andaman Forearc Basin, Indian Ocean</t>
  </si>
  <si>
    <t>PETROLEUM SCIENCE</t>
  </si>
  <si>
    <t>Andaman Forearc Basin; Neogene; Uplift; Invisible Bank; Outerarc; Stratigraphy</t>
  </si>
  <si>
    <t>OBLIQUE PLATE CONVERGENCE; NORTHERN SUMATRA; SUBDUCTION ZONE; TECTONIC EVOLUTION; NORTHWEST SUMATRA; REFLECTION DATA; SOUTHEAST-ASIA; ISLAND ARCS; INDONESIA; RUPTURE</t>
  </si>
  <si>
    <t>Interpretation of new multichannel seismic reflection data from the Andaman Forearc Basin (AFB) in the northern Indian Ocean is presented here. The high-quality multichannel seismic data from the Andaman Forearc region enable us to examine the seismic characters and to demarcate seismic sequences bounded by distinct unconformities. Ages of marked seismic horizons have been calibrated with available litholog data from nearby industry boreholes. Seismic interpretation of new data shows that the AFB is filled with similar to 4.5-s-two way travel time (TWT) thick Neogene to Recent sediments. The entire basin assemblage exhibits two distinct major sequences pertaining to the Neogene and Quaternary times. A large part of the basin is filled with intermittent mass transport deposits (MTD). We infer that the episodic uplift of the Invisible Bank, protuberance of the outerarc and regular deformation through reactivation of preexisting normal faults since the Pleistocene could be attributed as causal mechanisms for the MTDs. Strong bottom simulating reflectors are identified in the Late Miocene and younger sediments of the outerarc and AFB at a depth of similar to 0.6 s TWT and correspond to the presence of gas hydrates in this region. Our interpretations have significant implications for geodynamic as well as resource exploration in the AFB.</t>
  </si>
  <si>
    <t>[Pandey, Dhananjai K.; Anitha, Goli; Prerna, Ramesh; Pandey, Anju] ESSO Natl Ctr Antarctic &amp; Ocean Res, Vasco Da Gama 403804, Goa, India</t>
  </si>
  <si>
    <t>Pandey, DK (corresponding author), ESSO Natl Ctr Antarctic &amp; Ocean Res, Vasco Da Gama 403804, Goa, India.</t>
  </si>
  <si>
    <t>Pandey, Dhananjai/0000-0001-6899-8995; Pandey, Anju/0009-0004-7299-3512; Ramesh, Prerna/0000-0001-6894-3951</t>
  </si>
  <si>
    <t>1672-5107</t>
  </si>
  <si>
    <t>1995-8226</t>
  </si>
  <si>
    <t>PETROL SCI</t>
  </si>
  <si>
    <t>Pet. Sci.</t>
  </si>
  <si>
    <t>10.1007/s12182-017-0197-7</t>
  </si>
  <si>
    <t>Energy &amp; Fuels; Engineering, Petroleum</t>
  </si>
  <si>
    <t>FN1DE</t>
  </si>
  <si>
    <t>WOS:000415724500002</t>
  </si>
  <si>
    <t>Blagoveshchensky, DV; Maltseva, OA; Anishin, MM; Rogov, DD</t>
  </si>
  <si>
    <t>Blagoveshchensky, D. V.; Maltseva, O. A.; Anishin, M. M.; Rogov, D. D.</t>
  </si>
  <si>
    <t>Sporadic E S Layers at High Latitudes During a Magnetic Storm of March 17, 2015 According to the Vertical and Oblique Ionospheric Sounding Data</t>
  </si>
  <si>
    <t>RADIOPHYSICS AND QUANTUM ELECTRONICS</t>
  </si>
  <si>
    <t>HF PROPAGATION</t>
  </si>
  <si>
    <t>We consider the behavior of the parameters of the ionospheric E (s) layers according to the vertical sounding at the Sodankyla observatory and oblique sounding at the Lovozero (Murmansk region)-Gor'kovskaya station (Leningrad region) path during a superstorm of March 17, 2015. Temporal and spatial behavior of these parameters is compared. It was found that the storm significantly distorted the normal course of variations of the sporadic E (s) layer characteristics. Specific behavior of the layers during a storm at points separated by about 300 km was detected. With the help of ray tracing calculations using the IRI model, oblique sounding ionograms were constructed for the radio path analyzed. Primary attention is given to the maximum usable frequency of the F (2) layer-MUF-F (2). Additionally, for the disturbed conditions where there is only a high-power E (s) layer on the experimental ionograms, the values of MUF-E (s) and the ratio K =MUF-E (s)/f (o) E (s) for various cutoff frequencies f (o) E (s) of the E (s) layer and its altitudes are calculated within the framework of the well-known approximations. Calculations for the case of weak disturbance and semitransparent E (s) layers are carried out with the IRI model adapted to the current diagnostics parameters. It was found that the calculated and experimental values of MUF-F (2) are close to each other or coincide, while this cannot be said about MUF-E (s). The calculated and experimental values of MUF-E (s) can be matched in the model of mirror reflection from a flat layer for intense layers and the model of the E layer for thick E (s) layers of low intensity.</t>
  </si>
  <si>
    <t>[Blagoveshchensky, D. V.] St Petersburg State Univ Aerosp Instrumentat, St Petersburg, Russia; [Maltseva, O. A.; Anishin, M. M.] Southern Fed Univ, Rostov Na Donu, Russia; [Rogov, D. D.] Arctic &amp; Antarctic Res Inst, St Petersburg, Russia</t>
  </si>
  <si>
    <t>Saint Petersburg State University of Aerospace Instrumentation; Southern Federal University; Arctic &amp; Antarctic Research Institute</t>
  </si>
  <si>
    <t>Maltseva, OA (corresponding author), Southern Fed Univ, Rostov Na Donu, Russia.</t>
  </si>
  <si>
    <t>mal@ip.rsu.ru</t>
  </si>
  <si>
    <t>Rogov, Denis/AAH-2763-2020</t>
  </si>
  <si>
    <t>Russian Foundation for Basic Research [15-05-000856]; Ministry of Education of the Russian Federation [3.9696.2017/8.9]</t>
  </si>
  <si>
    <t>Russian Foundation for Basic Research(Russian Foundation for Basic Research (RFBR)Spanish Government); Ministry of Education of the Russian Federation(Ministry of Education and Science, Russian Federation)</t>
  </si>
  <si>
    <t>This work was supported by the Russian Foundation for Basic Research (project No. 15-05-000856). The work of O. A. Mal'tseva was supported within the framework of State task No. 3.9696.2017/8.9 of the Ministry of Education of the Russian Federation.</t>
  </si>
  <si>
    <t>0033-8443</t>
  </si>
  <si>
    <t>1573-9120</t>
  </si>
  <si>
    <t>RADIOPHYS QUANT EL+</t>
  </si>
  <si>
    <t>Radiophys. Quantum Electron.</t>
  </si>
  <si>
    <t>10.1007/s11141-017-9814-y</t>
  </si>
  <si>
    <t>Engineering, Electrical &amp; Electronic; Physics, Applied; Physics, Fluids &amp; Plasmas</t>
  </si>
  <si>
    <t>Engineering; Physics</t>
  </si>
  <si>
    <t>FN6WE</t>
  </si>
  <si>
    <t>WOS:000416156500003</t>
  </si>
  <si>
    <t>Mackey, TJ; Sumner, DY; Hawes, I; Jungblut, AD</t>
  </si>
  <si>
    <t>Mackey, Tyler J.; Sumner, Dawn Y.; Hawes, Ian; Jungblut, Anne D.</t>
  </si>
  <si>
    <t>Morphological signatures of microbial activity across sediment and light microenvironments of Lake Vanda, Antarctica</t>
  </si>
  <si>
    <t>SEDIMENTARY GEOLOGY</t>
  </si>
  <si>
    <t>Microbial mat; Photosynthesis; Microbialite; Antarctica</t>
  </si>
  <si>
    <t>MCMURDO DRY VALLEYS; FILAMENTOUS CYANOBACTERIA; COLUMNAR STROMATOLITES; ENVIRONMENTAL-CHANGE; GROWTH; MATS; MORPHOGENESIS; IRRADIANCE; DIVERSITY; JOYCE</t>
  </si>
  <si>
    <t>Cyanobacteria-dominated microbial mats in Lake Vanda grow with pinnacles and ridges separated by prostrate mat. Rocks protrude over microbial mats on the lake bottom to create localized, dm-scale gradients in sedimentation and irradiance. The effects of sedimentation on pinnacle and ridge growth were isolated from photosynthetic activity by contrasting growth across microenvironmental gradients. Sedimentation rate was measured as the mass of sand and mud sized sediment in mat that accumulated over 11 years, and the incident.light was modeled near and under rocks by reconstructing topography using Structure from Motion techniques. Morphologically diverse pinnacles and ridges were documented in both exposed and sheltered mat microenvironments, in addition to growing downward from the underside of overhanging rocks. Mat that grew with &gt;40% irradiance under overhangs did not have consistent differences in pinnacle density or ridge abundance as a function of sedimentation rates or irradiance when compared to exposed mat. However, their morphology did change significantly with changes in the direction of incident irradiance. Where irradiance was &lt;40% ambient or light intersected the mat at very low angles, few pinnacles were present and ridges were preferentially aligned parallel to incident light direction. These observations indicate that pinnacle nucleation and spacing were not strongly influenced by sedimentation but pinnacle and ridge morphology varied in response to directional irradiance. (C) 2017 Elsevier B.V. All rights reserved.</t>
  </si>
  <si>
    <t>[Mackey, Tyler J.; Sumner, Dawn Y.] Univ Calif Davis, Dept Earth &amp; Planetary Sci, 1 Shields Ave, Davis, CA 95616 USA; [Hawes, Ian] Univ Canterbury, Gateway Antarctica, Christchurch 8041, New Zealand; [Jungblut, Anne D.] Nat Hist Museum, Dept Life Sci, Cromwell Rd, London SW7 5BD, England; [Hawes, Ian] Univ Waikato, Coastal Marine Field Stn, Sulphur Point, Tauranga, New Zealand</t>
  </si>
  <si>
    <t>University of California System; University of California Davis; University of Canterbury; Natural History Museum London; University of Waikato</t>
  </si>
  <si>
    <t>Mackey, TJ (corresponding author), MIT, Dept Earth Atmospher &amp; Planetary Sci, 77 Massachusetts Ave,Bldg 54-1025, Cambridge, MA 02139 USA.</t>
  </si>
  <si>
    <t>; Sumner, Dawn/E-8744-2011</t>
  </si>
  <si>
    <t>Mackey, Tyler/0000-0001-6377-3797; Sumner, Dawn/0000-0002-7343-2061; Hawes, Ian/0000-0003-2471-6903</t>
  </si>
  <si>
    <t>New Zealand Foundation for Research, Science and Technology [CO1X0306]; NASA Exobiology Program [NNX13A160G, NNX08AO19G]; United States Antarctic Program [G-441]; Antarctica New Zealand [K-081]; NASA [97030, NNX08AO19G] Funding Source: Federal RePORTER</t>
  </si>
  <si>
    <t>New Zealand Foundation for Research, Science and Technology(New Zealand Foundation for Research, Science and Technology); NASA Exobiology Program(National Aeronautics &amp; Space Administration (NASA)); United States Antarctic Program; Antarctica New Zealand; NASA(National Aeronautics &amp; Space Administration (NASA))</t>
  </si>
  <si>
    <t>This project was supported by funding from the New Zealand Foundation for Research, Science and Technology (grant number CO1X0306) and the NASA Exobiology Program (grant numbers NNX13A160G and NNX08AO19G). Field support was provided by both Antarctica New Zealand through project K-081 and the United States Antarctic Program through project G-441. Field teams of both K-081 and G-441 further supported this project through diving operations. We thank the reviewer Anthony Bouton for his comments that improved the manuscript.</t>
  </si>
  <si>
    <t>0037-0738</t>
  </si>
  <si>
    <t>1879-0968</t>
  </si>
  <si>
    <t>SEDIMENT GEOL</t>
  </si>
  <si>
    <t>Sediment. Geol.</t>
  </si>
  <si>
    <t>10.1016/j.sedgeo.2017.09.013</t>
  </si>
  <si>
    <t>FN7FW</t>
  </si>
  <si>
    <t>WOS:000416185100005</t>
  </si>
  <si>
    <t>Minzoni, RT; Majewski, W; Anderson, JB; Yokoyama, Y; Fernandez, R; Jakobsson, M</t>
  </si>
  <si>
    <t>Minzoni, Rebecca Totten; Majewski, Wojciech; Anderson, John B.; Yokoyama, Yusuke; Fernandez, Rodrigo; Jakobsson, Martin</t>
  </si>
  <si>
    <t>Oceanographic influences on the stability of the Cosgrove Ice Shelf, Antarctica</t>
  </si>
  <si>
    <t>HOLOCENE</t>
  </si>
  <si>
    <t>Amundsen Sea; Circumpolar Deep Water; diatoms; foraminifera; Pine Island Bay</t>
  </si>
  <si>
    <t>AMUNDSEN SEA EMBAYMENT; PINE ISLAND GLACIER; RADIOCARBON AGE CALIBRATION; WEST ANTARCTICA; SOUTHERN-OCEAN; ROSS SEA; PHYTOPLANKTON BLOOMS; CONTINENTAL-SHELF; HOLOCENE CLIMATE; CAL BP</t>
  </si>
  <si>
    <t>Ferrero Bay, located in eastern Pine Island Bay (PIB) of the Amundsen Sea Embayment, is one of the largest and southernmost fjords yet studied in Antarctica. High-resolution multibeam swath bathymetric data, chirp sonar sub-bottom profiles, and three Kasten cores were collected in Ferrero Bay during the IB Oden Southern Ocean 2009-2010 cruise (OSO0910). Core KC-15 from the inner bay yielded two carbonate ages providing a minimum age for ice sheet recession from this sector of PIB by similar to 11 cal. kyr BP. In total, seven additional acid insoluble organic (AIO) fraction radiocarbon ages provide a linear age model with an R-2 of 0.99. Variations in magnetic susceptibility, grain size, total organic carbon (TOC) and nitrogen, diatom abundance, and foraminiferal assemblage and abundance are used to interpret glacial history and paleoceanographic conditions. Grounding line retreat was characterized by advection of planktic foraminifera beneath an ice shelf that may have extended across the middle continental shelf. Following initial deglaciation, the Cosgrove Ice Shelf covered Ferrero Bay, and productivity was virtually absent during the mid-Holocene, while benthic foraminifera indicate periodic incursion of warm Circumpolar Deep Water. The ice shelf persisted until 2.3 cal. kyr BP, when TOC and diatom abundance increased as the bay opened and coastal areas deglaciated. Abundant diatoms demonstrate open marine conditions and seasonal sea ice during the recent open water phase, while high benthic foraminiferal abundance indicates active benthos. The retreat of the Cosgrove Ice Shelf was out of phase with Antarctic Peninsula ice shelves and ice-core proxy temperatures, implying that it did not respond to Holocene climate events but rather to the influence of Circumpolar Deep Water and possibly to internal glacial dynamics.</t>
  </si>
  <si>
    <t>[Minzoni, Rebecca Totten] Univ Alabama, Dept Geol Sci, Tuscaloosa, AL 35406 USA; [Majewski, Wojciech] Polish Acad Sci, Inst Paleobiol, Walowa, Poland; [Anderson, John B.] Rice Univ, Dept Earth Sci, Houston, TX 77251 USA; [Yokoyama, Yusuke] Univ Tokyo, Atmosphere &amp; Ocean Res Inst, Tokyo, Japan; [Fernandez, Rodrigo] Univ Texas Austin, Inst Geophys, Jackson Sch Geosci, Austin, TX 78712 USA; [Jakobsson, Martin] Stockholm Univ, Dept Geol Sci, Stockholm, Sweden</t>
  </si>
  <si>
    <t>University of Alabama System; University of Alabama Tuscaloosa; Polish Academy of Sciences; Institute of Paleobiology of the Polish Academy of Sciences; Rice University; University of Tokyo; University of Texas System; University of Texas Austin; Stockholm University</t>
  </si>
  <si>
    <t>Minzoni, RT (corresponding author), Univ Alabama, Dept Geol Sci, Tuscaloosa, AL 35406 USA.</t>
  </si>
  <si>
    <t>rminzoni@ua.edu</t>
  </si>
  <si>
    <t>Jakobsson, Martin/F-6214-2010; Fernandez, Rodrigo/GRF-1350-2022; Jakobsson, Martin/JAN-6828-2023; Fernandez, Rodrigo/ABC-8361-2020; Majewski, Wojciech/D-9255-2017</t>
  </si>
  <si>
    <t>Jakobsson, Martin/0000-0002-9033-3559; Totten, Rebecca L./0000-0002-8227-2848; Majewski, Wojciech/0000-0002-5407-1782; Fernandez, Rodrigo/0000-0003-4226-6010</t>
  </si>
  <si>
    <t>US National Science Foundation Office of Polar Programs [NSF/ARRA ANT-0837925]; Grants-in-Aid for Scientific Research [17H01168, 15KK0151] Funding Source: KAKEN</t>
  </si>
  <si>
    <t>US National Science Foundation Office of Polar Programs(National Science Foundation (NSF)); Grants-in-Aid for Scientific Research(Ministry of Education, Culture, Sports, Science and Technology, Japan (MEXT)Japan Society for the Promotion of ScienceGrants-in-Aid for Scientific Research (KAKENHI))</t>
  </si>
  <si>
    <t>This research was funded by the US National Science Foundation Office of Polar Programs NSF/ARRA ANT-0837925 to J.B. Anderson. The OSO0910 expedition was a collaboration between the National Science Foundation, the Swedish Polar Research Secretariat, and Swedish Research Council.</t>
  </si>
  <si>
    <t>0959-6836</t>
  </si>
  <si>
    <t>1477-0911</t>
  </si>
  <si>
    <t>Holocene</t>
  </si>
  <si>
    <t>10.1177/0959683617702226</t>
  </si>
  <si>
    <t>FM4PH</t>
  </si>
  <si>
    <t>WOS:000415000900003</t>
  </si>
  <si>
    <t>Diakin, A; Wakeman, KC; Valigurová, A</t>
  </si>
  <si>
    <t>Diakin, A.; Wakeman, K. C.; Valigurova, A.</t>
  </si>
  <si>
    <t>Description of Ganymedes yurii sp. n. (Ganymedidae), a New Gregarine Species from the Antarctic Amphipod Gondogeneia sp. (Crustacea) (vol 64, pg 56, 2017)</t>
  </si>
  <si>
    <t>JOURNAL OF EUKARYOTIC MICROBIOLOGY</t>
  </si>
  <si>
    <t>Wakeman, Kevin/AEE-6059-2022; Valigurová, Andrea/B-4522-2012</t>
  </si>
  <si>
    <t>Valigurová, Andrea/0000-0001-8313-1580</t>
  </si>
  <si>
    <t>1066-5234</t>
  </si>
  <si>
    <t>1550-7408</t>
  </si>
  <si>
    <t>J EUKARYOT MICROBIOL</t>
  </si>
  <si>
    <t>J. Eukaryot. Microbiol.</t>
  </si>
  <si>
    <t>10.1111/jeu.12433</t>
  </si>
  <si>
    <t>FM6QG</t>
  </si>
  <si>
    <t>WOS:000415179600019</t>
  </si>
  <si>
    <t>Simagin, NV; Murdmaa, IO; Seitkalieva, EA; Borisov, DG; Dorokhova, EV; Emel'yanov, EM; Levchenko, OV</t>
  </si>
  <si>
    <t>Simagin, N. V.; Murdmaa, I. O.; Seitkalieva, E. A.; Borisov, D. G.; Dorokhova, E. V.; Emel'yanov, E. M.; Levchenko, O. V.</t>
  </si>
  <si>
    <t>Sedimentary Infill in the Equatorial Mid-Oceanic Canyon, Atlantic Ocean</t>
  </si>
  <si>
    <t>LITHOLOGY AND MINERAL RESOURCES</t>
  </si>
  <si>
    <t>CHANNEL</t>
  </si>
  <si>
    <t>Facts confirming the hypothesis of contourite sediment infill of the Equatorial Mid-Ocean Canyon (EMOC) are presented. We examined two cores recovered in Cruises 37 and 43 of the R/V Akademik Ioffe (2012, 2013). The cores recovered upper Quaternary miopelagic clays on the EMOC floor (AI-3149) and the adjacent abyssal plain (AI-2620). The study of these cores unraveled significant differences in their composition. In contrast to the lithologically homogeneous Core AI-2620, Core AI-3149 includes interlayers enriched in the biogenic CaCO3, terrigenous silt, and authigenic ferromanganese micronodules. These peculiarities are attributed to activity of the Antarctic Bottom Water (AABW) contour currents along the EMOC.</t>
  </si>
  <si>
    <t>[Simagin, N. V.; Murdmaa, I. O.; Seitkalieva, E. A.; Borisov, D. G.; Levchenko, O. V.] Russian Acad Sci, Shirshov Inst Oceanol, Nakhimovskii Pr 36, Moscow 117997, Russia; [Simagin, N. V.] Moscow MV Lomonosov State Univ, Fac Geol, Leninskie Gory 1, Moscow 119991, Russia; [Dorokhova, E. V.; Emel'yanov, E. M.] Russian Acad Sci, Shirshov Inst Oceanol, Atlantic Branch, Pr Mira 1-3, Kaliningrad 236022, Russia; [Dorokhova, E. V.] Balt State Univ, Ul Nevskogo 14, Kaliningrad 236016, Russia</t>
  </si>
  <si>
    <t>Russian Academy of Sciences; Shirshov Institute of Oceanology; Lomonosov Moscow State University; Russian Academy of Sciences; Shirshov Institute of Oceanology</t>
  </si>
  <si>
    <t>Simagin, NV (corresponding author), Russian Acad Sci, Shirshov Inst Oceanol, Nakhimovskii Pr 36, Moscow 117997, Russia.;Simagin, NV (corresponding author), Moscow MV Lomonosov State Univ, Fac Geol, Leninskie Gory 1, Moscow 119991, Russia.</t>
  </si>
  <si>
    <t>morskoylitolog@gmail.com</t>
  </si>
  <si>
    <t>Dorokhova, Evgenia V/L-3075-2016; Murdmaa, Ivar/T-3538-2017; Borisov, Dmitrii/Y-9194-2019</t>
  </si>
  <si>
    <t>Borisov, Dmitrii/0000-0001-8109-6603; Dorokhova, Evgenia/0000-0002-0079-7342</t>
  </si>
  <si>
    <t>P.P. Shirshov Insitute of Oceanology RAS [0149-2014-0029]; Russian Foundation for Basic Research [14-05-00744]; Presidium of the Russian Academy of Sciences</t>
  </si>
  <si>
    <t>P.P. Shirshov Insitute of Oceanology RAS; Russian Foundation for Basic Research(Russian Foundation for Basic Research (RFBR)Spanish Government); Presidium of the Russian Academy of Sciences(Russian Academy of Sciences)</t>
  </si>
  <si>
    <t>This paper is a contribution to the project 0149-2014-0029 funded by P.P. Shirshov Insitute of Oceanology RAS and was supported by the Russian Foundation for Basic Research (project no. 14-05-00744). The field work was supported by the Presidium of the Russian Academy of Sciences (program I3P).</t>
  </si>
  <si>
    <t>0024-4902</t>
  </si>
  <si>
    <t>1608-3229</t>
  </si>
  <si>
    <t>LITHOL MINER RESOUR+</t>
  </si>
  <si>
    <t>Lithol. Miner. Resour.</t>
  </si>
  <si>
    <t>10.1134/S0024490217060104</t>
  </si>
  <si>
    <t>Geochemistry &amp; Geophysics; Geology; Mineralogy</t>
  </si>
  <si>
    <t>FM7BT</t>
  </si>
  <si>
    <t>WOS:000415224500001</t>
  </si>
  <si>
    <t>Stone, P</t>
  </si>
  <si>
    <t>Stone, Philip</t>
  </si>
  <si>
    <t>The geological work of the Scottish National Antarctic Expedition, 1902-04</t>
  </si>
  <si>
    <t>SCOTTISH JOURNAL OF GEOLOGY</t>
  </si>
  <si>
    <t>SOUTH ORKNEY ISLANDS; EVOLUTION</t>
  </si>
  <si>
    <t>The Scottish National Antarctic Expedition (1902-04) made the first topographical survey and geological assessment of Laurie Island, one of the South Orkney Islands. The expedition's surgeon and geologist, J. H. H. Pirie, provided competent geological descriptions but these were largely overshadowed by his misidentification of an obscure plant fossil as a graptolite. Erroneous confirmation by eminent British palaeontologists led to Triassic rocks being regarded as Lower Palaeozoic for fifty years. The mistake arose from the familiarity of all concerned with the geology of the Scottish Southern Uplands: they were led astray by the preconception that, as in Scotland, deformed 'greywacke-shale' successions would contain Lower Palaeozoic fossils. Other, more successful aspects of the expedition's geological investigations are less well known. Fossils acquired in the Falkland Islands expanded that archipelago's poorly known Devonian brachiopod fauna, but arguably the most important palaeontological discovery lay unrecognized for ten years. A limestone block dredged from the bed of the Weddell Sea contained Early Cambrian archaeocyath fossils which, had they been promptly identified, would have been the first record of this important Antarctic palaeofauna. Instead, the Weddell Sea material complemented fossils recovered on the opposite, Ross Sea side of the Antarctic continent during Shackleton's British Antarctic Expedition (1907-09).</t>
  </si>
  <si>
    <t>[Stone, Philip] British Geol Survey, Lyell Ctr, Edinburgh EH14 4AP, Midlothian, Scotland</t>
  </si>
  <si>
    <t>UK Research &amp; Innovation (UKRI); Natural Environment Research Council (NERC); NERC British Geological Survey</t>
  </si>
  <si>
    <t>Stone, P (corresponding author), British Geol Survey, Lyell Ctr, Edinburgh EH14 4AP, Midlothian, Scotland.</t>
  </si>
  <si>
    <t>psto@bgs.ac.uk</t>
  </si>
  <si>
    <t>GEOLOGICAL SOC PUBL HOUSE</t>
  </si>
  <si>
    <t>UNIT 7, BRASSMILL ENTERPRISE CENTRE, BRASSMILL LANE, BATH BA1 3JN, AVON, ENGLAND</t>
  </si>
  <si>
    <t>0036-9276</t>
  </si>
  <si>
    <t>SCOT J GEOL</t>
  </si>
  <si>
    <t>Scott. J. Geol.</t>
  </si>
  <si>
    <t>10.1144/sjg2017-005</t>
  </si>
  <si>
    <t>FM9KR</t>
  </si>
  <si>
    <t>WOS:000415588500004</t>
  </si>
  <si>
    <t>Phillips, L; Janion-Scheepers, C; Houghton, M; Terauds, A; Potapov, M; Chown, SL</t>
  </si>
  <si>
    <t>Phillips, Laura; Janion-Scheepers, Charlene; Houghton, Melissa; Terauds, Aleks; Potapov, Mikhail; Chown, Steven L.</t>
  </si>
  <si>
    <t>Range expansion of two invasive springtails on sub-Antarctic Macquarie Island</t>
  </si>
  <si>
    <t>Collembola; Dispersal; DNA barcode; Soil fauna; Taxonomy</t>
  </si>
  <si>
    <t>BIOLOGICAL INVASIONS; 1ST RECORD; TERRESTRIAL; COLLEMBOLA; CLIMATE; POPULATIONS; DIVERSITY; RISK</t>
  </si>
  <si>
    <t>Collembola are an important group of indigenous terrestrial invertebrates in the sub-Antarctic region and, compared to the most continental regions, their limited diversity is well known. Several invasive species, introduced by humans, have also established in the region, with some of these widespread while others are more restricted to disturbed areas. In this study, we report the spread of two non-indigenous Collembola species on Macquarie Island. Protaphorura fimata (Gisin, 1952) (Collembola:Poduromorpha: Onychiuridae) and Proisotoma minuta (Tullberg, 1871) (Entomobryomorpha:Isotomidae) are both cosmopolitan species that have been present on the island for several decades, but restricted to the area around the research station. Here, we report their spread up to 3 and 11 km, respectively, from the research station. We discuss the implications of this finding for biosecurity across the Antarctic region. We also document the presence of a new non-indigenous species, Parisotoma notabilis (Schaffer, 1896) (Entomobryomorpha:Isotomidae).</t>
  </si>
  <si>
    <t>[Phillips, Laura; Janion-Scheepers, Charlene; Chown, Steven L.] Monash Univ, Sch Biol Sci, Melbourne, Vic 3800, Australia; [Houghton, Melissa; Terauds, Aleks] Australian Antarctic Div, Channel Highway, Kingston, Tas 7050, Australia; [Houghton, Melissa] Univ Queensland, Sch Biol Sci, Ctr Biodivers &amp; Conservat Sci, St Lucia, Qld 4072, Australia; [Potapov, Mikhail] Moscow State Pedag Univ, Kibalchicha Str,Korp 5, Moscow 129278, Russia</t>
  </si>
  <si>
    <t>Monash University; Australian Antarctic Division; University of Queensland; Moscow State University of Education</t>
  </si>
  <si>
    <t>Potapov, Mikhail B./T-7534-2017; Houghton, Melissa/IZE-8544-2023; Chown, Steven/ABD-7646-2021; Terauds, Aleks/A-4991-2010; Chown, Steven/H-3347-2011</t>
  </si>
  <si>
    <t>Janion-Scheepers, Charlene/0000-0001-5942-7912; Chown, Steven/0000-0001-6069-5105; Terauds, Aleks/0000-0001-7804-6648</t>
  </si>
  <si>
    <t>Australian Antarctic Science Projects [4307, 4024]</t>
  </si>
  <si>
    <t>Australian Antarctic Science Projects</t>
  </si>
  <si>
    <t>This work was supported by Australian Antarctic Science Projects 4307 and 4024. We thank Louis Deharveng and Wanda M. Weiner for initial taxonomic advice and Ian Aitkenhead for assisting with the collection of samples, the International Barcoding of Life (iBOL) Project, the Tasmanian Parks and Wildlife Services for permits, and two anonymous reviewers for their comments. We are grateful to Amy W.P. Liu for her assistance with the barcoding analyses.</t>
  </si>
  <si>
    <t>10.1007/s00300-017-2129-9</t>
  </si>
  <si>
    <t>FM7LO</t>
  </si>
  <si>
    <t>WOS:000415258700001</t>
  </si>
  <si>
    <t>Endo, H; Hattori, H; Mishima, T; Hashida, G; Sasaki, H; Nishioka, J; Suzuki, K</t>
  </si>
  <si>
    <t>Endo, Hisashi; Hattori, Hiroshi; Mishima, Tsubasa; Hashida, Gen; Sasaki, Hiroshi; Nishioka, Jun; Suzuki, Koji</t>
  </si>
  <si>
    <t>Phytoplankton community responses to iron and CO2 enrichment in different biogeochemical regions of the Southern Ocean</t>
  </si>
  <si>
    <t>Ocean acidification; Iron; Southern Ocean; Phytoplankton community composition; Diatoms; Haptophytes</t>
  </si>
  <si>
    <t>MARGINAL ICE-ZONE; PHAEOCYSTIS-ANTARCTICA; PRIMARY PRODUCTIVITY; FRAGILARIOPSIS-CYLINDRUS; PHYSIOLOGICAL-RESPONSES; REDUCED CALCIFICATION; MARINE-PHYTOPLANKTON; TAXA PHOTOSYNTHESIS; PIGMENT COMPOSITION; AUSTRALIAN SECTOR</t>
  </si>
  <si>
    <t>The ongoing rise in atmospheric CO2 concentration is causing rapid increases in seawater pCO(2) levels. However, little is known about the potential impacts of elevated CO2 availability on the phytoplankton assemblages in the Southern Ocean's oceanic regions. Therefore, we conducted four incubation experiments using surface seawater collected from the subantarctic zone (SAZ) and the subpolar zone (SPZ) in the Australian sector of the Southern Ocean during the austral summer of 2011-2012. For incubations, FeCl3 solutions were added to reduce iron (Fe) limitation for phytoplankton growth. Ambient and high (similar to 750 mu atm) CO2 treatments were then prepared with and without addition of CO2-saturated seawater, respectively. Non-Fe-added (control) treatments were also prepared to assess the effects of Fe enrichment (overall, control, Fe-added, and Fe-and-CO2-added treatments). In the initial samples, the dominant phytoplankton taxa shifted with latitude from haptophytes to diatoms, likely reflecting silicate availability in the water. Under Fe-enriched conditions, increased CO2 level significantly reduced the accumulation of biomarker pigments in haptophytes in the SAZ and AZ, whereas a significant decrease in diatom markers was only detected in the SAZ. The CO2-related changes in phytoplankton community composition were greater in the SAZ, most likely due to the decrease in coccolithophore biomass. Our results suggest that an increase in CO2, if it coincides with Fe enrichment, could differentially affect the phytoplankton community composition in different geographical regions of the Southern Ocean, depending on the locally dominant taxa and environmental conditions.</t>
  </si>
  <si>
    <t>[Endo, Hisashi; Suzuki, Koji] Hokkaido Univ, Fac Environm Earth Sci, Kita Ku, North 10 West 5, Sapporo, Hokkaido 0600810, Japan; [Endo, Hisashi; Suzuki, Koji] Japan Sci &amp; Technol, CREST, Kita Ku, North 10 West 5, Sapporo, Hokkaido 0600810, Japan; [Hattori, Hiroshi; Mishima, Tsubasa] Tokai Univ, Dept Marine Biol &amp; Sci, Minami Ku, Sapporo, Hokkaido 0058601, Japan; [Hashida, Gen] Natl Inst Polar Res, 10-3 Midori Cho, Tachikawa, Tokyo 1908518, Japan; [Sasaki, Hiroshi] Ishinomaki Senshu Univ, Dept Biol Sci, Ishinomaki, Miyagi 9868580, Japan; [Nishioka, Jun] Hokkaido Univ, Inst Low Temp Sci, Pan Okhotsk Res Ctr, Kita Ku, North 19 West 8, Sapporo, Hokkaido 0600819, Japan</t>
  </si>
  <si>
    <t>Hokkaido University; Japan Science &amp; Technology Agency (JST); Tokai University; Research Organization of Information &amp; Systems (ROIS); National Institute of Polar Research (NIPR) - Japan; Hokkaido University</t>
  </si>
  <si>
    <t>Endo, H; Suzuki, K (corresponding author), Hokkaido Univ, Fac Environm Earth Sci, Kita Ku, North 10 West 5, Sapporo, Hokkaido 0600810, Japan.;Endo, H; Suzuki, K (corresponding author), Japan Sci &amp; Technol, CREST, Kita Ku, North 10 West 5, Sapporo, Hokkaido 0600810, Japan.</t>
  </si>
  <si>
    <t>endo@scl.kyoto-u.ac.jp; kojis@ees.hokudai.ac.jp</t>
  </si>
  <si>
    <t>Suzuki, Koji/A-4349-2013; Suzuki, Koji/AAD-2630-2022; Suzuki, Koji/GVS-9807-2022; Nishioka, Jun/F-5314-2011; Endo, Hisashi/C-3318-2019</t>
  </si>
  <si>
    <t>Suzuki, Koji/0000-0001-5354-1044; Suzuki, Koji/0000-0001-5354-1044; Nishioka, Jun/0000-0003-1723-9344; Endo, Hisashi/0000-0003-0016-1624</t>
  </si>
  <si>
    <t>JSPS [24121004, JP17H00775]; TR/V Umitaka Maru; Grants-in-Aid for Scientific Research [24121004, 15H05820] Funding Source: KAKEN</t>
  </si>
  <si>
    <t>JSPS(Ministry of Education, Culture, Sports, Science and Technology, Japan (MEXT)Japan Society for the Promotion of Science); TR/V Umitaka Maru; Grants-in-Aid for Scientific Research(Ministry of Education, Culture, Sports, Science and Technology, Japan (MEXT)Japan Society for the Promotion of ScienceGrants-in-Aid for Scientific Research (KAKENHI))</t>
  </si>
  <si>
    <t>We gratefully acknowledge the captain, officers, and crew of the TR/V Umitaka Maru for their generous support during the cruise. We wish to thank H. Kurihara, T. Iida, S. Motokawa, and the other members of the 53rd Japanese Antarctic Research Expedition (JARE-53) for technical assistance. We would also like to thank A. Murayama for Fe analysis. We appreciate the editor and three anonymous reviewers for providing valuable comments and suggestions for improving the manuscript. This study was conducted within the framework of the project Responses of Antarctic Marine Ecosystem to Global Environmental Change with Carbonate Systems (RAMEEC), National Institute of Polar Research. Also, the work was partly funded by a JSPS Grant-in-Aid for Scientific Research on Innovative Areas (# 24121004) and for Scientific Research (A) (# JP17H00775).</t>
  </si>
  <si>
    <t>10.1007/s00300-017-2130-3</t>
  </si>
  <si>
    <t>WOS:000415258700002</t>
  </si>
  <si>
    <t>Zemko, K; Pabis, K; Sicinski, J; Blazewicz, M</t>
  </si>
  <si>
    <t>Zemko, Karol; Pabis, Krzysztof; Sicinski, Jacek; Blazewicz, Magdalena</t>
  </si>
  <si>
    <t>Low abundance and high species richness: the structure of the soft-bottom isopod fauna of a West Antarctic glacial fjord</t>
  </si>
  <si>
    <t>Admiralty Bay; South Shetland Islands; Peracarida; Diversity; Distribution patterns</t>
  </si>
  <si>
    <t>KING-GEORGE ISLAND; SOUTH SHETLAND ISLANDS; ADMIRALTY BAY; DEEP-SEA; POLYCHAETE DIVERSITY; NEARSHORE ZONE; CLIMATE-CHANGE; MARTEL-INLET; CRUSTACEA; MALACOSTRACA</t>
  </si>
  <si>
    <t>Isopods belong to the most speciose groups of the Antarctic benthic fauna, although the knowledge on their diversity and small-scale distribution patterns is still limited. Here we analyze the diversity of the isopod fauna in the Admiralty Bay, a glacial fjord on the King George Island. The basin is located in the region of the Antarctic Peninsula, the fastest warming area of the Southern Ocean. The study provides important baseline data for future research, particularly with respect to temporal fluctuations in benthic fauna, associated with global changes observed in that part of the world. Forty species of isopods representing 19 families were recorded on the soft bottom of the Admiralty Bay. The analyses were based on 99 quantitative samples collected, within the 20-502-m depth range, with a 0.1 m(2) van Veen grab. The materials for the analyses were obtained in the austral summer seasons of 1984/1985 and 1985/1986. The data revealed a high number of isopod species occurring at a low abundance, the mean abundance amounting to 4.8 +/- 8.6 ind./0.1 m(2). Most of the species occurred at low abundances, 25% of the species being represented by singletons. Caecognathia polaris, the most abundant species, showed the mean abundance of merely 1.2 +/- 4.2 ind./0.1 m(2). Species richness, diversity and abundance of the isopod fauna were much higher in the central basin of the Admiralty Bay than in the Ezcurra Inlet, an area affected by a strong disturbance of glacial origin.</t>
  </si>
  <si>
    <t>[Zemko, Karol; Pabis, Krzysztof; Sicinski, Jacek; Blazewicz, Magdalena] Univ Lodz, Lab Polar Biol &amp; Oceanobiol, Banacha 12-16, PL-90237 Lodz, Poland</t>
  </si>
  <si>
    <t>Pabis, K (corresponding author), Univ Lodz, Lab Polar Biol &amp; Oceanobiol, Banacha 12-16, PL-90237 Lodz, Poland.</t>
  </si>
  <si>
    <t>karolzemko85@gmail.com; cataclysta@wp.pl; sicinski@biol.uni.lodz.pl; magdab@biol.uni.lodz.pl</t>
  </si>
  <si>
    <t>Błażewicz, Magdalena/J-5175-2017; Sicinski, Jacek/P-2033-2017; Pabis, Krzysztof/O-8628-2017</t>
  </si>
  <si>
    <t>Blazewicz, Magdalena/0000-0002-4753-3424; Sicinski, Jacek/0000-0002-5235-3188; Pabis, Krzysztof/0000-0002-9625-3453</t>
  </si>
  <si>
    <t>Polish Ministry of Science and Higher Education [51/N-IPY/2007/0]; Census of Antarctic Marine Life project; University of Lodz internal funds</t>
  </si>
  <si>
    <t>Polish Ministry of Science and Higher Education(Ministry of Science and Higher Education, Poland); Census of Antarctic Marine Life project; University of Lodz internal funds</t>
  </si>
  <si>
    <t>The study was supported by a Grant of the Polish Ministry of Science and Higher Education No 51/N-IPY/2007/0 as well as by the Census of Antarctic Marine Life project. Karol Zemko and Krzysztof Pabis were also supported by University of Lodz internal funds. We want to thank the reviewers for their valuable comments that helped to improve the manuscript. Thanks are also due to Teresa Radziejewska who kindly corrected language through the manuscript.</t>
  </si>
  <si>
    <t>10.1007/s00300-017-2133-0</t>
  </si>
  <si>
    <t>WOS:000415258700005</t>
  </si>
  <si>
    <t>Ouisse, T; Laparie, M; Lebouvier, M; Renault, D</t>
  </si>
  <si>
    <t>Ouisse, T.; Laparie, M.; Lebouvier, M.; Renault, D.</t>
  </si>
  <si>
    <t>New insights into the ecology of Merizodus soledadinus, a predatory carabid beetle invading the sub-Antarctic Kerguelen Islands</t>
  </si>
  <si>
    <t>Biological invasion; Body reserves; Egg load; Longevity; Seasonal activity</t>
  </si>
  <si>
    <t>GROUND BEETLE; SOUTH-GEORGIA; SUCCESS; BIOLOGY; LIFE; METABOLISM; COLEOPTERA; EVOLUTION; IMPACTS; ENERGY</t>
  </si>
  <si>
    <t>Our knowledge of the main determinants of invasion success is still incomplete. Among these factors, the effects of biological traits, including fecundity, longevity and dispersal in newly colonised regions, are pivotal. However, while numerous studies have considered ecological and evolutionary impacts of non-native species, their biology often remains understudied. Despite the continuous geographic expansion of Merizodus soledadinus (Coleoptera: Carabidae) at the Kerguelen Islands over recent decades, the main life-history parameters of this species are unknown. We determined adult longevity under controlled conditions, monitored seasonal activity through pitfall trappings, and analysed temporal variations of egg load and body reserves in field-collected individuals. The median adult life span (LT50) was 241 days, with maximum longevity of 710 days (N = 500). Females carried eggs throughout the year (8.94 +/- 3.56 eggs per female), and it was not possible to pinpoint any clear egg-laying period. Year-round trappings demonstrated continuous activity of adults over seasons, with a peak during the austral summer that may arguably be associated with higher temperatures. Body stores (glycogen and proteins) did not vary significantly through the year, suggesting that adults feed continuously despite different prey availability between summer and winter, possibly via diet shifts. The amount of triglycerides increased at onset of summer, which may be associated with higher summer locomotor activity and/or more intense predation and reproduction.</t>
  </si>
  <si>
    <t>[Ouisse, T.; Renault, D.] Univ Rennes 1, UMR CNRS Ecobio 6553, Campus Beaulieu,Bat 14,263 Ave Gal Leclerc, F-35042 Rennes, France; [Laparie, M.] INRA, URZF, UR0633, 2163 Ave Pomme de Pin,CS 40001, F-45075 Orleans, France; [Lebouvier, M.] UMR CNRS Ecobio 6553, Stn Biol Paimpont, F-35380 Paimpont, France; [Renault, D.] Inst Univ France, 1 Rue Descartes, F-75231 Paris 05, France</t>
  </si>
  <si>
    <t>Universite de Rennes; Centre National de la Recherche Scientifique (CNRS); INRAE; Institut Universitaire de France</t>
  </si>
  <si>
    <t>Ouisse, T (corresponding author), Univ Rennes 1, UMR CNRS Ecobio 6553, Campus Beaulieu,Bat 14,263 Ave Gal Leclerc, F-35042 Rennes, France.</t>
  </si>
  <si>
    <t>tiphaine.ouisse@gmail.com</t>
  </si>
  <si>
    <t>RENAULT, David/0000-0003-3644-1759</t>
  </si>
  <si>
    <t>French Polar Institute Paul-Emile Victor [IPEV 136]</t>
  </si>
  <si>
    <t>French Polar Institute Paul-Emile Victor</t>
  </si>
  <si>
    <t>The French Polar Institute Paul-Emile Victor that supports our program IPEV 136 'SUBANTECO' is warmly thanked. This study was granted by InEE-CNRS (Enviromics call, 'ALIENS'; Zone Atelier Antarctique et Subantarctique). Part of the experiments were conducted at the ABGC platform (UMR CNRS EcoBio). Our samplers and breeders of Merizodus soledadinus at Port-aux-Francais from 2013 to 2015-Elsa Day, Lauriane Laville, Solene Lebreton and Camille Thomas-are warmly thanked.</t>
  </si>
  <si>
    <t>10.1007/s00300-017-2134-z</t>
  </si>
  <si>
    <t>WOS:000415258700006</t>
  </si>
  <si>
    <t>Ryan, PG; Le Bouard, F; Lee, J</t>
  </si>
  <si>
    <t>Ryan, Peter G.; Le Bouard, Fabrice; Lee, Jasmine</t>
  </si>
  <si>
    <t>Westward range extension of Short-tailed Shearwaters Ardenna tenuirostris in the Southern Ocean</t>
  </si>
  <si>
    <t>Ardenna tenuirostris; Atlantic Ocean; Bouvetoya; Migration</t>
  </si>
  <si>
    <t>PUFFINUS-TENUIROSTRIS; ANTARCTIC WATERS; SEABIRDS; FORAGE</t>
  </si>
  <si>
    <t>Short-tailed Shearwaters Ardenna tenuirostris are transequatorial migrants that breed at islands in southern Australia and spend the austral winter in the North Pacific. Adults feeding chicks undertake long foraging trips into Antarctic waters (to 70 degrees S) across a broad longitudinal range (mainly 55-180 degrees E). In mid-March 2017, we observed thousands of shearwaters in the vicinity of Bouvetoya (from 55 degrees S 0 degrees E to 50 degrees S 8 degrees E). These observations occurred more than 2000 km west of the documented range of this species, and raise the possibility that some Shorttailed Shearwaters migrate to the North Atlantic Ocean. Further observations are needed to determine whether this is a regular behaviour that has been overlooked in the past due to confusion with Sooty Shearwaters A. grisea, or whether 2017 was an unusual year for Short- tailed Shearwaters.</t>
  </si>
  <si>
    <t>[Ryan, Peter G.] Univ Cape Town, FitzPatrick Inst Africa Ornithol, ZA-7701 Rondebosch, South Africa; [Le Bouard, Fabrice] CNRS, Ctr Etud Biol Chize, F-79360 Villiers En Bois, France; [Lee, Jasmine] Univ Queensland, Ctr Biodivers Conservat Sci, St Lucia, Qld 4072, Australia</t>
  </si>
  <si>
    <t>University of Cape Town; Centre National de la Recherche Scientifique (CNRS); University of Queensland</t>
  </si>
  <si>
    <t>Ryan, PG (corresponding author), Univ Cape Town, FitzPatrick Inst Africa Ornithol, ZA-7701 Rondebosch, South Africa.</t>
  </si>
  <si>
    <t>pryan31@gmail.com</t>
  </si>
  <si>
    <t>Lee, Jasmine/0000-0003-3847-1679</t>
  </si>
  <si>
    <t>ACE Foundation</t>
  </si>
  <si>
    <t>We thank Bob Flood, John Graham and Eric Woehler for confirming the identification of Short-tailed Shearwaters; Kit Kovacs, Ben Raymond and Eric Woehler commented on an earlier draft of this paper. ACE was a research cruise of the Swiss Polar Institute, supported by funding from the ACE Foundation.</t>
  </si>
  <si>
    <t>10.1007/s00300-017-2146-8</t>
  </si>
  <si>
    <t>WOS:000415258700017</t>
  </si>
  <si>
    <t>Heywood, JL; Chen, C; Pearce, DA; Linse, K</t>
  </si>
  <si>
    <t>Heywood, Jane L.; Chen, Chong; Pearce, David A.; Linse, Katrin</t>
  </si>
  <si>
    <t>Bacterial communities associated with the Southern Ocean vent gastropod, Gigantopelta chessoia: indication of horizontal symbiont transfer</t>
  </si>
  <si>
    <t>Symbiont; Hydrothermal vent; Gastropod; Antarctic; Chemosynthesis; Microbial diversity</t>
  </si>
  <si>
    <t>HYDROTHERMAL VENTS; ALVINICONCHA; DIVERSITY; ANIMALS; GENUS; CYCLE; SEA</t>
  </si>
  <si>
    <t>Recently discovered hydrothermal vents of the East Scotia Ridge (ESR) in the Southern Ocean host unique faunal communities that depend on microbial chemosynthetic primary production. These highly abundant invertebrates gain energy from either grazing on free-living microbes or via hosting symbiotic chemoautotrophic microorganisms. The main objective of this study was to characterise microbes associated with a newly discovered species of hydrothermal vent gastropod and therefore increase knowledge of ecosystem functioning in this largely unknown Antarctic hydrothermal vent system. We investigated the phylogenetic composition of bacteria associated with the gills and oesophageal gland of the ESR peltospirid gastropod, Gigantopelta chessoia by molecular cloning and terminal restriction fragment length polymorphism (T-RFLP). 16S rRNA gene clone libraries revealed host tissue-specific combinations of bacteria. The oesophageal gland contained one Gammaproteobacteria OTU whereas a more diverse community of Gamma, Epsilon and Deltaproteobacteria was isolated from the gills. T-RFLP analysis revealed that juvenile bacterial communities were more closely related to adult gill-associated bacterial communities than oesophageal gland bacteria. Oesophageal gland Gammaproteobacteria exhibited a higher sequence similarity with sulphur-oxidising bacteria isolated from cold seep sediments and with thioautotrophic endosymbionts than with bacteria found in the surrounding water column, suggesting that these endosymbionts were not acquired directly from the water column. Juvenile G. chessoia were located within the mantle cavity of adults and we speculate that Gammaproteobacterial endosymbionts in the oesophageal gland could be transmitted horizontally from adults to juveniles via the gills due to the close contact of juveniles with adults' gills.</t>
  </si>
  <si>
    <t>[Heywood, Jane L.; Pearce, David A.; Linse, Katrin] British Antarctic Survey, Cambridge CB3 0ET, England; [Chen, Chong] Japan Agcy Marine Earth Sci &amp; Technol, Dept Subsurface Geobiol Anal &amp; Res, Yokosuka, Kanagawa 2370061, Japan; [Heywood, Jane L.] Kent &amp; Essex Inshore Fisheries &amp; Conservat Author, Brightlingsea CO7 0AR, Essex, England; [Pearce, David A.] Northumbria Univ, Newcastle City Campus, Newcastle Upon Tyne NE1 8ST, Tyne &amp; Wear, England</t>
  </si>
  <si>
    <t>UK Research &amp; Innovation (UKRI); Natural Environment Research Council (NERC); NERC British Antarctic Survey; Japan Agency for Marine-Earth Science &amp; Technology (JAMSTEC); Northumbria University</t>
  </si>
  <si>
    <t>Heywood, JL (corresponding author), British Antarctic Survey, Cambridge CB3 0ET, England.;Heywood, JL (corresponding author), Kent &amp; Essex Inshore Fisheries &amp; Conservat Author, Brightlingsea CO7 0AR, Essex, England.</t>
  </si>
  <si>
    <t>heywoodjane@hotmail.com</t>
  </si>
  <si>
    <t>Chen, Chong/F-7489-2019</t>
  </si>
  <si>
    <t>Chen, Chong/0000-0002-5035-4021; Heywood, Jane/0000-0001-8292-7704; Pearce, David/0000-0001-5292-4596</t>
  </si>
  <si>
    <t>Natural Environment Research Council (NERC) [NE/D01249x/1]; NERC [bas0100036] Funding Source: UKRI; Natural Environment Research Council [bas0100036]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</si>
  <si>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</si>
  <si>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the principal scientist of JC80 Prof. P. Tyler, the Master and crew of the RRS James Cook as well as the team of technicians of the ROV Isis. The Natural Environment Research Council (NERC) funded the study through the ChEsSO-Chemosynthetically driven ecosystems south of the Polar Front: biogeography and ecology consortium grant (grant number NE/D01249x/1).</t>
  </si>
  <si>
    <t>10.1007/s00300-017-2148-6</t>
  </si>
  <si>
    <t>WOS:000415258700019</t>
  </si>
  <si>
    <t>Papale, M; Rizzo, C; Villescusa, JA; Rochera, C; Camacho, A; Michaud, L; Lo Giudice, A</t>
  </si>
  <si>
    <t>Papale, M.; Rizzo, C.; Villescusa, J. A.; Rochera, C.; Camacho, A.; Michaud, L.; Lo Giudice, A.</t>
  </si>
  <si>
    <t>Prokaryotic assemblages in the maritime Antarctic Lake Limnopolar (Byers Peninsula, South Shetland Islands)</t>
  </si>
  <si>
    <t>EXTREMOPHILES</t>
  </si>
  <si>
    <t>CARD-FISH; Bacterial isolation; cDNA clone library; Antarctica; Limnopolar</t>
  </si>
  <si>
    <t>16S RIBOSOMAL-RNA; TARGETED OLIGONUCLEOTIDE PROBES; IN-SITU HYBRIDIZATION; BACTERIOPLANKTON COMMUNITY STRUCTURE; GRAM-POSITIVE BACTERIA; DNA G+C CONTENT; LIVINGSTON ISLAND; LIMNOLOGICAL CHARACTERISTICS; MICROBIAL MATS; ACE LAKE</t>
  </si>
  <si>
    <t>The potentially metabolically active components within the prokaryotic assemblages inhabiting the Antarctic Lake Limnopolar (Byers Peninsula, Maritime Antarctica) were investigated by a polyphasic approach which included culture-dependent and culture-independent methods (based on RNA molecules). Results support previous observations on the Proteobacteria and Bacteroidetes dominance, followed by Actinobacteria, in Antarctic lakes. In particular, Alpha-, Betaproteobacteria and Bacteroidetes were mainly detected by CARD-FISH and cDNA cloning, whereas Gammaproteobacteria and Actinobacteria dominated within the cultivable fraction. Overall, this study demonstrates the survival potential and physiological heterogeneity of the prokaryotic community in the Lake Limnopolar. The microbial community composition in the lake is affected by external influences (such as marine environment by sea spray and seabird dropping, and microbial mats and mosses of the catchment). However, most external bacteria would be inactive, whereas typical polar taxa dominate the potentially active fraction and are subsidized by external nutrient sources, thus assuming the main biogeochemical roles within the lake.</t>
  </si>
  <si>
    <t>[Papale, M.; Rizzo, C.; Michaud, L.; Lo Giudice, A.] Univ Messina, Dipartimento Sci Chim Biol Farmaceut &amp; Ambientali, Viale F Stagno dAlcontres 31, I-98166 Messina, Italy; [Villescusa, J. A.; Rochera, C.; Camacho, A.] Univ Valencia, Cavanilles Inst Biodivers &amp; Evolutionary Biol, Apartado Correos 22085, Valencia 46071, Spain; [Lo Giudice, A.] CNR, Natl Res Council IAMC, Inst Coastal Marine Environm, I-98122 Messina, Italy</t>
  </si>
  <si>
    <t>University of Messina; University of Valencia; Consiglio Nazionale delle Ricerche (CNR); L'Istituto per l'Ambiente Marino Costiero (IAMC-CNR)</t>
  </si>
  <si>
    <t>Lo Giudice, A (corresponding author), Univ Messina, Dipartimento Sci Chim Biol Farmaceut &amp; Ambientali, Viale F Stagno dAlcontres 31, I-98166 Messina, Italy.;Lo Giudice, A (corresponding author), CNR, Natl Res Council IAMC, Inst Coastal Marine Environm, I-98122 Messina, Italy.</t>
  </si>
  <si>
    <t>angelina.logiudice@iamc.cnr.it</t>
  </si>
  <si>
    <t>Papale, Maria/AAC-6049-2020; Rochera, Carlos/M-2932-2014; Rizzo, Carmen/S-6285-2019; Rizzo, Carmen/AAA-3075-2022; Camacho, Antonio/I-3417-2015</t>
  </si>
  <si>
    <t>Rochera, Carlos/0000-0002-8294-4755; Camacho, Antonio/0000-0003-0841-2010; Papale, Maria/0000-0002-6013-4436</t>
  </si>
  <si>
    <t>PNRA (Programma Nazionale di Ricerche in Antartide), Italian Ministry of Education and Research (PEA) [PNRA 2004/1.6]; MNA (Museo Nazionale dell'Antartide); Spanish Ministry of Education and Science - European FEDER funds [POL2006-06635, CGL2005-06549-C02-02/ANT]</t>
  </si>
  <si>
    <t>PNRA (Programma Nazionale di Ricerche in Antartide), Italian Ministry of Education and Research (PEA); MNA (Museo Nazionale dell'Antartide); Spanish Ministry of Education and Science - European FEDER funds(German Research Foundation (DFG))</t>
  </si>
  <si>
    <t>This work was supported by Grants from PNRA (Programma Nazionale di Ricerche in Antartide), Italian Ministry of Education and Research (PEA 2004, Research Project PNRA 2004/1.6); MNA (Museo Nazionale dell'Antartide); Spanish Ministry of Education and Science, with one of them co-financed by the European FEDER funds (POL2006-06635 and CGL2005-06549-C02-02/ANT).</t>
  </si>
  <si>
    <t>CHIYODA FIRST BLDG EAST, 3-8-1 NISHI-KANDA, CHIYODA-KU, TOKYO, 101-0065, JAPAN</t>
  </si>
  <si>
    <t>1431-0651</t>
  </si>
  <si>
    <t>1433-4909</t>
  </si>
  <si>
    <t>Extremophiles</t>
  </si>
  <si>
    <t>10.1007/s00792-017-0955-x</t>
  </si>
  <si>
    <t>FM0QG</t>
  </si>
  <si>
    <t>WOS:000414671300001</t>
  </si>
  <si>
    <t>Slangen, ABA; Meyssignac, B; Agosta, C; Champollion, N; Church, JA; Fettweis, X; Ligtenberg, SRM; Marzeion, B; Melet, A; Palmer, MD; Richter, K; Roberts, CD; Spada, G</t>
  </si>
  <si>
    <t>Slangen, Aimee B. A.; Meyssignac, Benoit; Agosta, Cecile; Champollion, Nicolas; Church, John A.; Fettweis, Xavier; Ligtenberg, Stefan R. M.; Marzeion, Ben; Melet, Angelique; Palmer, Matthew D.; Richter, Kristin; Roberts, Christopher D.; Spada, Giorgio</t>
  </si>
  <si>
    <t>Evaluating Model Simulations of Twentieth-Century Sea Level Rise. Part I: Global Mean Sea Level Change</t>
  </si>
  <si>
    <t>SURFACE MASS-BALANCE; ANTARCTIC ICE-SHEET; EARTH SYSTEM MODEL; CLIMATE MODEL; OCEAN; GREENLAND; CMIP5; ACCELERATION; PROJECTIONS; REANALYSIS</t>
  </si>
  <si>
    <t>Sea level change is one of the major consequences of climate change and is projected to affect coastal communities around the world. Here, global mean sea level (GMSL) change estimated by 12 climate models from phase 5 of theWorld ClimateResearch Programme's ClimateModel Intercomparison Project (CMIP5) is compared to observational estimates for the period 1900-2015. Observed and simulated individual contributions to GMSL change (thermal expansion, glacier mass change, ice sheet mass change, landwater storage change) are analyzed and compared to observed GMSL change over the period 1900-2007 using tide gauge reconstructions, and over the period 1993-2015 using satellite altimetry estimates. The model-simulated contributions explain 50% +/- 30% (uncertainties 1.65 sigma unless indicated otherwise) of the mean observed change from 1901-20 to 1988-2007. Based on attributable biases between observations and models, a number of corrections are proposed, which result in an improved explanation of 75% +/- 38% of the observed change. For the satellite era (from 1993-97 to 2011-15) an improved budget closure of 102% +/- 33% is found (105% +/- 35% when including the proposed bias corrections). Simulated decadal trends increase over the twentieth century, both in the thermal expansion and the combinedmass contributions (glaciers, ice sheets, and landwater storage). The mass components explain the majority of sea level rise over the twentieth century, but the thermal expansion has increasingly contributed to sea level rise, starting from 1910 onward and in 2015 accounting for 46% of the total simulated sea level change.</t>
  </si>
  <si>
    <t>[Slangen, Aimee B. A.] Royal Netherlands Inst Sea Res NIOZ, Dept Estuarine &amp; Delta Syst, Yerseke, Netherlands; [Slangen, Aimee B. A.] Univ Utrecht, Yerseke, Netherlands; [Meyssignac, Benoit] Univ Toulouse, CNRS, LEGOS, CNES,IRD,UPS, Toulouse, France; [Agosta, Cecile; Fettweis, Xavier] Univ Liege, Dept Geog, Liege, Belgium; [Champollion, Nicolas] Int Space Sci Inst, Bern, Switzerland; [Church, John A.] Univ New South Wales, Climate Change Res Ctr, Sydney, NSW, Australia; [Ligtenberg, Stefan R. M.] Univ Utrecht, Inst Marine &amp; Atmospher Res, Utrecht, Netherlands; [Marzeion, Ben] Univ Bremen, Inst Geog, Bremen, Germany; [Melet, Angelique] Mercator Ocean, Ramonville St Agne, France; [Palmer, Matthew D.; Roberts, Christopher D.] Met Off Hadley Ctr, Exeter, Devon, England; [Richter, Kristin] Univ Innsbruck, Inst Atmospher &amp; Cryospher Sci, Innsbruck, Austria; [Roberts, Christopher D.] European Ctr Medium Range Weather Forecasts, Shinfield, England; [Spada, Giorgio] Urbino Univ Carlo Bo, Dipartimento Sci Pure &amp; Applicate, Urbino, Italy</t>
  </si>
  <si>
    <t>Utrecht University; Royal Netherlands Institute for Sea Research (NIOZ); Utrecht University; Universite de Toulouse; Universite Toulouse III - Paul Sabatier; Centre National de la Recherche Scientifique (CNRS); Institut de Recherche pour le Developpement (IRD); Laboratoire d'Etudes en Geophysique et oceanographie spatiales; University of Liege; University of New South Wales Sydney; Utrecht University; University of Bremen; Met Office - UK; Hadley Centre; University of Innsbruck; European Centre for Medium-Range Weather Forecasts (ECMWF); University of Urbino</t>
  </si>
  <si>
    <t>Slangen, ABA (corresponding author), Royal Netherlands Inst Sea Res NIOZ, Dept Estuarine &amp; Delta Syst, Yerseke, Netherlands.;Slangen, ABA (corresponding author), Univ Utrecht, Yerseke, Netherlands.</t>
  </si>
  <si>
    <t>aimee.slangen@gmail.com</t>
  </si>
  <si>
    <t>Ligtenberg, Stefan/AAF-8290-2020; Meyssignac, Benoit/GLQ-5451-2022; Melet, Angelique/ABE-5148-2020; Roberts, Christopher D/GRR-4034-2022; Marzeion, Ben/G-6514-2013; Church, John A/A-1541-2012; Roberts, Christopher D/F-6197-2011; Agosta, Cécile/HLQ-5577-2023; Roberts, Christopher David/AAA-6692-2020; Agosta, Cécile/B-9625-2013; Champollion, Nicolas/U-4188-2017; Champollion, Nicolas/B-7921-2014; Slangen, Aimee/H-5839-2015</t>
  </si>
  <si>
    <t>Meyssignac, Benoit/0000-0001-6325-9843; Melet, Angelique/0000-0003-3888-8159; Roberts, Christopher D/0000-0002-2958-6637; Church, John A/0000-0002-7037-8194; Roberts, Christopher D/0000-0002-2958-6637; Roberts, Christopher David/0000-0002-2958-6637; Agosta, Cécile/0000-0003-4091-1653; Champollion, Nicolas/0000-0001-7988-4694; Fettweis, Xavier/0000-0002-4140-3813; Palmer, Matthew/0000-0001-7422-198X; Slangen, Aimee/0000-0001-6268-6683</t>
  </si>
  <si>
    <t>CSIRO Office of the Chief Executive postdoctoral fellowship; NWO-Netherlands Polar Programme; Joint UK BEIS/Defra Met Office Hadley Centre Climate Programme [GA01101]; CSIRO; Australian Climate Change Science Program; University of New South Wales; NWO ALW Veni Grant [865.15.023]; Austrian Science Fund [FP253620]</t>
  </si>
  <si>
    <t>CSIRO Office of the Chief Executive postdoctoral fellowship; NWO-Netherlands Polar Programme; Joint UK BEIS/Defra Met Office Hadley Centre Climate Programme; CSIRO(Commonwealth Scientific &amp; Industrial Research Organisation (CSIRO)); Australian Climate Change Science Program; University of New South Wales; NWO ALW Veni Grant; Austrian Science Fund(Austrian Science Fund (FWF))</t>
  </si>
  <si>
    <t>This paper is an outcome of work with the ISSI international team on Contemporary regional and global sea-level rise: assessment of satellite and in-situ observations and climate models.'' We thank ISSI (www.issibern.ch) for facilitating the team meetings.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leads development of software infrastructure in partnership with the Global Organization for Earth System Science Portal. We thank P. Leclercq (U. Oslo) for providing the updated glacier contribution based on glacier length records. A.S. received funding from a CSIRO Office of the Chief Executive postdoctoral fellowship and the NWO-Netherlands Polar Programme. M.P. and C.R. were supported by the Joint UK BEIS/Defra Met Office Hadley Centre Climate Programme (GA01101). In the early part of this study, J.C. was funded by CSIRO, the Australian Climate Change Science Program, and the University of New South Wales. S. L. was supported by an NWO ALW Veni Grant (865.15.023). K.R. was supported by the Austrian Science Fund (FP253620).</t>
  </si>
  <si>
    <t>10.1175/JCLI-D-17-0110.1</t>
  </si>
  <si>
    <t>FM0II</t>
  </si>
  <si>
    <t>Green Published, Green Submitted</t>
  </si>
  <si>
    <t>WOS:000414646000007</t>
  </si>
  <si>
    <t>Meyssignac, B; Slangen, ABA; Melet, A; Church, JA; Fettweis, X; Marzeion, B; Agosta, C; Ligtenberg, SRM; Spada, G; Richter, K; Palmer, MD; Roberts, CD; Champollion, N</t>
  </si>
  <si>
    <t>Meyssignac, B.; Slangen, A. B. A.; Melet, A.; Church, J. A.; Fettweis, X.; Marzeion, B.; Agosta, C.; Ligtenberg, S. R. M.; Spada, G.; Richter, K.; Palmer, M. D.; Roberts, C. D.; Champollion, N.</t>
  </si>
  <si>
    <t>Evaluating Model Simulations of Twentieth-Century Sea-Level Rise. Part II: Regional Sea-Level Changes</t>
  </si>
  <si>
    <t>VERTICAL LAND MOTION; SURFACE MASS-BALANCE; GLOBAL CLIMATE MODEL; ANTARCTIC ICE-SHEET; EARTH SYSTEM MODEL; GROUNDWATER DEPLETION; VARIABILITY; OCEAN; TRENDS; IMPACT</t>
  </si>
  <si>
    <t>Twentieth-century regional sea level changes are estimated from 12 climate models from phase 5 of the Climate Model Intercomparison Project (CMIP5). The output of the CMIP5 climate model simulations was used to calculate the global and regional sea level changes associated with dynamic sea level, atmospheric loading, glacier mass changes, and ice sheet surface mass balance contributions. The contribution from groundwater depletion, reservoir storage, and dynamic ice sheet mass changes are estimated from observations as they are not simulated by climate models. All contributions are summed, including the glacial isostatic adjustment (GIA) contribution, and compared to observational estimates from 27 tide gauge records over the twentieth century (1900-2015). A general agreement is found between the simulated sea level and tide gauge records in terms of interannual to multidecadal variability over 1900-2015. But climate models tend to systematically underestimate the observed sea level trends, particularly in the first half of the twentieth century. The corrections based on attributable biases between observations and models that have been identified in Part I of this two-part paper result in an improved explanation of the spatial variability in observed sea level trends by climate models. Climate models show that the spatial variability in sea level trends observed by tide gauge records is dominated by the GIA contribution and the steric contribution over 1900-2015. Climate models also show that it is important to include all contributions to sea level changes as they cause significant local deviations; note, for example, the groundwater depletion around India, which is responsible for the low twentieth-century sea level rise in the region.</t>
  </si>
  <si>
    <t>[Meyssignac, B.] Univ Toulouse, CNRS, LEGOS, CNES,IRD,UPS, Toulouse, France; [Slangen, A. B. A.] Royal Netherlands Inst Sea Res, Dept Estuarine &amp; Delta Syst, Yerseke, Netherlands; [Melet, A.] Mercator Ocean, Ramonville St Agne, France; [Church, J. A.] Univ New South Wales, Climate Change Res Ctr, Sydney, NSW, Australia; [Fettweis, X.; Agosta, C.] Univ Liege, Liege, Belgium; [Marzeion, B.] Univ Bremen, Inst Geog, Bremen, Germany; [Ligtenberg, S. R. M.] Univ Utrecht, Inst Marine &amp; Atmospher Res Utrecht, Utrecht, Netherlands; [Spada, G.] Univ Urbino, Urbino, Italy; [Richter, K.] Univ Innsbruck, Innsbruck, Austria; [Palmer, M. D.; Roberts, C. D.] Met Off Hadley Ctr, Exeter, Devon, England; [Roberts, C. D.] European Ctr Medium Range Weather Forecasts, Shinfield, England; [Champollion, N.] Int Space Sci Inst, Bern, Switzerland</t>
  </si>
  <si>
    <t>Universite de Toulouse; Universite Toulouse III - Paul Sabatier; Centre National de la Recherche Scientifique (CNRS); Institut de Recherche pour le Developpement (IRD); Laboratoire d'Etudes en Geophysique et oceanographie spatiales; Utrecht University; Royal Netherlands Institute for Sea Research (NIOZ); University of New South Wales Sydney; University of Liege; University of Bremen; Utrecht University; University of Urbino; University of Innsbruck; Met Office - UK; Hadley Centre; European Centre for Medium-Range Weather Forecasts (ECMWF)</t>
  </si>
  <si>
    <t>Meyssignac, B (corresponding author), Univ Toulouse, CNRS, LEGOS, CNES,IRD,UPS, Toulouse, France.</t>
  </si>
  <si>
    <t>benoit.meyssignac@legos.obs-mip.fr</t>
  </si>
  <si>
    <t>Agosta, Cécile/B-9625-2013; Church, John A/A-1541-2012; Ligtenberg, Stefan/AAF-8290-2020; Meyssignac, Benoit/GLQ-5451-2022; Melet, Angelique/ABE-5148-2020; Roberts, Christopher D/F-6197-2011; Marzeion, Ben/G-6514-2013; Agosta, Cécile/HLQ-5577-2023; Roberts, Christopher David/AAA-6692-2020; Champollion, Nicolas/U-4188-2017; Roberts, Christopher D/GRR-4034-2022; Slangen, Aimee/H-5839-2015; Champollion, Nicolas/B-7921-2014</t>
  </si>
  <si>
    <t>Agosta, Cécile/0000-0003-4091-1653; Church, John A/0000-0002-7037-8194; Meyssignac, Benoit/0000-0001-6325-9843; Melet, Angelique/0000-0003-3888-8159; Roberts, Christopher D/0000-0002-2958-6637; Roberts, Christopher David/0000-0002-2958-6637; Roberts, Christopher D/0000-0002-2958-6637; Fettweis, Xavier/0000-0002-4140-3813; Palmer, Matthew/0000-0001-7422-198X; Slangen, Aimee/0000-0001-6268-6683; Champollion, Nicolas/0000-0001-7988-4694</t>
  </si>
  <si>
    <t>International Space Science Institute (ISSI; Bern, Switzerland); DiSPeA grant of the Urbino University [CUP H32I160000000005]; NERC [BIGF010001] Funding Source: UKRI; Natural Environment Research Council [BIGF010001] Funding Source: researchfish</t>
  </si>
  <si>
    <t>International Space Science Institute (ISSI; Bern, Switzerland); DiSPeA grant of the Urbino University; NERC(UK Research &amp; Innovation (UKRI)Natural Environment Research Council (NERC)); Natural Environment Research Council(UK Research &amp; Innovation (UKRI)Natural Environment Research Council (NERC))</t>
  </si>
  <si>
    <t>The authors acknowledge the World Climate Research Programme's Working Group on Coupled Modelling, which is responsible for CMIP, and thank the climate modeling groups (models listed in Table 3 of this paper) for producing andmaking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The authors thank the International Space Science Institute (ISSI; Bern, Switzerland) for support of the International Teamon contemporary regional and global sea-level rise. Giorgio Spada is funded by a DiSPeA grant of the Urbino University (CUP H32I160000000005).</t>
  </si>
  <si>
    <t>10.1175/JCLI-D-17-0112.1</t>
  </si>
  <si>
    <t>WOS:000414646000008</t>
  </si>
  <si>
    <t>Tsukada, K; Yuhara, M; Owada, M; Shimura, T; Kamei, A; Kouchi, Y; Yamamoto, K</t>
  </si>
  <si>
    <t>Tsukada, Kazuhiro; Yuhara, Masaki; Owada, Masaaki; Shimura, Toshiaki; Kamei, Atsushi; Kouchi, Yoshikazu; Yamamoto, Koshi</t>
  </si>
  <si>
    <t>A low-angle brittle shear zone in the western Sor Rondane Mountains, Dronning Maud Land, East Antarctica - Implication for assembly of Gondwanaland</t>
  </si>
  <si>
    <t>JOURNAL OF GEODYNAMICS</t>
  </si>
  <si>
    <t>Low-angle brittle shear zone; Western Sor rondane mountains; East Antarctica; East Africa-East Antarctica orogen</t>
  </si>
  <si>
    <t>PAN-AFRICAN SUTURE; U-PB AGE; STABILITY RELATIONS; SCHIRMACHER OASIS; MOZAMBIQUE BELT; TRACE-ELEMENT; SRI-LANKA; TH-PB; ZIRCON; EVOLUTION</t>
  </si>
  <si>
    <t>The Sot. Rondane Mountains (SRM), East Antarctica, lie within the late Neoproterozoic-early Paleozoic collision zone related to the formation of the Gondwana supercontinent. Many studies have been carried out in the eastern SRM, whereas fundamental questions on the western SRM remain unanswered, e.g. detail metamorphic history, age, kinematics of sheared rocks and others. This paper describes lithology and structure of the western SRM, and the tectonic implications of a low-angle brittle shear zone within this area, the Kanino-tume Shear Zone (KSZ), is discussed. Rocks of the study area are divided into units 1-3 based on their lithology and structural position. Units 1 and 2 are composed mainly of Neoproterozoic gneiss, and unit 3 consists mainly of ca. 1000-800 Ma metatonalite. Units 2 and 3, both separated by a mylonite/ultramylonite zone formed by dextral shearing (Main Shear Zone: MSZ), tectonically overlie unit 1 with the KSZ. The KSZ, showing top-to-the south sense of shear, cuts MSZ (similar to ca. 530 Ma) and is intruded by mafic dikes (ca. 560-440 Ma). Therefore, units 2 and 3, which had been juxtaposed by the dextral movement along the MSZ, rode together onto unit 1 along the KSZ by top-to-the southward movement at late Neoproterozoic-early Paleozoic time. The KSZ gives critical evidence for late Neoproterozoic-early Paleozoic movement in the SRM within the East African-Antarctic orogen.</t>
  </si>
  <si>
    <t>[Tsukada, Kazuhiro] Nagoya Univ Museum, Nagoya, Aichi 4648601, Japan; [Yuhara, Masaki] Fukuoka Univ, Dept Earth Syst Sci, Fukuoka 8140180, Japan; [Owada, Masaaki; Shimura, Toshiaki] Yamaguchi Univ, Dept Geosphere Sci, Yamaguchi 7538512, Japan; [Kamei, Atsushi] Shimane Univ, Dept Geosci, Matsue, Shimane 6908504, Japan; [Kouchi, Yoshikazu] Univ Toyama, Dept Earth Sci, Toyama 9308555, Japan; [Yamamoto, Koshi] Nagoya Univ, Dept Earth &amp; Environm Sci, Nagoya, Aichi 4648601, Japan</t>
  </si>
  <si>
    <t>Nagoya University; Fukuoka University; Yamaguchi University; Shimane University; University of Toyama; Nagoya University</t>
  </si>
  <si>
    <t>Tsukada, K (corresponding author), Nagoya Univ Museum, Nagoya, Aichi 4648601, Japan.</t>
  </si>
  <si>
    <t>tsukada@num.nagoya-u.ac.jp</t>
  </si>
  <si>
    <t>YAMAMOTO, Koshi/0000-0002-7277-4246</t>
  </si>
  <si>
    <t>Grants-in-Aid for Scientific Research [15K05312, 15K05343, 15K13579, 16K05577, 16K05585, 15H03748, 15K05345] Funding Source: KAKEN</t>
  </si>
  <si>
    <t>Grants-in-Aid for Scientific Research(Ministry of Education, Culture, Sports, Science and Technology, Japan (MEXT)Japan Society for the Promotion of ScienceGrants-in-Aid for Scientific Research (KAKENHI))</t>
  </si>
  <si>
    <t>0264-3707</t>
  </si>
  <si>
    <t>J GEODYN</t>
  </si>
  <si>
    <t>J. Geodyn.</t>
  </si>
  <si>
    <t>10.1016/j.jog.2017.08.001</t>
  </si>
  <si>
    <t>FM2LA</t>
  </si>
  <si>
    <t>WOS:000414815100002</t>
  </si>
  <si>
    <t>Humphries, F</t>
  </si>
  <si>
    <t>Humphries, Fran</t>
  </si>
  <si>
    <t>A patent defence approach to sharing aquaculture genetic resources across jurisdictional areas</t>
  </si>
  <si>
    <t>JOURNAL OF WORLD INTELLECTUAL PROPERTY</t>
  </si>
  <si>
    <t>access and benefit sharing; aquaculture; genetic resources; patent law; TRIPS</t>
  </si>
  <si>
    <t>Access and benefit sharing (ABS) of genetic resources is a concept that is increasingly important for product development in aquaculture. ABS regulates the way aquatic genetic resources can be accessed from the world's waters and how the benefits that result from their use are shared between the providers and users of genetic resources and their derivatives. This article gives an overview of the multiple approaches to sharing aquaculture genetic resources under ABS regimes across the three jurisdictional areas in which they are foundwaters within national jurisdiction, beyond national jurisdictions and in the Antarctic Treaty Area. It highlights the complexity and inconsistencies relating to obligations for technology transfer across the various regimes and the implications this has for sharing genetic resources for use in aquaculture. It offers a practical solution to navigating this complexity by using an evolving patent defence approach consistent with the World Trade Organisation's Agreement on Trade-Related Aspects of Intellectual Property Rights (TRIPS). It concludes that this approach can guide the resolution of legal challenges that ABS regimes across the jurisdictional areas have in common, which concern derivatives and commercial use of genetic resources.</t>
  </si>
  <si>
    <t>[Humphries, Fran] Griffith Univ, Griffith Law Sch, 170 Kessels Rd, Nathan, Qld 4111, Australia</t>
  </si>
  <si>
    <t>Griffith University</t>
  </si>
  <si>
    <t>Humphries, F (corresponding author), Griffith Univ, Griffith Law Sch, 170 Kessels Rd, Nathan, Qld 4111, Australia.</t>
  </si>
  <si>
    <t>frances.humphries@griffith.edu.au</t>
  </si>
  <si>
    <t>Humphries, Fran/IAN-2752-2023; Humphries, Fran/AAJ-1605-2020</t>
  </si>
  <si>
    <t>Humphries, Fran/0000-0002-5476-4669; Humphries, Fran/0000-0002-5476-4669</t>
  </si>
  <si>
    <t>1422-2213</t>
  </si>
  <si>
    <t>1747-1796</t>
  </si>
  <si>
    <t>J WORLD INTELLECT PR</t>
  </si>
  <si>
    <t>J. World Intellect. Prop.</t>
  </si>
  <si>
    <t>10.1111/jwip.12082</t>
  </si>
  <si>
    <t>FM0YV</t>
  </si>
  <si>
    <t>WOS:000414696000005</t>
  </si>
  <si>
    <t>Wan, XM; Tang, SS; Xiang, XR; Huang, H; Hu, Y</t>
  </si>
  <si>
    <t>Wan, Xiaomei; Tang, Susu; Xiang, Xinran; Huang, He; Hu, Yi</t>
  </si>
  <si>
    <t>Immobilization of Candida antarctic Lipase B on Functionalized Ionic Liquid Modified MWNTs</t>
  </si>
  <si>
    <t>APPLIED BIOCHEMISTRY AND BIOTECHNOLOGY</t>
  </si>
  <si>
    <t>MULTIWALLED CARBON NANOTUBES; MESOPOROUS SILICA; BIOCATALYSIS; ENZYME; ADSORPTION; STABILITY; EVOLUTION; SUPPORTS; SBA-15</t>
  </si>
  <si>
    <t>Multiwalled carbon nanotubes (MWNTs) were modified by imidazole-based ionic liquids with different alkyl groups. The modified support samples were characterized by scanning transmission electron microscopy, Raman spectra, thermogravimetric analyses, and X-ray photoelectron spectroscopy. The samples were used to immobilize Candida antarctic lipase (CALB) and the influence of alkyl chain length of ionic liquids on enzymatic properties was investigated by the hydrolysis reaction of triacetin. The results revealed that functionalized ionic liquids modification did not destroy the structure of MWNTs. Compared with the immobilized CALB on MWNTs, the immobilized CALB on novel carriers all exhibited higher activity, thermal stability, and reusability. Especially, the activity of MWNTs-IL (8C)-CALB improved 15.23-folds than MWNTs-CALB, meanwhile, after incubation at 70 A degrees C for 20 min, residual enzyme activity of MWNTs-IL (8C)-CALB was 46% of the initial activity, while MWNTs-CALB already lost all activity. Besides, MWNTs-IL (8C)-CALB retained 64.5% of its initial activity after 4 cycles, while MWNTs-CALB retained only 2.12%.</t>
  </si>
  <si>
    <t>[Wan, Xiaomei; Tang, Susu; Xiang, Xinran; Huang, He; Hu, Yi] Nanjing Tech Univ, Sch Pharmaceut Sci, State Key Lab Mat Oriented Chem Engn, Nanjing 210009, Jiangsu, Peoples R China</t>
  </si>
  <si>
    <t>biotech@njtech.edu.cn; huyi@njtech.edu.cn</t>
  </si>
  <si>
    <t>National Natural Science Foundation of China [21676143]; Qing Lan Project; National Science Fund for Distinguished Young Scholars [21225626]</t>
  </si>
  <si>
    <t>National Natural Science Foundation of China(National Natural Science Foundation of China (NSFC)); Qing Lan Project(Jiangsu Polytech Institute); National Science Fund for Distinguished Young Scholars(National Natural Science Foundation of China (NSFC)National Science Fund for Distinguished Young Scholars)</t>
  </si>
  <si>
    <t>This work was financially supported by the National Natural Science Foundation of China (No. 21676143), Qing Lan Project, and the National Science Fund for Distinguished Young Scholars (No. 21225626).</t>
  </si>
  <si>
    <t>HUMANA PRESS INC</t>
  </si>
  <si>
    <t>TOTOWA</t>
  </si>
  <si>
    <t>999 RIVERVIEW DRIVE SUITE 208, TOTOWA, NJ 07512 USA</t>
  </si>
  <si>
    <t>0273-2289</t>
  </si>
  <si>
    <t>1559-0291</t>
  </si>
  <si>
    <t>APPL BIOCHEM BIOTECH</t>
  </si>
  <si>
    <t>Appl. Biochem. Biotechnol.</t>
  </si>
  <si>
    <t>10.1007/s12010-017-2465-9</t>
  </si>
  <si>
    <t>Biochemistry &amp; Molecular Biology; Biotechnology &amp; Applied Microbiology</t>
  </si>
  <si>
    <t>FL4JG</t>
  </si>
  <si>
    <t>WOS:000414195200009</t>
  </si>
  <si>
    <t>Amin, M; Bolch, CCJ; Adams, MB; Burke, CM</t>
  </si>
  <si>
    <t>Amin, Muhamad; Bolch, Christopher C. J.; Adams, Mark B.; Burke, Christopher M.</t>
  </si>
  <si>
    <t>Isolation of alginate lyase-producing bacteria and screening for their potential characteristics as abalone probionts</t>
  </si>
  <si>
    <t>AQUACULTURE RESEARCH</t>
  </si>
  <si>
    <t>alginate lyase; Enterobacter ludwigii; hybrid abalone; probiotic candidate</t>
  </si>
  <si>
    <t>HALIOTIS-LAEVIGATA DONOVAN; GREENLIP ABALONE; DIGESTIVE ENZYMES; JUVENILE GREENLIP; NUTRIENT DIGESTIBILITY; GROWTH-PERFORMANCE; WATER TEMPERATURE; DIET DEVELOPMENT; FEED-UTILIZATION; PROTEIN-LEVEL</t>
  </si>
  <si>
    <t>This study is aimed at the isolation and screening of alginate lyase-producing bacteria from the gastrointestinal tracts of hybrid abalone, Haliotis rubra x H. laevigata, as probiotic candidates. Six bacterial isolates were detected to produce alginate lyase. Of these, the isolate with the highest alginate-lyase activity was identified as Enterobacter ludwigii strain EN-119, displaying 99% similarity of 16S rDNA sequence. Further assays indicated that E. ludwigii showed good viability and stability when it was incorporated into manufactured pellets and stored at 4 degrees C for 7 days. The isolate also had high tolerance of high salinity (35 mg/L), low pH in simulated stomach juice (5) and to simulated intestinal juice containing surfactants such as bile salts and gastric enzymes (pepsin and trypsin). Additionally, a short, preliminary study indicated that supplementation of E. ludwigii via manufactured pellets improved the total weight gain and specific growth rate of hybrid abalone. These results suggest that E. ludwigii is a potential probiont for shortening the culture period of hybrid abalone.</t>
  </si>
  <si>
    <t>[Amin, Muhamad; Bolch, Christopher C. J.; Adams, Mark B.; Burke, Christopher M.] Univ Tasmania, Inst Marine &amp; Antarctic Studies, Launceston, Tas, Australia; [Amin, Muhamad] Univ 45 Mataram, Fisheries Fac, Mataram, West Nusa Tengg, Indonesia</t>
  </si>
  <si>
    <t>University of Tasmania; Universitas Mataram</t>
  </si>
  <si>
    <t>Amin, M (corresponding author), Univ Tasmania, Inst Marine &amp; Antarctic Studies, Launceston, Tas, Australia.</t>
  </si>
  <si>
    <t>muhamad.amin@utas.edu.au</t>
  </si>
  <si>
    <t>Amin, Muhamad/R-4343-2019; Amin, muhamad/IQU-3321-2023; Adams, Mark/P-7598-2019; Bolch, Christopher J/J-7619-2014</t>
  </si>
  <si>
    <t>Amin, Muhamad/0000-0002-7633-8388; Amin, muhamad/0000-0002-7633-8388; Adams, Mark/0000-0002-5737-5474;</t>
  </si>
  <si>
    <t>Australian Award Scholarship (AAS); Institute for Marine and Antarctic study (IMAS), University of Tasmania</t>
  </si>
  <si>
    <t>The authors thank Nick Savva for providing abalone, and the Australian Award Scholarship (AAS) for supporting the first author study. This work was also supported by the Institute for Marine and Antarctic study (IMAS), University of Tasmania.</t>
  </si>
  <si>
    <t>1355-557X</t>
  </si>
  <si>
    <t>1365-2109</t>
  </si>
  <si>
    <t>AQUAC RES</t>
  </si>
  <si>
    <t>Aquac. Res.</t>
  </si>
  <si>
    <t>10.1111/are.13383</t>
  </si>
  <si>
    <t>FJ1YT</t>
  </si>
  <si>
    <t>WOS:000412517900019</t>
  </si>
  <si>
    <t>Ziólek, M; Bartminski, P; Stach, A</t>
  </si>
  <si>
    <t>Ziolek, Marta; Bartminski, Piotr; Stach, Alfred</t>
  </si>
  <si>
    <t>The influence of seabirds on the concentration of selected heavy metals in organic soil on the Bellsund coast, western Spitsbergen</t>
  </si>
  <si>
    <t>ARCTIC SEABIRDS; PENGUIN COLONY; NUTRIENT; POLLUTANTS; IMPACT; CONTAMINATION; ACCUMULATION; PHOSPHORUS; TRANSPORT; CADMIUM</t>
  </si>
  <si>
    <t>Seabirds are an important factor affecting the chemical properties of the arctic soil environment. The objective of this work was to study the differences in content and distribution of heavy metals in organic soils resulting from the differential influence of seabirds. Studies were conducted in two stations in the southwest part of Spitsbergen-the first without the influence of seabirds and the second directly affected by an avian colony. Basic properties of soils as well as total content of Ca, Na, Mg, K, Fe, Al, Cu, Zn, Ni, Mn, Pb, Cd, Co, and Cr were determined. Reference was made to the previously published contents of different forms of phosphorus (P) for these locations. The studies showed that Zn, Mn, Cu, and Cd contents were higher in the soils that had been in the vicinity of the seabird colony. High statistically positive correlations of Cd, Cu, and Zn were noted with particular P forms. In the case of Pb, Cr, Co, and Ni content, the seabird influence was not dominant; probably other factors were more relevant (the processes of weathering, denudation, leaching, and atmospheric pollutants transported in the form of dust or gases). Clear segregation was observed of individual positions conditioned by selected soil features and by heavy metals content.</t>
  </si>
  <si>
    <t>[Ziolek, Marta] Marie Curie Sklodowska Univ, Dept Environm Protect, Fac Earth Sci &amp; Spatial Management, Al Krasnicka 2cd, PL-20718 Lublin, Poland; [Bartminski, Piotr] Marie Curie Sklodowska Univ, Dept Soil Sci &amp; Soil Protect, Fac Earth Sci &amp; Spatial Management, Al Krasnicka 2cd, PL-20718 Lublin, Poland; [Stach, Alfred] Adam Mickiewicz Univ, Dept Geoinformat, Inst Geoecol &amp; Geoinformat, Ul B Krygowskiego 10, PL-61680 Poznan, Poland</t>
  </si>
  <si>
    <t>Maria Curie-Sklodowska University; Maria Curie-Sklodowska University; Adam Mickiewicz University</t>
  </si>
  <si>
    <t>Bartminski, P (corresponding author), Marie Curie Sklodowska Univ, Dept Soil Sci &amp; Soil Protect, Fac Earth Sci &amp; Spatial Management, Al Krasnicka 2cd, PL-20718 Lublin, Poland.</t>
  </si>
  <si>
    <t>piotr.bartminski@umcs.pl</t>
  </si>
  <si>
    <t>Stach, Alfred/0000-0002-3091-5776; Ziolek, Marta/0000-0002-1537-5484</t>
  </si>
  <si>
    <t>10.1657/AAAR0016-024</t>
  </si>
  <si>
    <t>FL0VZ</t>
  </si>
  <si>
    <t>WOS:000413931200001</t>
  </si>
  <si>
    <t>Ge, L; Lafleur, PM; Humphreys, ER</t>
  </si>
  <si>
    <t>Ge, Le; Lafleur, Peter M.; Humphreys, Elyn R.</t>
  </si>
  <si>
    <t>Respiration from soil and ground cover vegetation under tundra shrubs</t>
  </si>
  <si>
    <t>LITTER DECOMPOSITION RATES; NET CO2 FLUX; ARCTIC VEGETATION; TEMPERATURE SENSITIVITY; CLIMATE-CHANGE; PLANT-GROWTH; LEAF-AREA; CARBON; FEEDBACKS; RESPONSES</t>
  </si>
  <si>
    <t>Atmospheric warming is expected to cause shifts in arctic tundra vegetation composition, especially in the abundance and distribution of shrub species. Greater shrub abundance will impact the carbon exchanges between tundra ecosystems and the atmosphere, including ecosystem respiration. Here, total respiration under the shrub canopy (R-T) and its components soil respiration (R-S) and respiration from the ground cover vegetation (R-G) were investigated at three tundra sites in the Canadian Low Arctic with varying shrub coverage. Seasonal R-T and R-S mean values were significantly greater (P &lt; 0.05) at the site with greatest shrub abundance; mean values were 3.70 and 3.22 mu mol m(-2) s(-1), respectively. Mean R-G did not differ among sites; mean values ranged from 0.45 to 0.52 mu mol m(-2) s(-1). Soil temperature exerted a stronger control on R-T and R-S compared to soil moisture. Differences in R-T and R-S among sites were attributed to differences in soil properties, such as soil total N content and bulk density. These findings suggest that belowground sources of respired carbon dioxide in Low Arctic tundra may vary with long-term shrub expansion as soil microclimate conditions and physiochemical properties adjust to changes in shrub coverage.</t>
  </si>
  <si>
    <t>[Ge, Le] Trent Univ, Environm &amp; Life Sci Grad Program, Peterborough, ON K9L 0G2, Canada; [Lafleur, Peter M.] Trent Univ, Sch Environm, Peterborough, ON K9L 0G2, Canada; [Humphreys, Elyn R.] Carleton Univ, Dept Geog &amp; Environm Studies, Ottawa, ON K1S 5B6, Canada</t>
  </si>
  <si>
    <t>Trent University; Trent University; Carleton University</t>
  </si>
  <si>
    <t>Lafleur, PM (corresponding author), Trent Univ, Sch Environm, Peterborough, ON K9L 0G2, Canada.</t>
  </si>
  <si>
    <t>plafleur@trentu.ca</t>
  </si>
  <si>
    <t>Humphreys, Elyn/0000-0002-5397-2802</t>
  </si>
  <si>
    <t>NSERC</t>
  </si>
  <si>
    <t>NSERC(Natural Sciences and Engineering Research Council of Canada (NSERC))</t>
  </si>
  <si>
    <t>This work was supported by the NSERC Discovery grants to P. M. Lafleur and E. R. Humphreys. We thank Sean Arruda, Kristyn Foster, Mary-Claire Buell, and Claire Elliott for their help in the field and laboratory. We also thank Karin Clark and the Daring Lake TERS staff for assistance in the field. Finally, we are thankful for the comments of two anonymous reviewers, which greatly improved this manuscript.</t>
  </si>
  <si>
    <t>10.1657/AAAR0016-064</t>
  </si>
  <si>
    <t>WOS:000413931200003</t>
  </si>
  <si>
    <t>Placzkowska, E</t>
  </si>
  <si>
    <t>Placzkowska, Eliza</t>
  </si>
  <si>
    <t>Slope-fluvial system structure in the Western Tatra Mountains (Poland): slope-to-channel transition</t>
  </si>
  <si>
    <t>DIGITAL ELEVATION MODELS; MORPHOMETRIC-ANALYSIS; HEADWATER STREAMS; HEAD LOCATIONS; NETWORKS; BASIN; CARPATHIANS; INITIATION; AREA; THRESHOLDS</t>
  </si>
  <si>
    <t>The slope-fluvial system comprises two subsystems: (a) the slope subsystem, with the dominance of mass movements, and (b) the fluvial (channel) subsystem, with fluvial processes dominating. The most interesting element of this system, and the most difficult to identify and explore, is the slope-to-channel transition zone between the dominance of slope processes and the dominance of fluvial processes. This article aims at exploring the detailed structure of the slope-fluvial system, with a particular focus on the transition zone between the slope and fluvial subsystems in the alpine and montane environments of the Western Tatra Mountains. This purpose is pursued through: (1) identifying the morphometry of headwaters, and (2) delimiting a theoretical border between the slope subsystem and the fluvial subsystem. To this end, a statistical analysis of morphometric parameters of 50 first-to third-order subcatchments was conducted. Particular attention was paid to analyzing the catchments' gradient-to-area relationship. On the basis of gradient-to-area relationship, seven catchment types were defined, characterized by various sequences of slope-fluvial system sections, as well as a border between the slope subsystem and the fluvial subsystem. Based on the morphometric parameters and the slope-fluvial system structure, the catchments under research may be divided into two groups, representing areas with different natural environmental conditions. Alpine zone comprises mostly catchment systems in their initial development stage, with little-developed drainage networks, classified entirely to the slope subsystem. These catchments have very high gradients, elongated shapes, and low bifurcation ratios. Montane zone is composed mainly of catchments at a similar development stage, with relatively large surface areas (similar to 1 km(2)) and well-developed drainage networks, which include fluvial reaches. Such catchments are usually wide-shaped and have low gradients and high bifurcation ratios. The transition from slope process dominance to fluvial process dominance may be either smooth or abrupt.</t>
  </si>
  <si>
    <t>[Placzkowska, Eliza] Polish Acad Sci, Inst Geog &amp; Spatial Org, Jana St 22, PL-31018 Krakow, Poland</t>
  </si>
  <si>
    <t>Polish Academy of Sciences</t>
  </si>
  <si>
    <t>Placzkowska, E (corresponding author), Polish Acad Sci, Inst Geog &amp; Spatial Org, Jana St 22, PL-31018 Krakow, Poland.</t>
  </si>
  <si>
    <t>eliza.placzkowska@zg.pan.krakow.pl</t>
  </si>
  <si>
    <t>Płaczkowska, Eliza/AAM-4397-2020</t>
  </si>
  <si>
    <t>Płaczkowska, Eliza/0000-0001-7993-6706</t>
  </si>
  <si>
    <t>Institute of Geography and Spatial Management of the Jagiellonian University; Doctus - Lesser Poland scholarship for doctoral candidates [ZS.4112-168/2010]; European Commission</t>
  </si>
  <si>
    <t>Institute of Geography and Spatial Management of the Jagiellonian University; Doctus - Lesser Poland scholarship for doctoral candidates; European Commission(European Union (EU)European Commission Joint Research Centre)</t>
  </si>
  <si>
    <t>The research was supported by the Institute of Geography and Spatial Management of the Jagiellonian University and by the Doctus - Lesser Poland scholarship for doctoral candidates (ZS.4112-168/2010) co-funded by the European Social Fund of the European Commission.</t>
  </si>
  <si>
    <t>10.1657/AAAR0017-028</t>
  </si>
  <si>
    <t>WOS:000413931200005</t>
  </si>
  <si>
    <t>Renner, HM; Walker, LR; Waythomas, CF; Williams, JC; Artukhin, YB</t>
  </si>
  <si>
    <t>Renner, Heather M.; Walker, Lawrence R.; Waythomas, Christopher F.; Williams, Jeffrey C.; Artukhin, Yuri B.</t>
  </si>
  <si>
    <t>Crevice-nesting auklets are early-successional species requiring disturbance to persist</t>
  </si>
  <si>
    <t>ST-GEORGE-ISLAND; VOLCANIC-ERUPTION; KASATOCHI ISLAND; LEAST AUKLETS; MARINE BIRDS; FOOD WEBS; SEABIRDS; SEA; COMMUNITIES; HABITATS</t>
  </si>
  <si>
    <t>Auklets (Aethia spp.) are small seabirds, endemic to the North Pacific Ocean, that nest in rock crevices on islands in Alaska and Russia. Nesting habitats for least (A. pusilla) and crested (A. cristatella) auklet colonies in the southern part of their range (Aleutian and Kuril Islands) are becoming overgrown by vegetation, which is fertilized by the auklets, making rock crevices unavailable for breeding. Colonization of newly created volcanic habitats suggests that auklets are habitat-limited in the southern range. The largest colonies there of least and crested auklets exist on lava slopes &lt; 100 years old. We propose that in the south, volcanic activity is required to maintain auklet populations. In contrast, colonies in the northern Bering Sea and Sea of Okhotsk show no indication of habitat limitation. They occur in more persistent talus slope habitats maintained by weathering, slumping, frost heaving, and tumbling. Biological processes there are slower and vegetation communities not as developed. We propose a conceptual model describing the interaction of geological and biological processes that influence auklet demography. We conclude that least and crested auklets require episodic disturbance (provided by volcanoes, earthquakes, and rock fall deposits) to maintain access to nest crevices. Auklets thereby provide an example of disturbance-adapted, early successional species that self-inhibit if their habitat is not regularly disturbed.</t>
  </si>
  <si>
    <t>[Renner, Heather M.; Williams, Jeffrey C.] US Fish &amp; Wildlife Serv, Alaska Maritime Natl Wildlife Refuge, 95 Sterling Highway,Suite 1, Homer, AK 99603 USA; [Walker, Lawrence R.] Univ Nevada Las Vegas, Sch Life Sci, Las Vegas, NV 89154 USA; [Waythomas, Christopher F.] US Geol Survey, Alaska Volcano Observ, 4210 Univ Dr, Anchorage, AK 99508 USA; [Artukhin, Yuri B.] RAS, Kamchatka Branch Pacific Geog Inst, Far Eastern Branch, Rybakov Prospekt 19a, Petropavlovsk Kamchatski 683024, Russia</t>
  </si>
  <si>
    <t>United States Department of the Interior; US Fish &amp; Wildlife Service; Nevada System of Higher Education (NSHE); University of Nevada Las Vegas; United States Department of the Interior; United States Geological Survey; Russian Academy of Sciences; Pacific Geographical Institute of the Far Eastern Branch of the Russian Academy of Sciences</t>
  </si>
  <si>
    <t>Renner, HM (corresponding author), US Fish &amp; Wildlife Serv, Alaska Maritime Natl Wildlife Refuge, 95 Sterling Highway,Suite 1, Homer, AK 99603 USA.</t>
  </si>
  <si>
    <t>heather_renner@fws.gov</t>
  </si>
  <si>
    <t>Artukhin, Yuri/J-6175-2018</t>
  </si>
  <si>
    <t>Artukhin, Yuri/0000-0001-5881-8487</t>
  </si>
  <si>
    <t>10.1657/AAAR0017-051</t>
  </si>
  <si>
    <t>WOS:000413931200006</t>
  </si>
  <si>
    <t>Darby, DA; Andrews, JT; Belt, ST; Jennings, AE; Cabedo-Sanz, P</t>
  </si>
  <si>
    <t>Darby, D. A.; Andrews, J. T.; Belt, S. T.; Jennings, A. E.; Cabedo-Sanz, P.</t>
  </si>
  <si>
    <t>Holocene cyclic records of ice-rafted debris and sea ice variations on the East Greenland and Northwest Iceland margins</t>
  </si>
  <si>
    <t>MARINE CLIMATE VARIABILITY; ARCTIC-OCEAN; NORTHEAST GREENLAND; CONTINENTAL-MARGIN; SURFACE SEDIMENTS; DRIFT ICE; SOUTHEAST GREENLAND; LATEST PLEISTOCENE; HIGH-RESOLUTION; NORDIC SEAS</t>
  </si>
  <si>
    <t>The dynamics of the Greenland Ice Sheet and drift of sea ice from the Arctic Ocean reaching Denmark Strait are poorly constrained. We present data on the provenance of Fe oxide detrital grains from two cores in the Denmark Strait area and compare the Fe grain source data with other environmental proxies in order to document the variations and potential periodicities in ice-rafted debris delivery during the Holocene. Based on their Fe grain geochemistry, the sediments can be traced to East Greenland sources and to more distal sites around the Arctic Basin. On the Holocene time scales of the two cores, sea ice biomarker (IP25) data, and quartz weight percent reveal positive associations with T degrees C and inverse associations with biogenic carbonate wt%. Trends in the data were obtained from Singular Spectrum Analysis (SSA), and residuals were tested for cyclicity. Trends on the environmental proxies explained between 15 and 90% of the variance. At both sites the primary Fe grain sources were from Greenland, but significant contributions were also noted from Banks Island and Svalbard. There is a prominent cyclicity of 800 yrs as well as other less prominent cycles for both Greenland and arctic sources. The Fe grain sources from Greenland and the circum-Arctic Ocean are in synchronization, suggesting that the forcings for these cycles are regional and not local ice sheet instabilities.</t>
  </si>
  <si>
    <t>[Darby, D. A.] Old Dominion Univ, Dept Ocean Earth &amp; Atmospher Sci, Norfolk, VA 32529 USA; [Andrews, J. T.; Jennings, A. E.] Univ Colorado, INSTAAR, UCB 450, Boulder, CO 80309 USA; [Andrews, J. T.; Jennings, A. E.] Univ Colorado, Dept Geol Sci, UCB 450, Boulder, CO 80309 USA; [Belt, S. T.; Cabedo-Sanz, P.] Univ Plymouth, Biogeochem Res Ctr, Sch Geog Earth &amp; Environm Sci, Plymouth PL4 8AA, Devon, England</t>
  </si>
  <si>
    <t>Old Dominion University; University of Colorado System; University of Colorado Boulder; University of Colorado System; University of Colorado Boulder; University of Plymouth</t>
  </si>
  <si>
    <t>Darby, DA (corresponding author), Old Dominion Univ, Dept Ocean Earth &amp; Atmospher Sci, Norfolk, VA 32529 USA.</t>
  </si>
  <si>
    <t>ddarby@odu.edu</t>
  </si>
  <si>
    <t>Darby, Dennis A./A-9219-2010</t>
  </si>
  <si>
    <t>Cabedo Sanz, Patricia/0000-0002-3626-0221</t>
  </si>
  <si>
    <t>National Science Foundation [ANS-1107761]; ANATILS project (Abrupt North Atlantic Transitions: Ice, Lakes and Sea); Icelandic Research Council (RANNIS) [141573-051]; Oregon State University Marine Geology Repository [OCE-0962077]; [NS-OCE-9807761]; [NSF-OCE-980900]</t>
  </si>
  <si>
    <t>National Science Foundation(National Science Foundation (NSF)); ANATILS project (Abrupt North Atlantic Transitions: Ice, Lakes and Sea); Icelandic Research Council (RANNIS); Oregon State University Marine Geology Repository; ;</t>
  </si>
  <si>
    <t>The research of Darby, Andrews, and Jennings was supported by grant ANS-1107761 from the National Science Foundation. Cores 2263 and 2322 were also obtained with funding from NS-OCE-9807761. We thank R. Stein and an anonymous reviewer for their helpful suggestions. The work of Belt, Cabedo-Sanz, and Jennings was also supported by their involvement in the ANATILS project (Abrupt North Atlantic Transitions: Ice, Lakes and Sea) supported by the Icelandic Research Council (RANNIS) Grant of Excellence #141573-051 awarded to A. Geirsdottir (University of Iceland) and G. Miller (INSTAAR) as PIs. We also thank the staff at the Oregon State University Marine Geology Repository for sampling core MD99-2269 and -2322 (grant number OCE-0962077), and INSTAAR's participation in the two legs of the IMAGES V Cruise that obtained cores 2263 and 2322 was supported by NSF-OCE-980900. The Fe grain data used in this study are deposited in the Pangaea Data Publisher (http://www.Pangaea.de).</t>
  </si>
  <si>
    <t>10.1657/AAAR0017-008</t>
  </si>
  <si>
    <t>WOS:000413931200009</t>
  </si>
  <si>
    <t>Salter, WT; Turnbull, TL; Rennenberg, H; Adams, MA</t>
  </si>
  <si>
    <t>Salter, William T.; Turnbull, Tarryn L.; Rennenberg, Heinz; Adams, Mark A.</t>
  </si>
  <si>
    <t>Solar UV upregulates photoprotection but slows photosynthesis in subalpine Australian plants</t>
  </si>
  <si>
    <t>INDUCED OXIDATIVE STRESS; BLUE-GREEN FLUORESCENCE; BEECH FAGUS-SYLVATICA; B RADIATION; ACTION SPECTRUM; DIURNAL CHANGES; LEAVES; PERFORMANCE; GROWTH; ACCLIMATION</t>
  </si>
  <si>
    <t>Recent literature suggests a shifting paradigm in relation to photobiology associated with ultraviolet (UV) radiation. UV has been repeatedly shown to be less detrimental to plant performance than previously thought. Nonetheless, relatively few plant species have been studied; too few to make definitive statements about effects of UV on plants at the ecosystem scale. We present findings of a field-based study using natural solar radiation, coupled with UV screening films, to determine physiological costs and benefits of exposure to solar UV for three species representative of subalpine Australian flora: a tree (Eucalyptus pauciflora), a forb (Geranium antrorsum), and a grass (Poa hiemata). Photochemical and photosynthetic responses to UV exclusion varied among species; exposure to UV was of no consequence to the structure, chemistry, or incidence of photoinhibition for E. pauciflora. UV was effectively screened at the leaf surface of P. hiemata. The response of G. anstrorsum to UV exclusion suggests greater susceptibility to photodamage; less successful in screening against UV and exposure reduced rates of photosynthesis, despite increased capacity to scavenge reactive oxygen species (via accumulating ascorbate). This study clarifies that responses to UV are highly species-specific, and that the endemic native flora is seemingly well-adapted to mitigate negative effects.</t>
  </si>
  <si>
    <t>[Salter, William T.; Turnbull, Tarryn L.] Univ Sydney, Ctr Carbon Water &amp; Food, 380 Werombi Rd, Brownlow Hill, NSW 2570, Australia; [Rennenberg, Heinz] Univ Freiburg, Chair Tree Physiol, Inst Forest Bot &amp; Tree Physiol, Georges Koehler Allee 53-54, D-79110 Freiburg, Germany; [Rennenberg, Heinz] King Saud Univ, Coll Sci, POB 2455, Riyadh 11451, Saudi Arabia; [Adams, Mark A.] Swinburne Univ, Fac Sci Engn &amp; Technol, Dept Chem &amp; Biotechnol, POB 218, Hawthorn, Vic 3122, Australia</t>
  </si>
  <si>
    <t>University of Sydney; University of Freiburg; King Saud University; Swinburne University of Technology</t>
  </si>
  <si>
    <t>Salter, WT (corresponding author), Univ Sydney, Ctr Carbon Water &amp; Food, 380 Werombi Rd, Brownlow Hill, NSW 2570, Australia.</t>
  </si>
  <si>
    <t>william.salter@sydney.edu.au</t>
  </si>
  <si>
    <t>Salter, William/AAE-9397-2019; adams, mark a/H-1303-2012</t>
  </si>
  <si>
    <t>Salter, William/0000-0003-1653-5192; adams, mark a/0000-0002-8154-0097</t>
  </si>
  <si>
    <t>10.1657/AAAR0017-024</t>
  </si>
  <si>
    <t>WOS:000413931200010</t>
  </si>
  <si>
    <t>Sun, FL; Ma, YM; Hu, ZY; Li, MS; Gerken, T; Zhang, L; Han, CB; Sun, GH</t>
  </si>
  <si>
    <t>Sun, Fanglin; Ma, Yaoming; Hu, Zeyong; Li, Maoshan; Gerken, Tobias; Zhang, Lang; Han, Cunbo; Sun, Genhou</t>
  </si>
  <si>
    <t>Observation of strong winds on the northern slopes of Mount Everest in monsoon season</t>
  </si>
  <si>
    <t>KALI GANDAKI VALLEY; DIURNAL WINDS; ONSET</t>
  </si>
  <si>
    <t>An analysis of the local atmospheric circulation in a northern Himalayan valley in the region of Mount Everest is presented. Data were collected using an automatic weather station over a one-year period in 2014. A ground-based wind profiler radar (WPR) and an in situ GPS radiosonde (RS) were also employed. This study focuses on the characteristics of afternoon strong wind events in the downstream of Rongbuk Valley. We found that: (1) The occurrence of the southwesterly wind during non-monsoon was in good consistency with high values of westerly wind at high levels over this region and confirmed to be driven by the strong westerly jet aloft. (2) The strong afternoon wind in monsoon season has a persistent southeasterly direction, which differs from the prevailing direction of the strong wind in non-monsoon. This flow was found to be independent of the wind aloft and was strongly seasonal, developing at Qomolangma Station (QOMS) when the subtropical jet stream had moved northward and was most stable and strongest in the early monsoon season but before the rainy season. (3) The southeasterly wind in monsoon is colder than local air, suggesting that it is driven by a strong thermal gradient from the Arun Valley to QOMS. Our results contribute to improving our knowledge of local circulation patterns in the Himalayas, and also to gaining a detailed understanding of the mountain chain's role in both the monsoon system and regional transport of atmospheric pollutants.</t>
  </si>
  <si>
    <t>[Sun, Fanglin; Hu, Zeyong; Sun, Genhou] Chinese Acad Sci, Key Lab Land Surface Proc &amp; Climate Change Cold &amp;, 320 Donggang West Rd, Lanzhou 730000, Gansu, Peoples R China; [Ma, Yaoming; Zhang, Lang; Han, Cunbo] Chinese Acad Sci, Inst Tibetan Plateau Res, CAS Ctr Excellence, Key Lab Tibetan Environm Changes &amp; Land Surface P, 16 Lincui Rd, Beijing 100101, Peoples R China; [Li, Maoshan] Chengdu Univ Informat Technol, Sch Atmospher Sci, 24 Block,1 Xuefu Rd, Chengdu 610225, Sichuan, Peoples R China; [Gerken, Tobias] Montana State Univ, Dept Land Resources &amp; Environm Sci, 211 Montana Hall, Bozeman, MT 59717 USA</t>
  </si>
  <si>
    <t>Chinese Academy of Sciences; Chinese Academy of Sciences; Institute of Tibetan Plateau Research, CAS; Chengdu University of Information Technology; Montana State University System; Montana State University Bozeman</t>
  </si>
  <si>
    <t>Sun, FL (corresponding author), Chinese Acad Sci, Key Lab Land Surface Proc &amp; Climate Change Cold &amp;, 320 Donggang West Rd, Lanzhou 730000, Gansu, Peoples R China.</t>
  </si>
  <si>
    <t>fanglin.sun@gmail.com</t>
  </si>
  <si>
    <t>Gerken, Tobias/HJP-9693-2023</t>
  </si>
  <si>
    <t>Gerken, Tobias/0000-0001-5617-186X</t>
  </si>
  <si>
    <t>National Natural Science Foundation of China [91337212, 41005010, 41475010, 41675106, 91637313, 41275010]; R&amp;D Special Fund for Public Welfare Industry [GYHY201406001]</t>
  </si>
  <si>
    <t>National Natural Science Foundation of China(National Natural Science Foundation of China (NSFC)); R&amp;D Special Fund for Public Welfare Industry</t>
  </si>
  <si>
    <t>This research was funded by the National Natural Science Foundation of China (91337212, 41005010, 41475010, 41675106, 91337212, 91637313, and 41275010), and R&amp;D Special Fund for Public Welfare Industry (meteorology), No. GYHY201406001. The authors thank the staff of QOMS, who provided much help making the field observations for this research, and in data access.</t>
  </si>
  <si>
    <t>10.1657/AAAR0016-010</t>
  </si>
  <si>
    <t>WOS:000413931200011</t>
  </si>
  <si>
    <t>Berger, AM; Goethel, DR; Lynch, PD; Quinn, T; Mormede, S; McKenzie, J; Dunn, A</t>
  </si>
  <si>
    <t>Berger, Aaron M.; Goethel, Daniel R.; Lynch, Patrick D.; Quinn, Terrance, II; Mormede, Sophie; McKenzie, Jeremy; Dunn, Alistair</t>
  </si>
  <si>
    <t>Space oddity: The mission for spatial integration</t>
  </si>
  <si>
    <t>CANADIAN JOURNAL OF FISHERIES AND AQUATIC SCIENCES</t>
  </si>
  <si>
    <t>Conference on Gutshop - New Perspectives on the Feeding Ecology and Trophic Dynamics of Freshwater and Marine Fishes held at the 145th Annual Meeting of the American-Fisheries-Society</t>
  </si>
  <si>
    <t>AUG, 2015</t>
  </si>
  <si>
    <t>Portland, OR</t>
  </si>
  <si>
    <t>TOOTHFISH DISSOSTICHUS-MAWSONI; FISHERIES STOCK ASSESSMENT; SURPLUS PRODUCTION-MODEL; MARINE PROTECTED AREAS; AGE-STRUCTURED MODEL; ANTARCTIC TOOTHFISH; CAPTURE-RECAPTURE; LIFE-HISTORY; POPULATION-DYNAMICS; CLIMATE-CHANGE</t>
  </si>
  <si>
    <t>Fishery management decisions are commonly guided by stock assessment models that aggregate outputs across the spatial domain of the species. With refined understanding of spatial population structures, scientists have begun to address how spatiotemporal mismatches among the scale of ecological processes, data collection programs, and stock assessment methods (or assumptions) influence the reliability and, ultimately, appropriateness of regional fishery management (e.g., assigning regional quotas). Development and evaluation of spatial modeling techniques to improve fisheries assessment and management have increased rapidly in recent years. We overview the historical context of spatial models in fisheries science, highlight recent advances in spatial modeling, and discuss how spatial models have been incorporated into the management process. Despite limited examples where spatial assessment models are used as the basis for management advice, continued investment in fine-scale data collection and associated spatial analyses will improve integration of spatial dynamics and ecosystem-level interactions in stock assessment. In the near future, spatiotemporal fisheries management advice will increasingly rely on fine-scale outputs from spatial analyses.</t>
  </si>
  <si>
    <t>[Berger, Aaron M.] Natl Marine Fisheries Serv, Fisheries Resource &amp; Monitoring Div, Northwest Fisheries Sci Ctr, NOAA, 2032 SE OSU Dr, Newport, OR 97365 USA; [Goethel, Daniel R.] Natl Marine Fisheries Serv, Sustainable Fisheries Div, Southeast Fisheries Sci Ctr, NOAA, 75 Virginia Beach Dr, Miami, FL 33133 USA; [Lynch, Patrick D.] Natl Marine Fisheries Serv, Off Sci &amp; Technol, NOAA, 1325 East West Hwy, Silver Spring, MD 20910 USA; [Quinn, Terrance, II] Univ Alaska Fairbanks, Coll Fisheries &amp; Oceans Sci, 17101 Point Lena Rd, Juneau, AK 99801 USA; [Mormede, Sophie; Dunn, Alistair] Natl Inst Water &amp; Atmospher Res, 301 Evans Bay Parade, Wellington, New Zealand; [McKenzie, Jeremy] Natl Inst Water &amp; Atmospher Res, 41 Market Pl, Auckland, New Zealand; [Dunn, Alistair] New Zealand Minist Primary Ind, Pastoral House,25 Terrace, Wellington, New Zealand</t>
  </si>
  <si>
    <t>National Aeronautics &amp; Space Administration (NASA); National Oceanic Atmospheric Admin (NOAA) - USA; National Oceanic Atmospheric Admin (NOAA) - USA; National Oceanic Atmospheric Admin (NOAA) - USA; University of Alaska System; University of Alaska Fairbanks; National Institute of Water &amp; Atmospheric Research (NIWA) - New Zealand; National Institute of Water &amp; Atmospheric Research (NIWA) - New Zealand</t>
  </si>
  <si>
    <t>Berger, AM (corresponding author), Natl Marine Fisheries Serv, Fisheries Resource &amp; Monitoring Div, Northwest Fisheries Sci Ctr, NOAA, 2032 SE OSU Dr, Newport, OR 97365 USA.</t>
  </si>
  <si>
    <t>aaron.berger@noaa.gov</t>
  </si>
  <si>
    <t>Goethel, Daniel/J-5504-2019</t>
  </si>
  <si>
    <t>Goethel, Daniel/0000-0003-0066-431X; Mormede, Sophie/0000-0003-4668-2046; Berger, Aaron/0000-0002-1408-7122</t>
  </si>
  <si>
    <t>JCM Sustainable Fisheries activity; National Marine Fisheries Service Office of Science and Technology; Stock Assessment Analytical Methods (SAAM) project</t>
  </si>
  <si>
    <t>Earlier versions of this manuscript were improved with reviews from Owen Hamel, James Thorson, Rishi Sharma, Alex Chester, and Michelle McClure. We thank all those that contributed to the 145th AFS Meeting (Portland, Oregon, USA) theme session on Recent advances incorporating spatial processes in the fishery stock assessment and management interface for soliciting gainful discussion on the topic, much of which helped to grease the wheels for many research articles in this issue. We also thank the National Institute of Water and Atmospheric Research and all who participated in the Joint New Zealand - United States Commission on Science and Technology Cooperation Marine and Ocean Theme (JCM) workshop on Spatial Fish Population Dynamics and Stock Assessments for helping to stimulate many of the ideas presented in this manuscript. We acknowledge Gwladys Lambert, Thomas Helser, and the Otolith Sample Size Working Group for providing summary data collected by surveying federal fisheries stock assessment scientists. Finally, for funding support we thank both the JCM Sustainable Fisheries activity and the National Marine Fisheries Service Office of Science and Technology, as well as the Stock Assessment Analytical Methods (SAAM) project.</t>
  </si>
  <si>
    <t>CANADIAN SCIENCE PUBLISHING</t>
  </si>
  <si>
    <t>OTTAWA</t>
  </si>
  <si>
    <t>65 AURIGA DR, SUITE 203, OTTAWA, ON K2E 7W6, CANADA</t>
  </si>
  <si>
    <t>0706-652X</t>
  </si>
  <si>
    <t>1205-7533</t>
  </si>
  <si>
    <t>CAN J FISH AQUAT SCI</t>
  </si>
  <si>
    <t>Can. J. Fish. Aquat. Sci.</t>
  </si>
  <si>
    <t>10.1139/cjfas-2017-0150</t>
  </si>
  <si>
    <t>FK5OT</t>
  </si>
  <si>
    <t>Green Accepted, Green Submitted, Bronze</t>
  </si>
  <si>
    <t>WOS:000413550300002</t>
  </si>
  <si>
    <t>Singh, AT; Laluraj, CM; Sharma, P; Patel, LK; Thamban, M</t>
  </si>
  <si>
    <t>Singh, Ajit T.; Laluraj, C. M.; Sharma, Parmanand; Patel, Lavkush K.; Thamban, Meloth</t>
  </si>
  <si>
    <t>Export fluxes of geochemical solutes in the meltwater stream of Sutri Dhaka Glacier, Chandra basin, Western Himalaya</t>
  </si>
  <si>
    <t>Meltwater; Rock-water interaction; Chemical composition; Sutri Dhaka Glacier; Himalaya</t>
  </si>
  <si>
    <t>CHHOTA SHIGRI GLACIER; SUSPENDED-SEDIMENT; TRACE-ELEMENTS; GROUNDWATER; CHEMISTRY; RATES; ICE</t>
  </si>
  <si>
    <t>The hydrochemistry of meltwater from the Sutri Dhaka Glacier, Western Himalaya, has been studied to understand the influence of the factors controlling the weathering processes of the glaciers during the peak ablation period. The high solar irradiance prompted intense melting, which has raised the stream flow of the glacier. The meltwater has been observed as slightly alkaline (mean pH 8.2) and contains the major anions (HCO3- &gt; SO42- &gt; NO3- &gt; Cl-) and cations (Ca2+ &gt; Mg2+ &gt; K+ &gt; Na+ &gt; NH4+) with Ca2+ (78.5%) and HCO3- (74.5%) as the dominant species. The piper diagram indicates the category of stream meltwater as Ca2+-HCO3- type. In addition, it is evident from the Gibbs diagram that the interaction between the meltwater and bedrock controls the ionic concentrations of the glacial meltwater. The high ratio value (similar to 0.75) of HCO3- /(HCO3- +SO42-) indicates that the carbonate weathering is dominant. Fe and Al followed by Mn, Sr, and Ti are the most dominant trace elements present in the meltwater. The significant negative correlation exhibited by the major ions and Sr with the discharge is recommended for the enrichment of these solutes during the lean discharge periods. However, the insignificant correlation of Fe, Al, Mn, and Ti with discharge suggests their physicochemical control. The principal component analysis (PCA) carried has highlighted three dominant composites, i.e., the water-rock interaction, atmospheric dust inputs, and physicochemical changes in the meltwater. Hence, the present study elucidates the export of geochemical solutes from Sutri Dhaka Glacier and factors governing the water chemistry, which helps in the better understanding of hydrochemical processes of the Himalayan glaciers and substantial improvement of our understanding about the glacio-hydrological environments and their response in the scenario of global warming.</t>
  </si>
  <si>
    <t>[Singh, Ajit T.; Laluraj, C. M.; Sharma, Parmanand; Patel, Lavkush K.; Thamban, Meloth] Natl Ctr Antarct &amp; Ocean Res, Vasco Da Gama 403804, Goa, India</t>
  </si>
  <si>
    <t>Singh, AT (corresponding author), Natl Ctr Antarct &amp; Ocean Res, Vasco Da Gama 403804, Goa, India.</t>
  </si>
  <si>
    <t>ajit.t.singh@gmail.com</t>
  </si>
  <si>
    <t>Patel, Lavkush/AGQ-2159-2022</t>
  </si>
  <si>
    <t>Thamban, Meloth/0000-0003-3379-8189</t>
  </si>
  <si>
    <t>Ministry of Earth Science</t>
  </si>
  <si>
    <t>The authors would like to thank the Director of National Centre for Antarctic and Ocean Research and Dr. Rasik Ravindra for their encouragement and the Ministry of Earth Science for providing financial support. The authors also wish to thank BL Redkar, Ashish Painginkar, and Lathika N. Padmanabhan for assistance with the laboratory analysis. The first author would like to thank Dr. Roseline Thakur, Dr. Kanthanathan Mahalinganathan, Dr. Runa Antony, Racheal Chacko, Rupesh Kumar Sinha, Vinay Kumar Gaddam, Dr. Bhanu Pratap, and Sunil Oulkar for their valuable comments. We acknowledge Dr. Andrew Mitchell for his assistance with the PHEERIQC software. We would like to thank the editor and an anonymous reviewer for careful reading and constructive suggestions, which helped us to improve</t>
  </si>
  <si>
    <t>10.1007/s10661-017-6268-9</t>
  </si>
  <si>
    <t>FK6HV</t>
  </si>
  <si>
    <t>WOS:000413605000025</t>
  </si>
  <si>
    <t>Gastauer, S; Scoulding, B; Parsons, M</t>
  </si>
  <si>
    <t>Gastauer, Sven; Scoulding, Ben; Parsons, Miles</t>
  </si>
  <si>
    <t>Towards acoustic monitoring of a mixed demersal fishery based on commercial data: The case of the Northern Demersal Scalefish Fishery (Western Australia)</t>
  </si>
  <si>
    <t>Fisheries acoustics; Geostatistics; Target strength; NDSF; Fishing vessel; Error estimates</t>
  </si>
  <si>
    <t>MULTIPLE-FREQUENCY METHOD; TARGET STRENGTH; SPECIES IDENTIFICATION; IN-SITU; SWIMBLADDER; ECOSYSTEM; CLASSIFICATION; AGGREGATIONS; UNCERTAINTY; MERLUCCIUS</t>
  </si>
  <si>
    <t>Ongoing monitoring of complex, mixed species environments is a challenging task. In this study, the potential of acoustic and catch data collected aboard a commercial fishing vessel, in combination with geostatistical variance estimates, are explored as a means to derive information on the distribution and abundance of key species groups within selected fishing regions. The FV Carolina M, a trap fishing vessel which operates in waters off Broome, Western Australia, in the Northern Demersal Scalefish Fishery, was equipped with Simrad ES70 echosounders, operated at 38 and 120 kHz. Optical recordings of catch were also obtained, in addition to the acoustic data, during routine fishing operations in 2014. Three regions, where both optical and acoustic datasets were available, were selected for analysis. Geostatistical conditional simulations were used to combine acoustic density information with species composition proportions and length distributions within the catch. For each of the input datasets 250 simulations were conducted, from which individual and combined sampling CVs were derived. Conversion of acoustic densities into abundance estimates was achieved through application of target strength to length relationships (TS-L). Where TS-L was unavailable in the literature for a particular species it was estimated through a Kirchhoff-ray mode model. TS-L equations were estimated for rankin cod (Epinephelus multinotatiis)(TSRC = 20 log(10)(L) - 79.6), triggerfish (Balistidae) (TSTF = 20 log(10)(L) - 77.7) and spangled emperor (Lethrinus nebulosus) (TSSE = 20 log(10)(L) - 70.8) at 38 kHz. Sampling error was found to be generally low for catch proportions ( &lt; 12%) and acoustic densities ( &lt; 10%). Total sampling error CV for species group abundances within each of the three regions was 9%-38%, which is similar to typical estimates reported for acoustic surveys.</t>
  </si>
  <si>
    <t>[Gastauer, Sven; Parsons, Miles] Curtin Univ, Ctr Marine Sci &amp; Technol, GPO Box U1987, Perth, WA 6845, Australia; [Gastauer, Sven] Wageningen Marine Res, POB 68, NL-1970 AB Ijmuiden, Netherlands; [Gastauer, Sven] Univ Tasmania, Antarctic Climate &amp; Ecosyst Cooperat Res Ctr, Private Bag 80, Hobart, Tas 7001, Australia; [Scoulding, Ben] Echoview Software Pty Ltd, GPO Box 1387, Hobart, Tas 7001, Australia</t>
  </si>
  <si>
    <t>Curtin University; Wageningen University &amp; Research; Antarctic Climate &amp; Ecosystems Cooperative Research Centre (ACE CRC); University of Tasmania</t>
  </si>
  <si>
    <t>Gastauer, S (corresponding author), Curtin Univ, CMST, B301 Hayman Rd, Bentley, WA 6102, Australia.</t>
  </si>
  <si>
    <t>sven.gastauer@postgrad.curtin.edu.au</t>
  </si>
  <si>
    <t>Scoulding, Ben/L-6200-2018; Gastauer, Sven/KFT-2835-2024</t>
  </si>
  <si>
    <t>Gastauer, Sven/0000-0001-9676-9946</t>
  </si>
  <si>
    <t>Australian Fisheries Research and Development Corporation (FRDC); Western Australian Department of Fisheries; CSIRO</t>
  </si>
  <si>
    <t>Australian Fisheries Research and Development Corporation (FRDC)(Fisheries R&amp;D Corp); Western Australian Department of Fisheries; CSIRO(Commonwealth Scientific &amp; Industrial Research Organisation (CSIRO))</t>
  </si>
  <si>
    <t>Data used within this project was collected through a project funded via the Australian Fisheries Research and Development Corporation (FRDC) with support from the Western Australian Department of Fisheries. The authors would like to thank CSIRO and especially Lionel Esteban for support with the CT scans. A special thank you goes out to Kimberley Wildcatch and the crew of Carolina M., Adam and Alison Masters for their support and help during the data collection process. Sascha Fassler, Pierre Petitgas, Paul Fernandes, Matthieu Woillez, and Matthieu Doray for all the discussions about geostatistics and acoustics we had over the past years, without which this work would have been impossible.</t>
  </si>
  <si>
    <t>10.1016/j.fishres.2017.07.008</t>
  </si>
  <si>
    <t>FI8LU</t>
  </si>
  <si>
    <t>WOS:000412254900011</t>
  </si>
  <si>
    <t>Kaplan, MR; Licht, KJ; Winckler, G; Schaefer, JM; Bader, N; Mathieson, C; Roberts, M; Kassab, CM; Schwartz, R; Graly, JA</t>
  </si>
  <si>
    <t>Kaplan, M. R.; Licht, K. J.; Winckler, G.; Schaefer, J. M.; Bader, N.; Mathieson, C.; Roberts, M.; Kassab, C. M.; Schwartz, R.; Graly, J. A.</t>
  </si>
  <si>
    <t>Middle to Late Pleistocene stability of the central East Antarctic Ice Sheet at the head of Law Glacier</t>
  </si>
  <si>
    <t>TRANSANTARCTIC MOUNTAINS; RANGE; HISTORY; CLIMATE</t>
  </si>
  <si>
    <t>Past behavior of outlet glaciers draining the East Antarctic Ice Sheet (EAIS) remains unresolved prior to Marine Isotope Stage 2 (MIS2). Study of blue ice moraines provides a relatively untapped approach to understand former EAIS activity. We focus on a blue ice moraine near Mount Achernar in the central Transantarctic Mountains, at the edge of the polar plateau. The well-preserved moraine consists of quasi-continuous or hummocky sediment ridges that form on top of upward-flowing, sublimating ice along the margin of Law Glacier. Be-10, Al-26, and He-3 cosmogenic nuclide ages on boulders from the ridges are coherent and in general are progressively older with distance from the relatively clean ice of the Law Glacier margin. Moraines closest to the Law Glacier margin postdate MIS2; farther away, they date to the last glacial cycle, and with more distance they are hundreds of thousands of years old. We conclude that cosmogenic dating of some blue ice moraines can provide age limits for changes at the heads of outlet glaciers that drain the central East Antarctic Ice Sheet, including prior to MIS2. Furthermore, the geomorphological, cosmogenic nuclide, and sedimentological evidence imply that the East Antarctic polar plateau adjacent to the central Transantarctic Mountains has been relatively stable for at least 200 k.y.</t>
  </si>
  <si>
    <t>[Kaplan, M. R.; Winckler, G.; Schaefer, J. M.; Mathieson, C.; Schwartz, R.] Lamont Doherty Earth Observ, Div Geochem, Palisades, NY 10964 USA; [Licht, K. J.; Bader, N.; Kassab, C. M.; Graly, J. A.] Indiana Univ Purdue Univ, Dept Earth Sci, Indianapolis, IN 46202 USA; [Winckler, G.; Schaefer, J. M.] Columbia Univ, Dept Earth &amp; Environm Sci, New York, NY 10027 USA; [Roberts, M.] 2 Finch St, Albert Town 9382, Wanaka, New Zealand</t>
  </si>
  <si>
    <t>Columbia University; Indiana University System; Indiana University-Purdue University Indianapolis; Columbia University</t>
  </si>
  <si>
    <t>Kaplan, MR (corresponding author), Lamont Doherty Earth Observ, Div Geochem, Palisades, NY 10964 USA.</t>
  </si>
  <si>
    <t>mkaplan@ldeo.columbia.edu</t>
  </si>
  <si>
    <t>Licht, Kathy/0000-0002-2233-2853; Graly, Joseph/0000-0002-7939-6022</t>
  </si>
  <si>
    <t>National Science Foundation [ANT-0944475, 0944578, 1443213]; Directorate For Geosciences; Office of Polar Programs (OPP) [1443213] Funding Source: National Science Foundation</t>
  </si>
  <si>
    <t>We acknowledge support from National Science Foundation grants ANT-0944475, 0944578, and 1443213. We thank Spencer Niebuhr and the Polar Geospatial Center for imagery (Fig. 1B), Joe Petit, the New York Air National Guard, Raytheon, Michael Wolovick, and David Sugden and two anonymous reviewers for substantially improving the manuscript. This is Lamont-Doherty Earth Observatory Contribution #8131.</t>
  </si>
  <si>
    <t>10.1130/G39189.1</t>
  </si>
  <si>
    <t>FL6OW</t>
  </si>
  <si>
    <t>WOS:000414366200003</t>
  </si>
  <si>
    <t>Arndt, JE; Hillenbrand, CD; Grobe, H; Kuhn, G; Wacker, L</t>
  </si>
  <si>
    <t>Arndt, Jan Erik; Hillenbrand, Claus-Dieter; Grobe, Hannes; Kuhn, Gerhard; Wacker, Lukas</t>
  </si>
  <si>
    <t>Evidence for a dynamic grounding line in outer Filchner Trough, Antarctica, until the early Holocene</t>
  </si>
  <si>
    <t>SCALE GLACIAL LINEATIONS; PALAEO-ICE-STREAM; WEDDELL SEA; WEST ANTARCTICA; SHEET; RETREAT; BENEATH; CONSTRAINTS; PULSE</t>
  </si>
  <si>
    <t>Previous reconstructions of ice-sheet changes in Antarctica's Wed-dell Sea sector since the Last Glacial Maximum (LGM) at 19-23 cal. (calibrated) kyr B.P. suffered from large uncertainties and were partly contradictory. As a consequence, the contribution of this sector to the LGM sea-level lowstand and post-LGM sea-level rise was unclear. Furthermore, whether and how precursor water masses for Antarctic Bottom Water (AABW) were formed in the Weddell Sea Embayment under glacial conditions is unknown, as this today requires the existence of the floating Filchner-Ronne Ice Shelf. Here we present new marine geophysical and marine geological data from the outer shelf section of the Filchner paleo-ice stream trough documenting that grounded ice had advanced onto and retreated from the outer shelf prior to 27.5 cal. kyr B.P., i.e., &gt;4500 yr before the LGM. The data reveal the presence of a stacked grounding-zone wedge (GZW) just south of 75 degrees 30 ' S. This GZW was formed during two episodes of grounding-line re-advance onto the outer shelf after 11.8 cal. kyr B.P., with data further inshore implying paleo-ice stream retreat from the GZW location prior to 8.7 cal. kyr B.P. Our findings show that (1) ice-sheet buildup in the Weddell Sea sector made only limited contributions to the LGM sea-level lowstand, (2) ice-ocean interaction below an ice shelf in outer Filchner Trough could have contributed to AABW production at the LGM, and (3) numerical models need to take into account a highly dynamic ice-sheet behavior in regions of the West Antarctic Ice Sheet and East Antarctic Ice Sheet confluence.</t>
  </si>
  <si>
    <t>[Arndt, Jan Erik; Grobe, Hannes; Kuhn, Gerhard] Helmholtz Ctr Polar &amp; Marine Res, Alfred Wegener Inst, Handelshafen 12, D-27570 Bremerhaven, Germany; [Hillenbrand, Claus-Dieter] British Antarctic Survey, High Cross Madingley Rd, Cambridge CB3 0ET, England; [Wacker, Lukas] ETH, Lab Ion Beam Phys, Schafmattstr 20, CH-8093 Zurich, Switzerland</t>
  </si>
  <si>
    <t>Helmholtz Association; Alfred Wegener Institute, Helmholtz Centre for Polar &amp; Marine Research; UK Research &amp; Innovation (UKRI); Natural Environment Research Council (NERC); NERC British Antarctic Survey; Swiss Federal Institutes of Technology Domain; ETH Zurich</t>
  </si>
  <si>
    <t>Arndt, JE (corresponding author), Helmholtz Ctr Polar &amp; Marine Res, Alfred Wegener Inst, Handelshafen 12, D-27570 Bremerhaven, Germany.</t>
  </si>
  <si>
    <t>Arndt, Jan Erik/0000-0002-9413-1612</t>
  </si>
  <si>
    <t>Deutsche Forschungsgemeinschaft (DFG, German Research Foundation) [AR 1087/1-1]; UK Natural Environment Research Council (NERC) [NE/L013770/1]; NERC; Natural Environment Research Council [bas0100030] Funding Source: researchfish; NERC [bas0100030] Funding Source: UKRI</t>
  </si>
  <si>
    <t>Deutsche Forschungsgemeinschaft (DFG, German Research Foundation)(German Research Foundation (DFG)); 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</si>
  <si>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all captains, crews, and scientists involved in collecting the data used in this study, especially Jean-Guy Nistad (Alfred Wegener Institute [AWI]) and Boris Dorschel (AWI) for assistance on cruise PS96, and Michael Seebeck (AWI) and Maricel Williams (British Antarctic Survey [BAS]) for laboratory support. We are grateful to Robert D. Larter (BAS) for providing the bathymetry data of cruise JR97. We thank John B. Anderson, Rob McKay, and one anonymous reviewer for their comments that improved the work. Arndt was funded by the Deutsche Forschungsgemeinschaft (DFG, German Research Foundation) grant AR 1087/1-1, and Hillenbrand was supported by the UK Natural Environment Research Council (NERC) large grant Ice shelves in a warming world: Filchner Ice Shelf System (NE/L013770/1). This study is part of the Alfred Wegener Institute Helmholtz Centre for Polar and Marine Research program Polar Regions and Coasts in the Changing Earth System (PACES II; Arndt, Grobe, Kuhn) and the British Antarctic Survey's Polar Science for Planet Earth Programme (Hillenbrand) which is funded by NERC.</t>
  </si>
  <si>
    <t>10.1130/G39398.1</t>
  </si>
  <si>
    <t>WOS:000414366200021</t>
  </si>
  <si>
    <t>Singh, SM; Avinash, K; Sharma, P; Mulik, RU; Upadhyay, AK; Ravindra, R</t>
  </si>
  <si>
    <t>Singh, Shiv Mohan; Avinash, Kumar; Sharma, Parmanand; Mulik, Ravindra Uttam; Upadhyay, Ajay Kumar; Ravindra, Rasik</t>
  </si>
  <si>
    <t>Elemental variations in glacier cryoconites of Indian Himalaya and Spitsbergen, Arctic</t>
  </si>
  <si>
    <t>GEOSCIENCE FRONTIERS</t>
  </si>
  <si>
    <t>Cryoconite; Elemental concentration; Factor analyses Himalaya; Spitsbergen</t>
  </si>
  <si>
    <t>CHEMICAL-COMPOSITION; TRACE-ELEMENTS; HEAVY-METALS; MT. EVEREST; URANIUM MINERALIZATION; FRESHSNOW SAMPLES; HIMACHAL-PRADESH; ABLATION ZONE; SNOW; SVALBARD</t>
  </si>
  <si>
    <t>Cryoconite samples were collected from two different climatic domains i.e., the Sutri Dhaka glacier, western Himalaya India and Svalbard glaciers, the Spitsbergen, Arctic, to understand the elemental source and elemental deposition patterns. The data of geochemical analysis suggest that the Himalayan cryoconite samples accumulate higher concentrations as compared to the cryoconite samples of the Arctic glaciers. The concentration of lithophile elements (Cs, Li, Rb and U) was recorded higher in the cryoconite holes of the Himalayas, especially, in the lower to the higher parts of the glacier, whereas, lower concentrations were recorded in the Arctic samples. Chalcophile elements in the Himalayan cryoconites are enriched in As and Bi while the Arctic cryoconite samples show a higher concentration of Bi, Pb and As. The higher concentrations are responsible for influencing the ecosystem and in human health related issues. Siderophile elements (Co, Fe, Mn and Ni) show high concentrations in the Himalayan samples, whereas, the Arctic samples show minor variations and low elemental concentration in these elements, respectively. In addition, a few elements, such as Ag, Mg, and Ca show higher concentration in the Himalayan glacier samples. Ca also occurs in high concentrations in Arctic glacier samples. R-mode factor analysis of the Himalayas (Arctic) samples indicate that the elements are distributed in four (three) factors, explaining 89% (90%) of the variance in their elemental distribution. The Factor 1 suggests statistically significant positive loadings for most of the lithophile, chalcophile and siderophile elements of the Himalayan and the Arctic cryoconite samples. The sample-wise factor score distribution shows a considerable variation in the sampling locations along the glaciers of both the regions. Factors 2 and 3, demonstrate insignificant loading for most of the elements, except statistically significant positive loading in some of the elements of the both, Himalayan and Arctic cryoconites. The higher elemental concentration in the cryoconites of the Himalayan region may be an indicator of the natural processes and/or attributed to the rapid industrialization in the Asian countries. (C) 2017, China University of Geosciences (Beijing) and Peking University. Production and hosting by Elsevier B.V.</t>
  </si>
  <si>
    <t>[Singh, Shiv Mohan; Avinash, Kumar; Sharma, Parmanand] Earth Syst Sci Org, Natl Ctr Antarctic &amp; Ocean Res, Headland Sada 403804, Goa, India; [Mulik, Ravindra Uttam; Upadhyay, Ajay Kumar] Natl Res Ctr Grapes, Pune 412307, Maharashtra, India; [Ravindra, Rasik] Minist Earth Sci, IMD Campus,Lodi Rd, New Delhi 110003, India</t>
  </si>
  <si>
    <t>Ministry of Earth Sciences (MoES) - India; National Centre for Polar and Ocean Research (NCPOR); Earth System Science Organization (ESSO); Indian Council of Agricultural Research (ICAR); ICAR - National Research Centre for Grapes; Ministry of Earth Sciences (MoES) - India; India Meteorological Department (IMD)</t>
  </si>
  <si>
    <t>Singh, SM (corresponding author), Earth Syst Sci Org, Natl Ctr Antarctic &amp; Ocean Res, Headland Sada 403804, Goa, India.</t>
  </si>
  <si>
    <t>Avinash, Kumar/0000-0002-6511-8435</t>
  </si>
  <si>
    <t>Ministry of Earth Science, New Delhi; Indian Council of Agriculture Research</t>
  </si>
  <si>
    <t>We gratefully acknowledge the Directors, ESSO-NCAOR, Goa, India, and National Research Centre for Grapes, Pune, India for providing analytical facilities. Authors are thankful to Ministry of Earth Science, New Delhi and Indian Council of Agriculture Research for their financial support. We acknowledge Mr. Lavkush Patel and Mr. Ajit Singh for help during sampling at Himalayan Sutri Dhaka glacier. We express our gratitude to Dr. Stijn Glorie (Associate Editor) and all three anonymous reviewers, for their insightful comments and suggestions on the previous draft, which improved the quality of the paper. This is NCAOR contribution No. 05/2017.</t>
  </si>
  <si>
    <t>CHINA UNIV GEOSCIENCES, BEIJING</t>
  </si>
  <si>
    <t>HAIDIAN DISTRICT</t>
  </si>
  <si>
    <t>29 XUEYUAN RD, HAIDIAN DISTRICT, 100083, PEOPLES R CHINA</t>
  </si>
  <si>
    <t>1674-9871</t>
  </si>
  <si>
    <t>GEOSCI FRONT</t>
  </si>
  <si>
    <t>Geosci. Front.</t>
  </si>
  <si>
    <t>10.1016/j.gsf.2017.01.002</t>
  </si>
  <si>
    <t>FK1JT</t>
  </si>
  <si>
    <t>WOS:000413237600011</t>
  </si>
  <si>
    <t>Talpe, MJ; Nerem, RS; Forootan, E; Schmidt, M; Lemoine, FG; Enderlin, EM; Landerer, FW</t>
  </si>
  <si>
    <t>Talpe, Matthieu J.; Nerem, R. Steven; Forootan, Ehsan; Schmidt, Michael; Lemoine, Frank G.; Enderlin, Ellyn M.; Landerer, Felix W.</t>
  </si>
  <si>
    <t>Ice mass change in Greenland and Antarctica between 1993 and 2013 from satellite gravity measurements</t>
  </si>
  <si>
    <t>JOURNAL OF GEODESY</t>
  </si>
  <si>
    <t>Time-variable Gravity; Mass change; Greenland; Antarctica</t>
  </si>
  <si>
    <t>TIME-VARIABLE GRAVITY; GLACIAL ISOSTATIC-ADJUSTMENT; SEA-LEVEL CHANGE; CLIMATE EXPERIMENT; SHEET; GRACE; BALANCE; MODEL; RECOVERY; SYSTEM</t>
  </si>
  <si>
    <t>We construct long-term time series of Greenland and Antarctic ice sheet mass change from satellite gravity measurements. A statistical reconstruction approach is developed based on a principal component analysis (PCA) to combine high-resolution spatial modes from the Gravity Recovery and Climate Experiment (GRACE) mission with the gravity information from conventional satellite tracking data. Uncertainties of this reconstruction are rigorously assessed; they include temporal limitations for short GRACE measurements, spatial limitations for the low-resolution conventional tracking data measurements, and limitations of the estimated statistical relationships between low- and high-degree potential coefficients reflected in the PCA modes. Trends of mass variations in Greenland and Antarctica are assessed against a number of previous studies. The resulting time series for Greenland show a higher rate of mass loss than other methods before 2000, while the Antarctic ice sheet appears heavily influenced by interannual variations.</t>
  </si>
  <si>
    <t>[Talpe, Matthieu J.; Nerem, R. Steven] Univ Colorado Boulder, Colorado Ctr Astrodynam Res, Aerosp Engn Sci, 431 UCB, Boulder, CO 80309 USA; [Forootan, Ehsan] Cardiff Univ, Sch Earth &amp; Ocean Sci, Pk Pl, Cardiff CF10 3AT, S Glam, Wales; [Schmidt, Michael] Tech Univ Munich, Deutsch Geodat Forschungsinst DGFI, Alfons Goppel Str 11, D-80539 Munich, Germany; [Lemoine, Frank G.] NASA, Goddard Space Flight Ctr, Planetary Geodynam Lab, Greenbelt, MD 20771 USA; [Enderlin, Ellyn M.] Univ Maine, Climate Change Inst, Orono, ME 04469 USA; [Landerer, Felix W.] CALTECH, Jet Prop Lab, 4800 Oak Grove Dr, Pasadena, CA 91109 USA</t>
  </si>
  <si>
    <t>University of Colorado System; University of Colorado Boulder; Cardiff University; Technical University of Munich; National Aeronautics &amp; Space Administration (NASA); NASA Goddard Space Flight Center; University of Maine System; University of Maine Orono; California Institute of Technology; National Aeronautics &amp; Space Administration (NASA); NASA Jet Propulsion Laboratory (JPL)</t>
  </si>
  <si>
    <t>Talpe, MJ (corresponding author), Univ Colorado Boulder, Colorado Ctr Astrodynam Res, Aerosp Engn Sci, 431 UCB, Boulder, CO 80309 USA.</t>
  </si>
  <si>
    <t>matthieu.talpe@colorado.edu; nerem@colorado.edu; ForootanE@cardiff.ac.uk; mg.schmidt@tum.de; frank.g.lemoine@nasa.gov; ellyn.enderlin@maine.edu; felix.w.landerer@jpl.nasa.gov</t>
  </si>
  <si>
    <t>Landerer, Felix W/ABG-2849-2021; Lemoine, Frank G/D-1215-2013</t>
  </si>
  <si>
    <t>Landerer, Felix W/0000-0003-2678-095X; Lemoine, Frank G./0000-0002-3051-1456; Enderlin, Ellyn/0000-0002-8266-7719; Forootan, Ehsan/0000-0003-3055-041X</t>
  </si>
  <si>
    <t>NASA [NNX 13AK28G]; NESSF fellowship; Fulbright Fellowship; MEASURES investigation</t>
  </si>
  <si>
    <t>NASA(National Aeronautics &amp; Space Administration (NASA)); NESSF fellowship; Fulbright Fellowship; MEASURES investigation</t>
  </si>
  <si>
    <t>This work was supported by NASA Grant NNX 13AK28G, an NESSF fellowship, a Fulbright Fellowship, and the MEASURES investigation. The authors wish to thank R. Rietbroek and E. Pilinski for informative discussions on the use of principal component analysis on the GRACE fields, R. Hardy for the determination of GIA errors, as well as three anonymous reviewers, whose extensive feedback greatly improved this manuscript.</t>
  </si>
  <si>
    <t>0949-7714</t>
  </si>
  <si>
    <t>1432-1394</t>
  </si>
  <si>
    <t>J GEODESY</t>
  </si>
  <si>
    <t>J. Geodesy</t>
  </si>
  <si>
    <t>10.1007/s00190-017-1025-y</t>
  </si>
  <si>
    <t>Geochemistry &amp; Geophysics; Remote Sensing</t>
  </si>
  <si>
    <t>FJ8PB</t>
  </si>
  <si>
    <t>WOS:000413029900001</t>
  </si>
  <si>
    <t>Mishev, A; Poluianov, S; Usoskin, I</t>
  </si>
  <si>
    <t>Mishev, Alexander; Poluianov, Stepan; Usoskin, Ilya</t>
  </si>
  <si>
    <t>Assessment of spectral and angular characteristics of sub-GLE events using the global neutron monitor network</t>
  </si>
  <si>
    <t>JOURNAL OF SPACE WEATHER AND SPACE CLIMATE</t>
  </si>
  <si>
    <t>SEP; GLE and sub-GLE events; neutron monitor network; spectral and angular characteristics of SEPs; radiation environment</t>
  </si>
  <si>
    <t>GROUND-LEVEL ENHANCEMENT; SOLAR COSMIC-RAYS; AMBIENT DOSE-EQUIVALENT; CONVERSION COEFFICIENTS; RADIATION MODEL; FIELD; ACCELERATION; PROTONS; MODULATION; AIRCRAFT</t>
  </si>
  <si>
    <t>New recently installed high-altitude polar neutron monitors (NMs) have made the worldwide NM network more sensitive to strong solar energetic particle (SEP) events, registered at ground level, namely ground-level enhancement (GLE) events. The DOMC/B and South Pole NMs in addition to marginal cut-off rigidity also possess lower atmospheric cut-off compared to the sea level. As a result, the two high-altitude polar NM stations are able to detect lower energy SEP events, which most likely would not be registered by the other (near sea level) NMs. Here, we consider several candidates for such type of events called sub-GLEs. Using the worldwide NM database (NMDB) records and an optimization procedure combined with simulation of the global NM network response, we assess the spectral and angular characteristics of sub-GLE particles. With the estimated spectral characteristics as an input, we evaluate the effective dose rate in polar and sub-polar regions at typical commercial flight altitude. Hence, we demonstrate that the global NM network is a useful tool to estimate important space weather effects, e.g., the aircrew exposure due to cosmic rays of galactic and/or solar origins.</t>
  </si>
  <si>
    <t>[Mishev, Alexander; Poluianov, Stepan; Usoskin, Ilya] Univ Oulu, Space Climate Res Unit, Oulu, Finland; [Poluianov, Stepan; Usoskin, Ilya] Univ Oulu, Oulu Unit, Sodankyla Geophys Observ, Oulu, Finland</t>
  </si>
  <si>
    <t>University of Oulu; University of Oulu</t>
  </si>
  <si>
    <t>Mishev, A (corresponding author), Univ Oulu, Space Climate Res Unit, Oulu, Finland.</t>
  </si>
  <si>
    <t>alex_mishev@yahoo.com</t>
  </si>
  <si>
    <t>Poluianov, Stepan/Q-6251-2019; Usoskin, Ilya/E-5089-2014</t>
  </si>
  <si>
    <t>Poluianov, Stepan/0000-0002-9119-4298; Usoskin, Ilya/0000-0001-8227-9081</t>
  </si>
  <si>
    <t>Finnish Antarctic Research Program (FINNARP); project CRIPA-X [304435]; project CRIPA; Academy of Finland [272157]</t>
  </si>
  <si>
    <t>Finnish Antarctic Research Program (FINNARP); project CRIPA-X; project CRIPA; Academy of Finland(Research Council of Finland)</t>
  </si>
  <si>
    <t>This work was supported by the Academy of Finland (project 272157, Center of Excellence ReSoLVE), projects CRIPA and CRIPA-X No. 304435 and Finnish Antarctic Research Program (FINNARP). The authors are warmly thankful to Askar Ibragimov for GLE database support. The authors acknowledge the NMDB (nmdb.eu) as well as all the Pis of the NM stations used in the study. The authors and the editor thank two anonymous referees for their assistance in evaluating this paper.</t>
  </si>
  <si>
    <t>2115-7251</t>
  </si>
  <si>
    <t>J SPACE WEATHER SPAC</t>
  </si>
  <si>
    <t>J. Space Weather Space Clim.</t>
  </si>
  <si>
    <t>NOV 1</t>
  </si>
  <si>
    <t>A28</t>
  </si>
  <si>
    <t>10.1051/swsc/2017026</t>
  </si>
  <si>
    <t>FL4NN</t>
  </si>
  <si>
    <t>WOS:000414207200002</t>
  </si>
  <si>
    <t>Rose, A; Brändel, SD; Cvecko, P; Engler, S; Hiller, T; Knörnschild, M; Tschapka, M</t>
  </si>
  <si>
    <t>Rose, Andreas; Braendel, Stefan D.; Cvecko, Patrick; Engler, Sina; Hiller, Thomas; Knoernschild, Mirjam; Tschapka, Marco</t>
  </si>
  <si>
    <t>New records of hypopigmentation in two neotropical phyllostomid bat species with different roosting habits (Uroderma bilobatum, Glossophaga soricina)</t>
  </si>
  <si>
    <t>MAMMALIA</t>
  </si>
  <si>
    <t>Chiroptera; hypopigmentation; leucism; piebaldism; pigmentation disorder</t>
  </si>
  <si>
    <t>ANTARCTIC FUR SEALS; 1ST RECORD; CHIROPTERA PHYLLOSTOMIDAE; LEUCISM; ALBINISM; PIGMENTATION; BIOLOGY; PIEBALD; MAMMALS; BRAZIL</t>
  </si>
  <si>
    <t>Hypopigmentation disorders were reported in several bat species roosting in dark and sheltered roosts, but comparable records from open foliage roosts are rare. Here, we present three observations of non-albinistic hypopigmentation in two neotropical bat species. One extensively hypopigmented individual of Uroderma bilobatum was observed roosting among regular pigmented conspecifics in an open foliage roost in Panama. Two individuals of Glossophaga soricina with a patchy hypopigmentation were incidentally mistnetted during studies in Panama and Costa Rica. Considering the species-specific roosting habits, we briefly discuss potential implications of pigmentation disorders and aberrant visual appearance for the affected individuals.</t>
  </si>
  <si>
    <t>[Rose, Andreas; Braendel, Stefan D.; Cvecko, Patrick; Hiller, Thomas; Tschapka, Marco] Univ Ulm, Inst Evolutionary Ecol &amp; Conservat Genom, Helmholtzstr 10-1, D-89069 Ulm, Germany; [Braendel, Stefan D.; Hiller, Thomas; Knoernschild, Mirjam; Tschapka, Marco] Smithsonian Trop Res Inst, Roosevelt Ave,Tupper Bldg 401, Balboa, Panama; [Engler, Sina] Carl von Ossietzky Univ Oldenburg, Dept Neurosci Cochlea &amp; Brainstem Physiol, Carl von Ossietzky Str 9-11, D-26129 Oldenburg, Germany; [Knoernschild, Mirjam] Free Univ Berlin, Inst Biol, Anim Behav Lab, Takustr 6, D-14195 Berlin, Germany</t>
  </si>
  <si>
    <t>Ulm University; Smithsonian Institution; Smithsonian Tropical Research Institute; Carl von Ossietzky Universitat Oldenburg; Free University of Berlin</t>
  </si>
  <si>
    <t>Rose, A (corresponding author), Univ Ulm, Inst Evolutionary Ecol &amp; Conservat Genom, Helmholtzstr 10-1, D-89069 Ulm, Germany.</t>
  </si>
  <si>
    <t>andreas.rose@uni-ulm.de</t>
  </si>
  <si>
    <t>Hiller, Thomas/AAX-8786-2020</t>
  </si>
  <si>
    <t>Hiller, Thomas/0000-0003-4044-9956; Brandel, Stefan/0000-0002-7024-6386; Rose, Andreas/0000-0003-0885-9605; Engler, Sina/0000-0002-2301-5454</t>
  </si>
  <si>
    <t>German Academic Exchange Service (DAAD); Rosa Luxemburg Foundation (RLS)</t>
  </si>
  <si>
    <t>German Academic Exchange Service (DAAD)(Deutscher Akademischer Austausch Dienst (DAAD)); Rosa Luxemburg Foundation (RLS)</t>
  </si>
  <si>
    <t>We are grateful to the Panamanian and Costa Rican authorities for allocating research permits (ANAM SE/A-75-13; ACG-PI-059-2015). The Smithsonian Tropical Research Institute (STRI) and the Area de Conservacion Guanacaste (ACG) provided sophisticated infrastructure for field work. We further thank Stephane Aulagnier, associate editor of Mammalia, and two anonymous reviewers for their helpful comments on the manuscript. Funding for this work was provided to AR by grants from the German Academic Exchange Service (DAAD) and the Rosa Luxemburg Foundation (RLS).</t>
  </si>
  <si>
    <t>WALTER DE GRUYTER GMBH</t>
  </si>
  <si>
    <t>GENTHINER STRASSE 13, D-10785 BERLIN, GERMANY</t>
  </si>
  <si>
    <t>0025-1461</t>
  </si>
  <si>
    <t>1864-1547</t>
  </si>
  <si>
    <t>Mammalia</t>
  </si>
  <si>
    <t>10.1515/mammalia-2016-0086</t>
  </si>
  <si>
    <t>FL1KH</t>
  </si>
  <si>
    <t>WOS:000413973000010</t>
  </si>
  <si>
    <t>Ruan, XZ; Thompson, AF; Flexas, MM; Sprintall, J</t>
  </si>
  <si>
    <t>Ruan, Xiaozhou; Thompson, Andrew F.; Flexas, Mar M.; Sprintall, Janet</t>
  </si>
  <si>
    <t>Contribution of topographically generated submesoscale turbulence to Southern Ocean overturning</t>
  </si>
  <si>
    <t>CIRCULATION; BOUNDARY; INSTABILITY; CLOSURE; LAYERS</t>
  </si>
  <si>
    <t>The ocean's global overturning circulation regulates the transport and storage of heat, carbon and nutrients. Upwelling across the Southern Ocean's Antarctic Circumpolar Current and into the mixed layer, coupled to water mass modification by surface buoyancy forcing, has been highlighted as a key process in the closure of the overturning circulation(1,2). Here, using twelve high-resolution hydrographic sections in southern Drake Passage, collected with autonomous ocean gliders, we show that Circumpolar Deep Water originating from the North Atlantic, known as Lower Circumpolar Deep Water, intersects sloping topography in narrow and strong boundary currents. Observations of strong lateral buoyancy gradients, enhanced bottom turbulence, thick bottom mixed layers and modified water masses are consistent with growing evidence that topographically generated submesoscale flows over continental slopes enhance near-bottom mixing(3,4), and that cross-density upwelling occurs preferentially over sloping topography(5,6). Interactions between narrow frontal currents and topography occur elsewhere along the path of the Antarctic Circumpolar Current, which leads us to propose that such interactions contribute significantly to the closure of the overturning in the Southern Ocean.</t>
  </si>
  <si>
    <t>[Ruan, Xiaozhou; Thompson, Andrew F.; Flexas, Mar M.] CALTECH, Environm Sci &amp; Engn, MC131-24,1200 East Calif Blvd, Pasadena, CA 91125 USA; [Sprintall, Janet] Univ Calif San Diego, Scripps Inst Oceanog, La Jolla, CA 92093 USA</t>
  </si>
  <si>
    <t>California Institute of Technology; University of California System; University of California San Diego; Scripps Institution of Oceanography</t>
  </si>
  <si>
    <t>Ruan, XZ (corresponding author), CALTECH, Environm Sci &amp; Engn, MC131-24,1200 East Calif Blvd, Pasadena, CA 91125 USA.</t>
  </si>
  <si>
    <t>xruan@caltech.edu</t>
  </si>
  <si>
    <t>Flexas, Mar/GOV-3308-2022</t>
  </si>
  <si>
    <t>Flexas, Mar/0000-0002-0617-3004; Ruan, Xiaozhou/0000-0003-1240-1584</t>
  </si>
  <si>
    <t>NSF [OPP-1246460, OPP-1246160]; David and Lucille Packard Foundation; Office of Polar Programs (OPP); Directorate For Geosciences [1246160, 1246460] Funding Source: National Science Foundation</t>
  </si>
  <si>
    <t>NSF(National Science Foundation (NSF)); David and Lucille Packard Foundation(The David &amp; Lucile Packard Foundation); Office of Polar Programs (OPP); Directorate For Geosciences(National Science Foundation (NSF)NSF - Directorate for Geosciences (GEO))</t>
  </si>
  <si>
    <t>X.R., A.F.T. and M.M.F. received support from NSF grant OPP-1246460. J.S. received support from NSF grant OPP-1246160. A.F.T. also received support from the David and Lucille Packard Foundation.</t>
  </si>
  <si>
    <t>10.1038/NGEO3053</t>
  </si>
  <si>
    <t>FL2FU</t>
  </si>
  <si>
    <t>WOS:000414031600014</t>
  </si>
  <si>
    <t>Lin, YJ; Cassar, N; Marchetti, A; Moreno, C; Ducklow, H; Li, ZC</t>
  </si>
  <si>
    <t>Lin, Yajuan; Cassar, Nicolas; Marchetti, Adrian; Moreno, Carly; Ducklow, Hugh; Li, Zuchuan</t>
  </si>
  <si>
    <t>Specific eukaryotic plankton are good predictors of net community production in the Western Antarctic Peninsula</t>
  </si>
  <si>
    <t>SOUTHERN-OCEAN PHYTOPLANKTON; IRON LIMITATION; SEQUENCE DATA; ROSS SEA; DINOFLAGELLATE; DIATOM; CARBON; BIOMASS; ECOSYSTEMS; NUTRIENTS</t>
  </si>
  <si>
    <t>Despite our current realization of the tremendous diversity that exists in plankton communities, we have little understanding of how this biodiversity influences the biological carbon pump other than broad paradigms such as diatoms contributing disproportionally to carbon export. Here we combine high-resolution underway O-2/Ar, which provides an estimate of net community production, with high-throughput 18 S ribosomal DNA sequencing to elucidate the relationship between eukaryotic plankton community structure and carbon export potential at the Western Antarctica Peninsula (WAP), a region which has experienced rapid warming and ecosystem changes. Our results show that in a diverse plankton system comprised of similar to 464 operational taxonomic units (OTUs) with at least 97% 18 S identity, as few as two or three key OTUs, i.e. large diatoms, Phaeocystis, and mixotrophic/phagotrophic dinoflagellates, can explain a large majority of the spatial variability in the carbon export potential (76-92%). Moreover, we find based on a community co-occurrence network analysis that ecosystems with lower export potential have more tightly coupled communities. Our results indicate that defining plankton communities at a deeper taxonomic resolution than by functional groups and accounting for the differences in size and coupling between groups can substantially improve organic carbon flux predictions.</t>
  </si>
  <si>
    <t>[Lin, Yajuan; Cassar, Nicolas; Li, Zuchuan] Duke Univ, Nicholas Sch Environm, Div Earth &amp; Ocean Sci, Durham, NC 27708 USA; [Marchetti, Adrian; Moreno, Carly] Univ North Carolina Chapel Hill, Dept Marine Sci, Chapel Hill, NC 27514 USA; [Ducklow, Hugh] Columbia Univ, Lamont Doherty Earth Observ, Palisades, NY 10964 USA; [Lin, Yajuan; Cassar, Nicolas] Univ Brest, UMR CNRS UBO IRD Ifremer 6539, Lab Sci Environm Marin IUEM, Rue Dumont DUrville, F-29280 Plouzane, France</t>
  </si>
  <si>
    <t>Duke University; University of North Carolina; University of North Carolina Chapel Hill; University of North Carolina School of Medicine; Columbia University; Universite de Bretagne Occidentale; Centre National de la Recherche Scientifique (CNRS); Ifremer; Institut de Recherche pour le Developpement (IRD)</t>
  </si>
  <si>
    <t>Lin, YJ (corresponding author), Duke Univ, Nicholas Sch Environm, Div Earth &amp; Ocean Sci, Durham, NC 27708 USA.;Lin, YJ (corresponding author), Univ Brest, UMR CNRS UBO IRD Ifremer 6539, Lab Sci Environm Marin IUEM, Rue Dumont DUrville, F-29280 Plouzane, France.</t>
  </si>
  <si>
    <t>yajuan.lin@univ-brest.fr</t>
  </si>
  <si>
    <t>Cassar, Nicolas/B-4260-2011</t>
  </si>
  <si>
    <t>Lin, Yajuan/0000-0002-9057-9321; Marchetti, Adrian/0000-0003-4608-4775</t>
  </si>
  <si>
    <t>NSF [OPP-1043339, PLR-1440435, OPP-1341479]; Laboratoire d'Excellence LabexMER [ANR-10-LABX-19]; French government under the program Investissements d'Avenir; Office of Polar Programs (OPP); Directorate For Geosciences [1440435] Funding Source: National Science Foundation</t>
  </si>
  <si>
    <t>NSF(National Science Foundation (NSF)); Laboratoire d'Excellence LabexMER; French government under the program Investissements d'Avenir(Agence Nationale de la Recherche (ANR)); Office of Polar Programs (OPP); Directorate For Geosciences(National Science Foundation (NSF)NSF - Directorate for Geosciences (GEO))</t>
  </si>
  <si>
    <t>This work was supported by NSF OPP-1043339 to Cassar, NSF PLR-1440435 to Ducklow (Palmer LTER) and NSF OPP-1341479 to Marchetti. This work was also in part (NC and YL) supported by the Laboratoire d'Excellence LabexMER (ANR-10-LABX-19) and co-funded by a grant from the French government under the program Investissements d'Avenir. The authors thank Oscar Schofield for providing chlorophyll data, Duke IGSP for sequencing the DNA samples, and Kuan Huang for discussion. The authors are grateful to all the scientists, scientific support personnel and the officers and crew on ARSV L.M. Gould for collecting samples and shipboard assistance.</t>
  </si>
  <si>
    <t>10.1038/s41598-017-14109-1</t>
  </si>
  <si>
    <t>FL4XB</t>
  </si>
  <si>
    <t>WOS:000414233700065</t>
  </si>
  <si>
    <t>Jung, TW; Coleman, CO; Yoon, SM</t>
  </si>
  <si>
    <t>Jung, Tae Won; Coleman, Charles Oliver; Yoon, Seong Myeong</t>
  </si>
  <si>
    <t>Pseudorchomene boreoplebs, a new lysianassid amphipod from Korean waters (Crustacea, Amphipda, Lysianassoidea)</t>
  </si>
  <si>
    <t>ZOOSYSTEMATICS AND EVOLUTION</t>
  </si>
  <si>
    <t>Pseudorchomene boreoplebs; amphipod, Korea; lysianassid; new species; taxonomy</t>
  </si>
  <si>
    <t>Until now, the genus Pseudorchomene Schellenberg, 1926 has been recorded exclusively in Antarctic or sub-Antarctic regions. Pseudorchomene boreoplebs sp. n., described from Korean waters, is the first record from the Northern Hemisphere as well as from temperate regions. This new species is very similar to Pseudorchomene plebs (Hurley, 1965), but can be readily distinguished by its wider basis of gnathopod 1, elongate carpus and angulate anterodistal corner of the propodus on gnathopod 2, having slender setae only on the posterior margin of the carpus on pereopod 5, and lacking posterior lobations of the carpus on pereopods 5-7.</t>
  </si>
  <si>
    <t>[Jung, Tae Won; Coleman, Charles Oliver] Museum Nat Kunde Berlin, Leibniz Inst Evolut &amp; Biodiversitatsforsch, Invalidenstr 43, D-10115 Berlin, Germany; [Yoon, Seong Myeong] Chosun Univ, Dept Biol, Pilmun Daero 309, Gwangju 16452, South Korea</t>
  </si>
  <si>
    <t>Leibniz Institut fur Evolutions und Biodiversitatsforschung; Chosun University</t>
  </si>
  <si>
    <t>Yoon, SM (corresponding author), Chosun Univ, Dept Biol, Pilmun Daero 309, Gwangju 16452, South Korea.</t>
  </si>
  <si>
    <t>smyun@chosun.ac.kr</t>
  </si>
  <si>
    <t>Jung, Tae Won/0000-0002-4879-5346</t>
  </si>
  <si>
    <t>National Institute of Biological Resources of Korea as a part of the 'Survey of indigenous biological resources of Korea (NIBR)' [2017-02-001]; National Marine Biodiversity Institute of Korea as a part of the 'Research for the conservation and management of marine organisms' [2017M00100]</t>
  </si>
  <si>
    <t>National Institute of Biological Resources of Korea as a part of the 'Survey of indigenous biological resources of Korea (NIBR)'; National Marine Biodiversity Institute of Korea as a part of the 'Research for the conservation and management of marine organisms'</t>
  </si>
  <si>
    <t>This study was supported by the National Institute of Biological Resources of Korea as a part of the 'Survey of indigenous biological resources of Korea (NIBR NO. 2017-02-001)' and by the National Marine Biodiversity Institute of Korea as a part of the 'Research for the conservation and management of marine organisms (2017M00100)'.</t>
  </si>
  <si>
    <t>PENSOFT PUBL</t>
  </si>
  <si>
    <t>12 PROF GEORGI ZLATARSKI ST, SOFIA, 1700, BULGARIA</t>
  </si>
  <si>
    <t>1860-0743</t>
  </si>
  <si>
    <t>ZOOSYST EVOL</t>
  </si>
  <si>
    <t>Zoosyst. Evol.</t>
  </si>
  <si>
    <t>10.3897/zse.92.20482</t>
  </si>
  <si>
    <t>FL3NE</t>
  </si>
  <si>
    <t>WOS:000414129000001</t>
  </si>
  <si>
    <t>Zheng, F; Li, JP; Ding, RQ</t>
  </si>
  <si>
    <t>Zheng, Fei; Li, Jianping; Ding, Ruiqiang</t>
  </si>
  <si>
    <t>Influence of the preceding austral summer Southern Hemisphere annular mode on the amplitude of ENSO decay</t>
  </si>
  <si>
    <t>Southern Hemisphere Annular Mode; ENSO; Southern Ocean Dipole</t>
  </si>
  <si>
    <t>SEA-SURFACE TEMPERATURE; PACIFIC MERIDIONAL MODE; ANTARCTIC OSCILLATION; CLIMATE-CHANGE; ZONAL INDEX; EL-NINO; PART I; VARIABILITY; OCEAN; PRECIPITATION</t>
  </si>
  <si>
    <t>There is increasing evidence of the possible role of extratropical forcing in the evolution of ENSO. The Southern Hemisphere Annular Mode (SAM) is the dominant mode of atmospheric circulation in the Southern Hemisphere extratropics. This study shows that the austral summer (December-January-February; DJF) SAM may also influence the amplitude of ENSO decay during austral autumn (March-April-May; MAM). The mechanisms associated with this SAM-ENSO relationship can be briefly summarized as follows: The SAM is positively (negatively) correlated with SST in the Southern Hemisphere middle (high) latitudes. This dipole-like SST anomaly pattern is referred to as the Southern Ocean Dipole (SOD). The DJF SOD, caused by the DJF SAM, could persist until MAM and then influence atmospheric circulation, including trade winds, over the Nio3.4 area. Anomalous trade winds and SST anomalies over the Nio3.4 area related to the DJF SAM are further developed through the Bjerkness feedback, which eventually results in a cooling (warming) over the Nio3.4 area followed by the positive (negative) DJF SAM.</t>
  </si>
  <si>
    <t>[Zheng, Fei; Ding, Ruiqiang] Chinese Acad Sci, Inst Atmospher Phys, State Key Lab Numer Modeling Atmospher Sci &amp; Geop, Beijing 100029, Peoples R China; [Li, Jianping] Beijing Normal Univ, Coll Global Change &amp; Earth Syst Sci, Beijing 100875, Peoples R China; [Li, Jianping] Qingdao Natl Lab Marine Sci &amp; Technol, Lab Reg Oceanog &amp; Numer Modeling, Qingdao 266237, Peoples R China; [Ding, Ruiqiang] Chengdu Univ Informat Technol, Plateau Atmosphere &amp; Environm Key Lab Sichuan Pro, Chengdu 610103, Sichuan, Peoples R China</t>
  </si>
  <si>
    <t>Chinese Academy of Sciences; Institute of Atmospheric Physics, CAS; Beijing Normal University; Laoshan Laboratory; Chengdu University of Information Technology</t>
  </si>
  <si>
    <t>Zheng, F (corresponding author), Chinese Acad Sci, Inst Atmospher Phys, State Key Lab Numer Modeling Atmospher Sci &amp; Geop, Beijing 100029, Peoples R China.</t>
  </si>
  <si>
    <t>zhengfei08@mail.iap.ac.cn</t>
  </si>
  <si>
    <t>Zheng, Fei/AAV-7512-2021; Zheng, Fei/AAQ-4559-2020; Ding, Ruiqiang/AAF-9948-2021; Li, Jianping/I-2661-2012</t>
  </si>
  <si>
    <t>Zheng, Fei/0000-0001-6135-6148; Zheng, Fei/0000-0001-6135-6148; Ding, Ruiqiang/0000-0003-4139-3843; Li, Jianping/0000-0003-0625-1575</t>
  </si>
  <si>
    <t>China Special Fund for Meteorological Research in the Public Interest [GYHY201506032]; NSFC project [41405086]; National Key R&amp;D Program of China [2016YFA0601801]</t>
  </si>
  <si>
    <t>China Special Fund for Meteorological Research in the Public Interest; NSFC project(National Natural Science Foundation of China (NSFC)); National Key R&amp;D Program of China</t>
  </si>
  <si>
    <t>The authors would like to thank the editor and the anonymous reviewers for their insightful comments and suggestions, which contributed greatly towards improving the manuscript. This work was jointly supported by the China Special Fund for Meteorological Research in the Public Interest (Grant No. GYHY201506032), an NSFC project (Grant No. 41405086), and a National Key R&amp;D Program of China (Grant No. 2016YFA0601801). The datasets, including NCEP-NCAR, 20CR, CMAP, GPCP, and ERSST.v3b, were obtained from NOAA/OAR/ESRL PSD, Boulder, Colorado, USA, via their website: http://www.esrl.noaa.gov/psd/. The HadISST dataset was provided by the Met Office Hadley Centre. We acknowledge the World Climate Research Programme's Working Group on Coupled Modelling, which is responsible for CMIP, and we thank the climate modeling groups for producing and making available their model output.</t>
  </si>
  <si>
    <t>10.1007/s00376-017-6339-4</t>
  </si>
  <si>
    <t>FG9SA</t>
  </si>
  <si>
    <t>WOS:000410778500009</t>
  </si>
  <si>
    <t>Friedman, E; Bui, B</t>
  </si>
  <si>
    <t>Friedman, Eric; Bui, Brian</t>
  </si>
  <si>
    <t>A Psychiatric Formulary for Long-Duration Spaceflight</t>
  </si>
  <si>
    <t>AEROSPACE MEDICINE AND HUMAN PERFORMANCE</t>
  </si>
  <si>
    <t>psychiatry; psychology; behavioral; drugs; medications; disorders; recommendations; pharmaceuticals</t>
  </si>
  <si>
    <t>INTERNATIONAL-SPACE-STATION; ASTRONAUTS; PHARMACOKINETICS; PREVALENCE; ANTARCTICA; DISORDERS; MISSIONS</t>
  </si>
  <si>
    <t>INTRODUCTION: Behavioral health is essential for the safety, well-being, and performance of crewmembers in both human spaceflight and Antarctic exploration. Over the past five decades, psychiatric issues have been documented in orbital spaceflight. In Antarctica, literature suggests up to 5% of wintering crewmembers could meet criteria for a psychiatric illness, including mood disorders, stressor-related disorders, sleep-wake disorders, and substance-related disorders. Experience from these settings indicates that psychiatric disorders on deep space missions must be anticipated. An important part of planning for the psychological health of crewmembers is the onboard provision of psychotropic drugs. These medications have been available on orbital missions. A greater variety and supply of these drugs exist at Antarctic facilities. The size and diversity of a deep space psychiatric formulary will be greater than that provided on orbital missions. Drugs to be provisioned include anxiolytics, antidepressants, mood stabilizers, antipsychotics, and hypnotics. Each drug category should include different medications, providing diverse pharmacokinetic, pharmacodynamic, and side effect profiles. The formulary itself should be rigorously controlled, given the abuse potential of some medications. In-flight treatment strategies could include psychological monitoring of well-being and early intervention for significant symptoms. Psychiatric emergencies would be treated aggressively with behavioral and pharmacological interventions to de-escalate potentially hazardous situations. On long-duration space missions, a robust psychiatric formulary could provide crewmembers autonomy and flexibility in treating a range of behavioral issues from depression to acute psychosis. This will contribute to the safety, health, and performance of crewmembers, and to mission success.</t>
  </si>
  <si>
    <t>[Friedman, Eric; Bui, Brian] Eastern Virginia Med Sch, Dept Psychiat &amp; Behav Sci, Norfolk, VA 23507 USA</t>
  </si>
  <si>
    <t>Eastern Virginia Medical School</t>
  </si>
  <si>
    <t>Friedman, E (corresponding author), Eastern Virginia Med Sch, Psychiat &amp; Behav Sci, Hofheimer Hall,7th Floor,825 Fairfax Ave, Norfolk, VA 23507 USA.</t>
  </si>
  <si>
    <t>friedmej@evms.edu</t>
  </si>
  <si>
    <t>AEROSPACE MEDICAL ASSOC</t>
  </si>
  <si>
    <t>ALEXANDRIA</t>
  </si>
  <si>
    <t>320 S HENRY ST, ALEXANDRIA, VA 22314-3579 USA</t>
  </si>
  <si>
    <t>2375-6314</t>
  </si>
  <si>
    <t>2375-6322</t>
  </si>
  <si>
    <t>AEROSP MED HUM PERF</t>
  </si>
  <si>
    <t>Aerosp. Med.Hum. Perform.</t>
  </si>
  <si>
    <t>10.3357/AMHP.4901.2017</t>
  </si>
  <si>
    <t>Biophysics; Public, Environmental &amp; Occupational Health; Medicine, Research &amp; Experimental</t>
  </si>
  <si>
    <t>Biophysics; Public, Environmental &amp; Occupational Health; Research &amp; Experimental Medicine</t>
  </si>
  <si>
    <t>FK8OE</t>
  </si>
  <si>
    <t>WOS:000413767300007</t>
  </si>
  <si>
    <t>Garrido-Benavent, I; Pérez-Ortega, S</t>
  </si>
  <si>
    <t>Garrido-Benavent, Isaac; Perez-Ortega, Sergio</t>
  </si>
  <si>
    <t>Past, present, and future research in bipolar lichen-forming fungi and their photobionts</t>
  </si>
  <si>
    <t>Antarctica; bipolar distribution; ecological niche; lichens; long-distance dispersal; nrITS; phylogeography; symbiotic interactions; vicariance</t>
  </si>
  <si>
    <t>MCMURDO DRY VALLEYS; GENETIC DIVERSITY; PHYLOGENETIC-RELATIONSHIPS; SPECIES DELIMITATION; TERRICOLOUS LICHENS; MOLECULAR PHYLOGENY; FAMILY CLADONIACEAE; RAMALINA-MENZIESII; ENVIRONMENTAL DNA; ALPINE LICHENS</t>
  </si>
  <si>
    <t>Compared to other organisms, such as vascular plants or mosses, lichen-forming fungi have a high number of species occurring in both northern and southern hemispheres but are largely absent from intermediate, tropical latitudes. For instance, ca. 160 Antarctic species also occur in polar areas or mountainous temperate regions of the northern hemisphere. Early interpretations of this particular distribution pattern were made in terms of vicariance or long-distance dispersal. However, it was not until the emergence of phylogenetics and the possibility of dating past diversification and colonization events that these initial hypotheses started to be evaluated. The premise of a relatively recent colonization of the southern hemisphere by boreal lichens through long-distance dispersal has gained support in recent studies based on either the comparison of genetic affinities (i.e., tree topology) or more robust, statistical migratory models. Still, the scarcity of such studies and a concern that taxonomic concepts for bipolar lichens are often too broad preclude the generation of sound explanations on the mechanisms and origin of such fascinating disjunct distributions. This review provides an up-to-date overview of bipolar distributions in lichen-forming fungi and their photobionts. Evidence provided by recent, molecular-based studies as well as data on the type of lichen reproduction, dispersal ability, photobiont identity and availability, and habitat preferences are brought together to discuss how and when these distributions originated and their genetic footprints. Ideas for future prospects and research are also discussed.</t>
  </si>
  <si>
    <t>[Garrido-Benavent, Isaac] CSIC, MNCN, Natl Museum Nat Sci, Dept Biogeochem &amp; Microbial Ecol, Serrano 115 Dpdo, E-28006 Madrid, Spain; [Perez-Ortega, Sergio] CSIC, Real Jardin Bot, Plaza Murillo 2, E-28014 Madrid, Spain</t>
  </si>
  <si>
    <t>Consejo Superior de Investigaciones Cientificas (CSIC); Consejo Superior de Investigaciones Cientificas (CSIC); CSIC - Real Jardin Botanico de Madrid</t>
  </si>
  <si>
    <t>Garrido-Benavent, I (corresponding author), CSIC, MNCN, Natl Museum Nat Sci, Dept Biogeochem &amp; Microbial Ecol, Serrano 115 Dpdo, E-28006 Madrid, Spain.</t>
  </si>
  <si>
    <t>igbenavent@mncn.csic.es</t>
  </si>
  <si>
    <t>Garrido-Benavent, Isaac/AAA-1982-2020; Perez-Ortega, Sergio/G-1257-2016</t>
  </si>
  <si>
    <t>Garrido-Benavent, Isaac/0000-0002-5230-225X; Perez-Ortega, Sergio/0000-0002-5411-3698</t>
  </si>
  <si>
    <t>Spanish Ministry of Economy, Industry and Competitiveness [CTM2012-38222-C02-02, FPU AP2012-3556, RYC-2014-16784]</t>
  </si>
  <si>
    <t>Spanish Ministry of Economy, Industry and Competitiveness</t>
  </si>
  <si>
    <t>We thank Michael Simpson, Matt Guilliams, Leigh Johnson, and Justen Whittall for inviting us to participate in the AJB Patterns and Processes of American Amphitropical Plant Disjunctions Special Issue. We thank Dr. Asuncion de los Rios (National Museum of Natural Sciences, MNCN-CSIC, Madrid) for useful comments on the manuscript and for sharing a photograph of the Antarctic rocky shore. Raquel Pino Bodas (Real Jardin Botanico-CSIC, Madrid) is thanked for providing useful data on the distribution ranges of Cladonia species. We also thank Jae Eun So (Korea Polar Research Institute, South Korea) for sharing a photograph of a baby skua in Antarctica, Andre Aptroot (ABL Herbarium, The Netherlands) for his useful comments and for providing literature, and William B. Sanders (Florida Gulf Coast University, USA) for English revision. We are extremely thankful to Christian Printzen (Senckenberg Research Institute, Frankfurt am Main) and an anonymous reviewer for their constructive revisions. Th is study is supported by grant CTM2012-38222-C02-02, I.G.B and S.P.O are supported by grants FPU AP2012-3556 and RYC-2014-16784, respectively, all from the Spanish Ministry of Economy, Industry and Competitiveness.</t>
  </si>
  <si>
    <t>10.3732/ajb.1700182</t>
  </si>
  <si>
    <t>WOS:000416302800004</t>
  </si>
  <si>
    <t>Fitzgerald, NB; Kirkpatrick, JB</t>
  </si>
  <si>
    <t>Fitzgerald, Nicholas B.; Kirkpatrick, James B.</t>
  </si>
  <si>
    <t>Wind distortion in alpine and subantarctic plants is constant among life forms but does not necessarily reflect prevailing wind direction</t>
  </si>
  <si>
    <t>MACQUARIE ISLAND; AZORELLA-SELAGO; SOUTHERN RANGE; CLIMATE-CHANGE; TREE-LINE; HILL ONE; VEGETATION; TASMANIA; FIRE; SNOW</t>
  </si>
  <si>
    <t>Woody plants in windy environments have been used as indicators of prevailing wind direction, because wind can influence plant growth form. We investigated whether non-woody plants also display consistent prevailing wind deformation by observing the direction of asymmetry in growth form of cushion plants, graminoids, and prostrate shrubs growing in highly wind-exposed treeless environments in alpine Tasmania and subantarctic Macquarie Island. Wind distortion of individual plants was inferred from vertical photographs of feldmark and alpine heath vegetation. High correspondence in growth direction between plants of different types suggests a uniform wind influence on plants at the local scale (within &lt; 2 m). Dominant wind direction inferred from plant distortion was not consistent with the strongest and most frequent winds. On a relatively dry mountain with shallow soils the plants responded to strong northwest winds in an apparent desiccation response. Elsewhere, they responded to strong southwest winds in an apparent ice abrasion response. We conclude that, in maritime alpine and subantarctic environments, the direction of wind distortion can be measured using any of shrubs, graminoids, or cushion plants, but that this direction is not necessarily a response to the prevailing strongest winds, but rather winds that most damage foliage, the cause of damage varying with environmental context.</t>
  </si>
  <si>
    <t>[Fitzgerald, Nicholas B.; Kirkpatrick, James B.] Univ Tasmania, Geog &amp; Spatial Sci, Sch Land &amp; Food, Private Bag 78, Hobart, Tas 7001, Australia</t>
  </si>
  <si>
    <t>Fitzgerald, NB (corresponding author), Univ Tasmania, Geog &amp; Spatial Sci, Sch Land &amp; Food, Private Bag 78, Hobart, Tas 7001, Australia.</t>
  </si>
  <si>
    <t>Nicholas.Fitzgerald@utas.edu.au</t>
  </si>
  <si>
    <t>Fitzgerald, Nicholas/0000-0002-1281-6897; Kirkpatrick, James/0000-0003-2763-2692</t>
  </si>
  <si>
    <t>10.1657/AAAR0016-054</t>
  </si>
  <si>
    <t>WOS:000413931200002</t>
  </si>
  <si>
    <t>Chen, AA; Wang, NL; Li, Z; Wu, YW; Zhang, W; Guo, ZM</t>
  </si>
  <si>
    <t>Chen, An'an; Wang, Ninglian; Li, Zhen; Wu, Yuwei; Zhang, Wei; Guo, Zhongming</t>
  </si>
  <si>
    <t>Region-wide glacier mass budgets for the Tanggula Mountains between ∼1969 and ∼2015 derived from remote sensing data</t>
  </si>
  <si>
    <t>CENTRAL TIBETAN PLATEAU; DIGITAL ELEVATION MODELS; XIAO DONGKEMADI GLACIER; CLIMATE-CHANGE; TOPOGRAPHY MISSION; STEREO IMAGERY; NEPAL HIMALAYA; VOLUME CHANGES; SHUTTLE RADAR; TIEN-SHAN</t>
  </si>
  <si>
    <t>Temporal changes in the properties of glaciers located on the central Tibetan Plateau are a sensitive indicator of climate change and the water supply. To estimate the region-wide glacier budgets for three study sites covering the region extending from West-Geladandong to Bugyai Kangri, we compared 1968/1969 topographic maps, the 2000 SRTM DEM, and recent ASTER DEMs for glacier mass budget calculations. Between similar to 1969 and similar to 2015, the specific mass budget was -0.31 +/- 0.05 m w.e. a(-1) for the entire Tanggula Mountains, which is lower than the global average. This ongoing mass loss is mainly caused by increasing summer temperatures since the 1960s. Heterogeneous glacier behavior can be explained by a combination of factors, including meteorological conditions, proglacial lakes, and surge-type glaciers.</t>
  </si>
  <si>
    <t>[Chen, An'an; Li, Zhen; Zhang, Wei] Chinese Acad Sci, Northwest Inst Ecoenvironm &amp; Resources, State Key Lab Cryospher Sci, Lanzhou 730000, Gansu, Peoples R China; [Wang, Ninglian; Wu, Yuwei; Guo, Zhongming] Shaanxi Key Lab Earth Surface Syst &amp; Environm Car, Xian 710127, Shaanxi, Peoples R China; [Wang, Ninglian; Wu, Yuwei; Guo, Zhongming] Northwest Univ, Inst Earth Surface Syst &amp; Hazards, Coll Urban &amp; Environm Sci, Xian 710127, Shaanxi, Peoples R China; [Chen, An'an] Univ Chinese Acad Sci, Beijing 100049, Peoples R China</t>
  </si>
  <si>
    <t>Chinese Academy of Sciences; Northwest University Xi'an; Chinese Academy of Sciences; University of Chinese Academy of Sciences, CAS</t>
  </si>
  <si>
    <t>Wang, NL (corresponding author), Shaanxi Key Lab Earth Surface Syst &amp; Environm Car, Xian 710127, Shaanxi, Peoples R China.;Wang, NL (corresponding author), Northwest Univ, Inst Earth Surface Syst &amp; Hazards, Coll Urban &amp; Environm Sci, Xian 710127, Shaanxi, Peoples R China.</t>
  </si>
  <si>
    <t>nlwang@nwu.edu.cn</t>
  </si>
  <si>
    <t>National Natural Science Foundation of China [41571076, 41501069]; Chinese MOST Basic Work Project [2013FY111400]; Natural Science Fund for Colleges and Universities in Jiangsu Province [15KJB170007]</t>
  </si>
  <si>
    <t>National Natural Science Foundation of China(National Natural Science Foundation of China (NSFC)); Chinese MOST Basic Work Project; Natural Science Fund for Colleges and Universities in Jiangsu Province</t>
  </si>
  <si>
    <t>This work was supported by the National Natural Science Foundation of China (Grants Nos. 41571076, 41501069), the Chinese MOST Basic Work Project (Grant No. 2013FY111400), and The Natural Science Fund for Colleges and Universities in Jiangsu Province (Grant No. 15KJB170007). We gratefully acknowledge the contributors of the remote sensing data and their efforts in constructing the image database used in this study. Special thanks are given to two anonymous reviewers and the journal editor for critical comments on this manuscript.</t>
  </si>
  <si>
    <t>10.1657/AAAR0016-065</t>
  </si>
  <si>
    <t>WOS:000413931200004</t>
  </si>
  <si>
    <t>Edwards, R; Treitz, P</t>
  </si>
  <si>
    <t>Edwards, Rebecca; Treitz, Paul</t>
  </si>
  <si>
    <t>Vegetation greening trends at two sites in the Canadian Arctic: 1984-2015</t>
  </si>
  <si>
    <t>HIGH NORTHERN LATITUDES; SPATIAL-RESOLUTION; GROWING-SEASON; NDVI TRENDS; SHORT-TERM; TUNDRA; CLIMATE; COVER; COMMUNITY; AVHRR</t>
  </si>
  <si>
    <t>This study examined vegetation greening at two arctic sites: the Apex River Watershed (ARW), Baffin Island, Nunavut (a Low Arctic site) and the Cape Bounty Arctic Watershed Observatory (CBAWO), Melville Island, Nunavut (a High Arctic site). The vegetation at both study sites was characterized using a supervised land-cover classification approach using high spatial resolution satellite remote sensing data (i.e., IKONOS [4 m] and WorldView-2 [2 m]). Meanwhile, Normalized Difference Vegetation Index (NDVI) data spanning the past 30 years were derived from intermediate spatial resolution data (i.e., Landsat TM/ETM/OLI [30 m]). The land-cover classifications were used to partition the Landsat NDVI time series by vegetation type. Climate variables (i.e., temperature, precipitation, and growing season length [GSL]) were examined to explore potential relationships of NDVI to climate warming trends. The results of the land-cover classifications demonstrated inherent trends of vegetation types along elevation and moisture gradients. The NDVI time series for the CBAWO (1985-2015) demonstrated an overall significant increase in greening, specifically in the dry and mesic vegetation types. Conversely, similar greening (overall or by vegetation type) was not observed for the ARW (1984-2015). Based on climate data from the nearest permanent weather station (Mould Bay, Nunavut), the overall increase in NDVI at the CBAWO was largely attributed to a significant increase in July temperatures and GSL.</t>
  </si>
  <si>
    <t>[Edwards, Rebecca; Treitz, Paul] Queens Univ, Dept Geog &amp; Planning, Mackintosh Corry Hall, Kingston, ON K7L 3N6, Canada; [Edwards, Rebecca] Ducks Unlimited Canada, 17504 111 Ave NW, Edmonton, AB T5S 1L6, Canada</t>
  </si>
  <si>
    <t>Queens University - Canada</t>
  </si>
  <si>
    <t>Treitz, P (corresponding author), Queens Univ, Dept Geog &amp; Planning, Mackintosh Corry Hall, Kingston, ON K7L 3N6, Canada.</t>
  </si>
  <si>
    <t>paul.treitz@queensu.ca</t>
  </si>
  <si>
    <t>Treitz, Paul/AFM-0165-2022</t>
  </si>
  <si>
    <t>Treitz, Paul/0000-0003-2109-9671</t>
  </si>
  <si>
    <t>ArcticNet; Northern Science Training Program (NSTP); Natural Sciences and Engineering Research Council (NSERC); Queen's University, Kingston, Canada</t>
  </si>
  <si>
    <t>ArcticNet; Northern Science Training Program (NSTP); Natural Sciences and Engineering Research Council (NSERC)(Natural Sciences and Engineering Research Council of Canada (NSERC)); Queen's University, Kingston, Canada</t>
  </si>
  <si>
    <t>The authors gratefully acknowledge financial support from ArcticNet, the Northern Science Training Program (NSTP), the Natural Sciences and Engineering Research Council (NSERC), and Queen's University, Kingston, Canada. We sincerely thank the Nunavut Research Institute for providing logistical support for this research. The authors thank Drs. Scott Lamoureux and Melissa Lafreniere for the support of this research for the Apex River Watershed, Baffin Island, NU. The authors also thank Nanfeng Liu for his contributions to the field data collection. Treitz thanks the Director, Dr. Peter Skold and the faculty and staff of the Arctic Research Centre at Umea University (ARCUM) for their support of this research during his tenure as a visiting researcher. The authors gratefully acknowledge the efforts of two anonymous reviewers for their thoughtful comments.</t>
  </si>
  <si>
    <t>10.1657/AAAR0016-075</t>
  </si>
  <si>
    <t>WOS:000413931200007</t>
  </si>
  <si>
    <t>Mir, RA; Jain, SK; Jain, SK; Thayyen, RJ; Saraf, AK</t>
  </si>
  <si>
    <t>Mir, Riyaz Ahmad; Jain, Sanjay K.; Jain, Sharad K.; Thayyen, Renoj J.; Saraf, Arun K.</t>
  </si>
  <si>
    <t>Assessment of recent glacier changes and its controlling factors from 1976 to 2011 in Baspa basin, western Himalaya</t>
  </si>
  <si>
    <t>LAND ICE MEASUREMENTS; MASS-BALANCE; CLIMATE-CHANGE; KARAKORAM-HIMALAYA; CORDILLERA BLANCA; GARHWAL HIMALAYA; HIMACHAL-PRADESH; TIBETAN PLATEAU; INVENTORY DATA; RESPONSE-TIME</t>
  </si>
  <si>
    <t>Himalayan glaciers are normally difficult to monitor through field observations because of highly rugged and extremely inaccessible mountainous terrain. Thus, using Landsat data (MSS, ETM+ and TM), changes in glacier area, length, and debris cover have been delineated in the Baspa basin, which is a highly glacierized sub-basin of the Satluj River in the western Himalaya. Out of the total 109 glaciers inventoried through Landsat TM imagery (2011), 36 glaciers were found to be heavily debris covered (32.5 +/- 2.0%). A shrinkage in glacier area of 41.2 +/- 10.5 km(2) (i.e., 18.1 +/- 4.1%) at a rate of 1.18 +/- 0.3 km(2) a(-1) from 1976 (227.4 +/- 9.4 km(2)) to 2011 (186.2 +/- 3.7 km(2)) has been recorded. The overall glacier retreat studied for 33 glaciers varied from 3.3 +/- 0.03%, that is, 0.87 +/- 0.06 km at a rate of 17.2 +/- 1 m a(-1) to 30 +/- 6.6%, that is, 0.60 +/- 0.04 km at a rate of 24.8 +/- 0.2 m a-1. Consequently, the debris cover has increased by 23.5 +/- 1.4 km(2) (16.3 +/- 3.8%) from 1976 to 2011. Overall, the clean, small sized, low-altitude glaciers with south to southwest aspect and relatively steep slope have lost maximum area, which indicated a major control of these factors on the glacier changes. Simultaneously, a trend estimation of observed climatic data (1976/1985-2008) of three meteorological stations (Sangla, Rakcham, and Chitkul) using Mann Kendall test, Sen's Slope estimator and linear regression test revealed an increase in temperature and rainfall while a decline in snowfall. Importantly, the T-min has increased significantly at 95% confidence level during all the studied periods. The mean annual T-min and T-max indicated a rising trend at a rate of 0.076 and 0.071 degrees C a(-1). Thus, the changes in temperature and precipitation may be the major causes of accelerating the glacier ablation. The higher area changes (53.0 +/- 0.4%), of small glaciers &lt;0.5 km(2) mark their sensitivity to climatic changes especially rising temperature. Under the warming climate, formation and progressive expansion of glacial lakes is expected because of the glacier recession in the basin. For instance, the Baspa Bamak Proglacial Lake at the snout of Baspa Bamak glacier has expanded continuously from 2000 onward.</t>
  </si>
  <si>
    <t>[Mir, Riyaz Ahmad; Saraf, Arun K.] Indian Inst Technol Roorkee, Dept Earth Sci, Roorkee 247667, Uttrakhand, India; [Mir, Riyaz Ahmad] Geol Survey India, State Unit Jammu &amp; Kashmir, Opp Income Tax Off, Srinagar 190008, Jammu &amp; Kashmir, India; [Jain, Sanjay K.; Jain, Sharad K.; Thayyen, Renoj J.] Natl Inst Hydrol, Roorkee 247667, Uttrakhand, India</t>
  </si>
  <si>
    <t>Indian Institute of Technology System (IIT System); Indian Institute of Technology (IIT) - Roorkee; Geological Survey India</t>
  </si>
  <si>
    <t>Mir, RA (corresponding author), Indian Inst Technol Roorkee, Dept Earth Sci, Roorkee 247667, Uttrakhand, India.;Mir, RA (corresponding author), Geol Survey India, State Unit Jammu &amp; Kashmir, Opp Income Tax Off, Srinagar 190008, Jammu &amp; Kashmir, India.</t>
  </si>
  <si>
    <t>riyazgsi@gmail.com</t>
  </si>
  <si>
    <t>Jain, Sharad K./ABF-8594-2020; Thayyen, Renoj J/AAR-8636-2020; Jain, Sharad K/GPW-9877-2022</t>
  </si>
  <si>
    <t>Jain, Sharad K/0000-0002-6268-2145</t>
  </si>
  <si>
    <t>10.1657/AAAR0015-070</t>
  </si>
  <si>
    <t>WOS:000413931200008</t>
  </si>
  <si>
    <t>Khosrawi, F; Kirner, O; Sinnhuber, BM; Johansson, S; Höpfner, M; Santee, ML; Froidevaux, L; Ungermann, J; Ruhnke, R; Woiwode, W; Oelhaf, H; Braesicke, P</t>
  </si>
  <si>
    <t>Khosrawi, Farahnaz; Kirner, Oliver; Sinnhuber, Bjoern-Martin; Johansson, Soeren; Hoepfner, Michael; Santee, Michelle L.; Froidevaux, Lucien; Ungermann, Joern; Ruhnke, Roland; Woiwode, Wolfgang; Oelhaf, Hermann; Braesicke, Peter</t>
  </si>
  <si>
    <t>Denitrification, dehydration and ozone loss during the 2015/2016 Arctic winter</t>
  </si>
  <si>
    <t>POLAR STRATOSPHERIC CLOUDS; TRANSFORM SPECTROMETER GLORIA; TOTAL REACTIVE NITROGEN; NITRIC-ACID TRIHYDRATE; ANTARCTIC STRATOSPHERE; HETEROGENEOUS CHEMISTRY; ATMOSPHERIC CHEMISTRY; MODEL; DEPLETION; SYSTEM</t>
  </si>
  <si>
    <t>The 2015/2016 Arctic winter was one of the coldest stratospheric winters in recent years. A stable vortex formed by early December and the early winter was exceptionally cold. Cold pool temperatures dropped below the nitric acid trihydrate (NAT) existence temperature of about 195 K, thus allowing polar stratospheric clouds (PSCs) to form. The low temperatures in the polar stratosphere persisted until early March, allowing chlorine activation and catalytic ozone destruction. Satellite observations indicate that sedimentation of PSC particles led to denitrification as well as dehydration of stratospheric layers. Model simulations of the 2015/2016 Arctic winter nudged toward European Centre for Medium-Range Weather Forecasts (ECMWF) analysis data were performed with the atmospheric chemistry-climate model ECHAM5/MESSy Atmospheric Chemistry (EMAC) for the Polar Stratosphere in a Changing Climate (POLSTRACC) campaign. POLSTRACC is a High Altitude and Long Range Research Aircraft (HALO) mission aimed at the investigation of the structure, composition and evolution of the Arctic upper troposphere and lower stratosphere (UTLS). The chemical and physical processes involved in Arctic stratospheric ozone depletion, transport and mixing processes in the UTLS at high latitudes, PSCs and cirrus clouds are investigated. In this study, an overview of the chemistry and dynamics of the 2015/2016 Arctic winter as simulated with EMAC is given. Further, chemical-dynamical processes such as denitrification, dehydration and ozone loss during the 2015/2016 Arctic winter are investigated. Comparisons to satellite observations by the Aura Microwave Limb Sounder (Aura/MLS) as well as to airborne measurements with the Gimballed Limb Observer for Radiance Imaging of the Atmosphere (GLORIA) performed aboard HALO during the POLSTRACC campaign show that the EMAC simulations nudged toward ECMWF analysis generally agree well with observations. We derive a maximum polar stratospheric O-3 loss of similar to 2 ppmv or 117DU in terms of column ozone in mid-March. The stratosphere was denitrified by about 48 ppbv HNO3 and dehydrated by about 0.6-1 ppmv H2O from the middle to the end of February. While ozone loss was quite strong, but not as strong as in 2010/2011, denitrification and dehydration were so far the strongest observed in the Arctic stratosphere in at least the past 10 years.</t>
  </si>
  <si>
    <t>[Khosrawi, Farahnaz; Sinnhuber, Bjoern-Martin; Johansson, Soeren; Hoepfner, Michael; Ruhnke, Roland; Woiwode, Wolfgang; Oelhaf, Hermann; Braesicke, Peter] Karlsruhe Inst Technol, Inst Meteorol &amp; Climate Res, Karlsruhe, Germany; [Kirner, Oliver] Karlsruhe Inst Technol, Steinbuch Ctr Comp, Karlsruhe, Germany; [Santee, Michelle L.; Froidevaux, Lucien] CALTECH, Jet Prop Lab, Pasadena, CA USA; [Ungermann, Joern] Forschungszentrum Julich, Inst Energy &amp; Climate Res, Julich, Germany</t>
  </si>
  <si>
    <t>Helmholtz Association; Karlsruhe Institute of Technology; Helmholtz Association; Karlsruhe Institute of Technology; National Aeronautics &amp; Space Administration (NASA); NASA Jet Propulsion Laboratory (JPL); California Institute of Technology; Helmholtz Association; Research Center Julich</t>
  </si>
  <si>
    <t>Khosrawi, F (corresponding author), Karlsruhe Inst Technol, Inst Meteorol &amp; Climate Res, Karlsruhe, Germany.</t>
  </si>
  <si>
    <t>farahnaz.khosrawi@kit.edu</t>
  </si>
  <si>
    <t>Ungermann, Jörn/K-7776-2012; Kirner, Oliver/K-8815-2015; 1294, HALO SPP/AAA-7658-2021; Braesicke, Peter/D-8330-2016; Ruhnke, Roland/J-8800-2012; Johansson, Sören/AAF-9672-2020; Santee, MIchelle/R-5762-2019; Hopfner, Michael/A-7255-2013; Sinnhuber, Bjorn-Martin/A-7007-2013</t>
  </si>
  <si>
    <t>Ungermann, Jörn/0000-0001-9095-8332; Kirner, Oliver/0000-0001-5668-6177; Braesicke, Peter/0000-0003-1423-0619; Ruhnke, Roland/0000-0002-0353-1603; Johansson, Sören/0000-0002-9642-1955; Khosrawi, Farahnaz/0000-0002-0261-7253; Hopfner, Michael/0000-0002-4174-9531; Sinnhuber, Bjorn-Martin/0000-0001-9608-7320</t>
  </si>
  <si>
    <t>European Community's Seventh Framework Programme (FP7) [603557]; Deutsche Forschungsgemeinschaft [1294]; Deutsche Forschungsgemeinschaft; Karlsruhe Institute of Technology</t>
  </si>
  <si>
    <t>European Community's Seventh Framework Programme (FP7)(European Union (EU)); Deutsche Forschungsgemeinschaft(German Research Foundation (DFG)); Deutsche Forschungsgemeinschaft(German Research Foundation (DFG)); Karlsruhe Institute of Technology(Helmholtz Association)</t>
  </si>
  <si>
    <t>We would like to thank the European Centre for Medium-Range Weather Forecasts (ECMWF) for providing their meteorological analyses. We also would like to thank the MLS team for providing their data. MLS data were obtained from the NASA Goddard Earth Sciences and Information Center. Work at the Jet Propulsion Laboratory, California Institute of Technology, was done under contract with the National Aeronautics and Space Administration. S. Johansson has received funding from the European Community's Seventh Framework Programme (FP7/2007-2013) under grant agreement 603557. We would like to thank the GLORIA team for performing the measurements aboard HALO during the POLSTRACC campaign. Atmospheric research with HALO is supported by the Priority Programme 1294 of the Deutsche Forschungsgemeinschaft. EMAC simulations were performed on the Institute Cluster II at the Steinbuch Center for Computing at Karlsruhe Institute of Technology. We acknowledge support by Deutsche Forschungsgemeinschaft and open-access publishing fund of Karlsruhe Institute of Technology.</t>
  </si>
  <si>
    <t>10.5194/acp-17-12893-2017</t>
  </si>
  <si>
    <t>FL4KW</t>
  </si>
  <si>
    <t>WOS:000414199500001</t>
  </si>
  <si>
    <t>Souverijns, N; Gossart, A; Lhermitte, S; Gorodetskaya, IV; Kneifel, S; Maahn, M; Bliven, FL; van Lipzig, NPM</t>
  </si>
  <si>
    <t>Souverijns, N.; Gossart, A.; Lhermitte, S.; Gorodetskaya, I. V.; Kneifel, S.; Maahn, M.; Bliven, F. L.; van Lipzig, N. P. M.</t>
  </si>
  <si>
    <t>Estimating radar reflectivity - Snowfall rate relationships and their uncertainties over Antarctica by combining disdrometer and radar observations</t>
  </si>
  <si>
    <t>Antarctica; Disdrometer; Snowfall rate; Radar; Uncertainty quantification</t>
  </si>
  <si>
    <t>ATMOSPHERIC ICE CRYSTALS; MICROPHYSICAL PROPERTIES; SNOWDRIFT SUBLIMATION; SIZE DISTRIBUTIONS; MEAN DENSITY; FALL SPEEDS; DROP SIZE; PRECIPITATION; SCATTERING; CLOUD</t>
  </si>
  <si>
    <t>Snowfall rate (SR) estimates over Antarctica are sparse and characterised by large uncertainties. Yet, observations by precipitation radar offer the potential to get better insight in Antarctic SR. Relations between radar reflectivity (Ze) and snowfall rate (Ze-SR relations) are however not available over Antarctica. Here, we analyse observations from the first Micro Rain Radar (MRR) in Antarctica together with an optical disdrometer (Precipitation Imaging Package; PIP), deployed at the Princess Elisabeth station. The relation Ze = A*SRB was derived using PIP observations and its uncertainty was quantified using a bootstrapping approach, randomly sampling within the range of uncertainty. This uncertainty was used to assess the uncertainty in snowfall rates derived by the MRR. We find a value of A = 18 [11-43] and B = 1.10 [0.97-1.17]. The uncertainty on snowfall rates of the MRR based on the Ze-SR relation are limited to 40%, due to the propagation of uncertainty in both Ze as well as SR, resulting in some compensation. The prefactor (A) of the Ze-SR relation is sensitive to the median diameter of the snow particles. Larger particles, typically found closer to the coast, lead to an increase of the value of the prefactor (A = 44). Smaller particles, typical of more inland locations, obtain lower values for the prefactor (A = 7). The exponent (B) of the Ze-SR relation is insensitive to the median diameter of the snow particles. In contrast with previous studies for various locations, shape uncertainty is not the main source of uncertainty of the Ze-SR relation. Parameter uncertainty is found to be the most dominant term, mainly driven by the uncertainty in mass-size relation of different snow particles. Uncertainties on the snow particle size distribution are negligible in this study as they are directly measured. Future research aiming at reducing the uncertainty of Ze-SR relations should therefore focus on obtaining reliable estimates of the mass-size relations of snow particles.</t>
  </si>
  <si>
    <t>[Souverijns, N.; Gossart, A.; Lhermitte, S.; Gorodetskaya, I. V.; van Lipzig, N. P. M.] Katholieke Univ Leuven, Dept Earth &amp; Environm Sci, Celestijnenlaan 200E, B-3001 Heverlee, Belgium; [Lhermitte, S.] Delft Univ Technol, Dept Geosci &amp; Remote Sensing, Delft, Netherlands; [Gorodetskaya, I. V.] Univ Aveiro, Dept Phys, CESAM Ctr Environm &amp; Marine Studies, Aveiro, Portugal; [Kneifel, S.] Univ Cologne, Inst Geophys &amp; Meteorol, Cologne, Germany; [Maahn, M.] Univ Colorado, Cooperat Inst Res Environm Sci, Boulder, CO 80309 USA; [Maahn, M.] NOAA, Earth Syst Res Lab, Boulder, CO USA; [Bliven, F. L.] NASA, GSFC Wallops Flight Facil, Wallops Isl, VA USA</t>
  </si>
  <si>
    <t>KU Leuven; Delft University of Technology; Universidade de Aveiro; University of Cologne; University of Colorado System; University of Colorado Boulder; National Oceanic Atmospheric Admin (NOAA) - USA; National Aeronautics &amp; Space Administration (NASA); NASA Goddard Space Flight Center; Wallops Flight Facility</t>
  </si>
  <si>
    <t>Souverijns, N (corresponding author), Katholieke Univ Leuven, Dept Earth &amp; Environm Sci, Celestijnenlaan 200E, B-3001 Heverlee, Belgium.</t>
  </si>
  <si>
    <t>niels.souverijns@kuleuven.be</t>
  </si>
  <si>
    <t>Souverijns, Niels/AAB-2142-2019; Gossart, Alexandra/AAK-8903-2020; Lhermitte, Stef (Stefaan)/A-3385-2013; van Lipzig, Nicole/ABF-2964-2021; Maahn, Maximilian/E-8363-2014; Gorodetskaya, Irina/K-1987-2015; Kneifel, Stefan/A-2044-2015</t>
  </si>
  <si>
    <t>Souverijns, Niels/0000-0003-4695-9754; Gossart, Alexandra/0000-0002-1927-2685; Lhermitte, Stef (Stefaan)/0000-0002-1622-0177; van Lipzig, Nicole/0000-0003-2899-4046; Maahn, Maximilian/0000-0002-2580-9100; Gorodetskaya, Irina/0000-0002-2294-7823; Kneifel, Stefan/0000-0003-2220-2968</t>
  </si>
  <si>
    <t>Belgian Science Policy Office (BELSPO) [BR/143/A2/AEROCLOUD]; Research Foundation Flanders (FWO) [G0C2215N]; German Research Foundation (DFG) [KN1112/2-1]; US Department of Energy Atmospheric System Research(ASR) program [DE-SC0013306]</t>
  </si>
  <si>
    <t>Belgian Science Policy Office (BELSPO)(Belgian Federal Science Policy Office); Research Foundation Flanders (FWO)(FWO); German Research Foundation (DFG)(German Research Foundation (DFG)); US Department of Energy Atmospheric System Research(ASR) program</t>
  </si>
  <si>
    <t>We thank the logistic teams, Alexander Mangold (Royal Meteorological Institute) and Quentin Laffineur (Royal Meteorological Institute) for executing the yearly maintenance of our instruments at the Princess Elisabeth station and for their help by installing and setting up the PIP. Christophe Coeck (KU Leuven) is acknowledged for designing and constructing a frame for the PIP adapted to the Antarctic climate. Alain Protat (Bureau of Meteorology, Melbourne) is thanked for performing the calibration of our MRR, highly improving confidence in its measurements. We further thank Wim Boot, Carleen Reijmer, and Michiel van den Broeke (Utrecht University, Institute for Marine and Atmospheric Research Utrecht) for the development of the Automatic Weather Station, technical support and raw data processing. The authors are grateful to two anonymous reviewers for their constructive reviews. This work was supported by the Belgian Science Policy Office (BELSPO; grant number BR/143/A2/AEROCLOUD) and the Research Foundation Flanders (FWO; grant number G0C2215N). Contributions from S. Kneifel were carried out within the Emmy-Noether Group OPTIMIce funded by the German Research Foundation (DFG; grant number KN1112/2-1). M. Maahn was supported by funding from the US Department of Energy Atmospheric System Research(ASR) program (award DE-SC0013306).</t>
  </si>
  <si>
    <t>10.1016/j.atmosres.2017.06.001</t>
  </si>
  <si>
    <t>FF8TH</t>
  </si>
  <si>
    <t>WOS:000409290200018</t>
  </si>
  <si>
    <t>Moon, KL; Chown, SL; Fraser, CI</t>
  </si>
  <si>
    <t>Moon, Katherine L.; Chown, Steven L.; Fraser, Ceridwen I.</t>
  </si>
  <si>
    <t>Reconsidering connectivity in the sub-Antarctic</t>
  </si>
  <si>
    <t>BIOLOGICAL REVIEWS</t>
  </si>
  <si>
    <t>phylogeography; next-generation sequencing; single nucleotide polymorphism; island model; metapopulation; gene flow; climate change; invasive species</t>
  </si>
  <si>
    <t>LONG-DISTANCE DISPERSAL; SOUTHERN-OCEAN ISLANDS; LAST GLACIAL MAXIMUM; WEST-WIND-DRIFT; NACELLA PATELLOGASTROPODA NACELLIDAE; PATAGONIAN TOOTHFISH POPULATIONS; BRACHYDERES-RUGATUS COLEOPTERA; GENETIC-STRUCTURE; POLAR FRONT; MITOCHONDRIAL LINEAGES</t>
  </si>
  <si>
    <t>Extreme and remote environments provide useful settings to test ideas about the ecological and evolutionary drivers of biological diversity. In the sub-Antarctic, isolation by geographic, geological and glaciological processes has long been thought to underpin patterns in the region's terrestrial and marine diversity. Molecular studies using increasingly high-resolution data are, however, challenging this perspective, demonstrating that many taxa disperse among distant sub-Antarctic landmasses. Here, we reconsider connectivity in the sub-Antarctic region, identifying which taxa are relatively isolated, which are well connected, and the scales across which this connectivity occurs in both terrestrial and marine systems. Although many organisms show evidence of occasional long-distance, trans-oceanic dispersal, these events are often insufficient to maintain gene flow across the region. Species that do show evidence of connectivity across large distances include both active dispersers and more sedentary species. Overall, connectivity patterns in the sub-Antarctic at intra- and inter-island scales are highly complex, influenced by life-history traits and local dynamics such as relative dispersal capacity and propagule pressure, natal philopatry, feeding associations, the extent of human exploitation, past climate cycles, contemporary climate, and physical barriers to movement. An increasing use of molecular data - particularly genomic data sets that can reveal fine-scale patterns - and more effective international collaboration and communication that facilitates integration of data from across the sub-Antarctic, are providing fresh insights into the processes driving patterns of diversity in the region. These insights offer a platform for assessing the ways in which changing dispersal mechanisms, such as through increasing human activity and changes to wind and ocean circulation, may alter sub-Antarctic biodiversity patterns in the future.</t>
  </si>
  <si>
    <t>[Moon, Katherine L.; Chown, Steven L.] Monash Univ, Sch Biol Sci, Clayton, Vic 3800, Australia; [Moon, Katherine L.; Fraser, Ceridwen I.] Australian Natl Univ, Fenner Sch Environm &amp; Soc, Acton, ACT 2601, Australia</t>
  </si>
  <si>
    <t>Monash University; Australian National University</t>
  </si>
  <si>
    <t>Moon, KL (corresponding author), Monash Univ, Sch Biol Sci, Clayton, Vic 3800, Australia.;Moon, KL (corresponding author), Australian Natl Univ, Fenner Sch Environm &amp; Soc, Acton, ACT 2601, Australia.</t>
  </si>
  <si>
    <t>katielouisemoon@gmail.com</t>
  </si>
  <si>
    <t>Chown, Steven/ABD-7646-2021</t>
  </si>
  <si>
    <t>Fraser, Ceridwen/0000-0002-6918-8959</t>
  </si>
  <si>
    <t>Australian Government through Australian Postgraduate Award funding; Australian Antarctic Science Project [4307]; Australian Research Council DECRA grant [DE140101715]; Australian Research Council [DE140101715] Funding Source: Australian Research Council</t>
  </si>
  <si>
    <t>Australian Government through Australian Postgraduate Award funding; Australian Antarctic Science Project; Australian Research Council DECRA grant(Australian Research Council); Australian Research Council(Australian Research Council)</t>
  </si>
  <si>
    <t>We acknowledge the support of the Australian Government through their Australian Postgraduate Award funding and ongoing support of the Australian National University's Fenner School of the Environment and Society. S. L. C. is funded by Australian Antarctic Science Project 4307. C. I. F. is funded by Australian Research Council DECRA grant DE140101715. We acknowledge the post-doctoral staff of the Chown Lab at Monash University's School of Biological Sciences for their comments and support. Finally, we acknowledge Dianne Moon and Michael Moon for their editorial comments.</t>
  </si>
  <si>
    <t>1464-7931</t>
  </si>
  <si>
    <t>1469-185X</t>
  </si>
  <si>
    <t>BIOL REV</t>
  </si>
  <si>
    <t>Biol. Rev.</t>
  </si>
  <si>
    <t>10.1111/brv.12327</t>
  </si>
  <si>
    <t>FI9GT</t>
  </si>
  <si>
    <t>WOS:000412314400017</t>
  </si>
  <si>
    <t>Polymeropoulos, ET; Elliott, NG; Frappell, PB</t>
  </si>
  <si>
    <t>Polymeropoulos, Elias T.; Elliott, Nicholas G.; Frappell, Peter B.</t>
  </si>
  <si>
    <t>Hypoxic acclimation leads to metabolic compensation after reoxygenation in Atlantic salmon yolk-sac alevins</t>
  </si>
  <si>
    <t>COMPARATIVE BIOCHEMISTRY AND PHYSIOLOGY A-MOLECULAR &amp; INTEGRATIVE PHYSIOLOGY</t>
  </si>
  <si>
    <t>Atlantic salmon; Hypoxia; Temperature; Acclimation; Metabolic compensation</t>
  </si>
  <si>
    <t>ONCORHYNCHUS-MYKISS EMBRYOS; ZEBRAFISH DANIO-RERIO; CRANIAL NERVE-IX; RAINBOW-TROUT; HEART-RATE; DISSOLVED-OXYGEN; SALAR L; DEVELOPMENTAL PLASTICITY; AEROBIC METABOLISM; TEMPERATURE</t>
  </si>
  <si>
    <t>Hypoxia is common in aquatic environments and has substantial effects on development, metabolism and survival of aquatic organisms. To understand the physiological effects of hypoxia and its dependence on temperature, metabolic rate (&lt;(M) over dot&gt;(o2)) and cardiorespiratory function were studied in response to acute hypoxia (21 -&gt; 5 kPa) at different measurement temperatures (T-a; 4, 8 and 12 degrees C) in Salmo solar alevins that were incubated under normoxic conditions (P-o2 = 21 kPa) or following hypoxic acclimation (P-o2 = 10 kPa) as well as two different temperatures (4 degrees C or 8 degrees C). Hypoxic acclimation lead to a developmental delay manifested through slower yolk absorption. The general response to acute hypoxia was metabolic depression (similar to 60%). Hypoxia acclimated alevins had higher &lt;(M) over dot&gt;(o2)s when measured in normoxia than alevins acclimated to normoxia. &lt;(M) over dot&gt;(o2)s were elevated to the same degree (similar to 30% per 4 degrees C change) irrespective of T-a. Under severe, acute hypoxia (similar to 5 kPa) and irrespective of T-a or acclimation, &lt;(M) over dot&gt;(o2)s were similar between most groups. This suggests that despite different acclimation regimes, O-2 transport was limited to the same degree. While cardiorespiratory function (heart-, ventilation rate) was unchanged in response to acute hypoxia after normoxic acclimation, hypoxic acclimation led to cardiorespiratory changes predominantly in severe hypoxia, indicating earlier onset and plasticity of cardiorespiratory control mechanisms. Although &lt;(M) over dot&gt;(o2) in normoxia was higher after hypoxic acclimation, at the respective acclimation P-o2, &lt;(M) over dot&gt;(o2) was similar in normoxia and hypoxia acclimated alevins. This is indicative of metabolic compensation to an intrinsic &lt;(M) over dot&gt;(o2) at the acclimation condition in hypoxia-acclimated alevins after re-exposure to normoxia.</t>
  </si>
  <si>
    <t>[Polymeropoulos, Elias T.; Frappell, Peter B.] Univ Tasmania, Inst Marine &amp; Antarctic Studies, Hobart, Tas 7001, Australia; [Elliott, Nicholas G.] Commonwealth Sci &amp; Ind Res Org Agr &amp; Food, 3-4 Castray Esplanade, Battery Point, Tas, Australia</t>
  </si>
  <si>
    <t>Polymeropoulos, ET (corresponding author), Univ Tasmania, Inst Marine &amp; Antarctic Studies, Hobart, Tas 7001, Australia.</t>
  </si>
  <si>
    <t>elias.polymeropoulos@utas.edu.au</t>
  </si>
  <si>
    <t>Polymeropoulos, Elias T/E-9883-2013</t>
  </si>
  <si>
    <t>1095-6433</t>
  </si>
  <si>
    <t>1531-4332</t>
  </si>
  <si>
    <t>COMP BIOCHEM PHYS A</t>
  </si>
  <si>
    <t>Comp. Biochem. Physiol. A-Mol. Integr. Physiol.</t>
  </si>
  <si>
    <t>10.1016/j.cbpa.2017.08.011</t>
  </si>
  <si>
    <t>Biochemistry &amp; Molecular Biology; Physiology; Zoology</t>
  </si>
  <si>
    <t>FI8MA</t>
  </si>
  <si>
    <t>WOS:000412255500004</t>
  </si>
  <si>
    <t>Coetzee, BWT; Convey, P; Chown, SL</t>
  </si>
  <si>
    <t>Coetzee, Bernard W. T.; Convey, Peter; Chown, Steven L.</t>
  </si>
  <si>
    <t>Expanding the Protected Area Network in Antarctica is Urgent and Readily Achievable</t>
  </si>
  <si>
    <t>CONSERVATION LETTERS</t>
  </si>
  <si>
    <t>Antarctic Conservation Biogeographic Regions; Antarctic Specially Protected Areas; evidence-based decision making; systematic conservation planning</t>
  </si>
  <si>
    <t>BIOLOGICAL INVASIONS; CONSERVATION; PERFORMANCE; MANAGEMENT; IMPACTS; SCIENCE</t>
  </si>
  <si>
    <t>The terrestrial protected areas of Antarctica are generally small, unrepresentative of the continent's biodiversity, and at risk from a range of pressures. While some consider the whole Antarctic region as a protected area, we demonstrate that the evidence does not support this view. The Protocol on Environmental Protection to the Antarctic Treaty recognizes that a systematic environmental-geographical framework provides a quantitative approach to inform expansion of the current Antarctic Specially Protected Area (ASPA) network. We review the progress thus far and challenges facing the establishment of protected areas in terrestrial Antarctica when adopting best practice approaches, an assessment that is lacking for the region to date. Encouragingly, because of the historical investment in Antarctic biodiversity science, and the existence and implementation of defined processes to identify and designate ASPAs, the opportunity exists to rapidly expand the current ASPA network. However, challenges remain. Foremost among these is the adoption of a comprehensive systematic conservation plan by stakeholders. We outline a strategy for the Antarctic Treaty Parties to provide the equitable, effective, transparent, and scientifically founded expansion of protected areas that Antarctica urgently requires. We also highlight where opportunities for colearning may lie in conservation planning and policy development in the Antarctic and other commons or commons-like areas.</t>
  </si>
  <si>
    <t>[Coetzee, Bernard W. T.; Chown, Steven L.] Monash Univ, Sch Biol Sci, Clayton, Vic 3800, Australia; [Coetzee, Bernard W. T.] Org Trop Studies, Sci Serv, Kruger Natl Pk, ZA-1350 Mpumalanga, South Africa; [Coetzee, Bernard W. T.] Univ Witwatersrand, Global Change &amp; Sustainabil Res Inst, Private Bag X3, ZA-2050 Johannesburg, South Africa; [Convey, Peter] British Antarctic Survey, NERC, Madingley Rd, Cambridge CB3 0ET, England; [Convey, Peter] Univ Malaya, Inst Grad Studies, Natl Antarctic Res Ctr, Kuala Lumpur 50603, Malaysia</t>
  </si>
  <si>
    <t>Monash University; University of Witwatersrand; UK Research &amp; Innovation (UKRI); Natural Environment Research Council (NERC); NERC British Antarctic Survey; Universiti Malaya</t>
  </si>
  <si>
    <t>Coetzee, BWT (corresponding author), Org Trop Studies, Sci Serv, Kruger Natl Pk, ZA-1350 Mpumalanga, South Africa.</t>
  </si>
  <si>
    <t>bwtcoetzee@gmail.com</t>
  </si>
  <si>
    <t>Chown, Steven/ABD-7646-2021; Convey, Peter/AAV-5728-2020; Coetzee, Bernard WT/AAR-8390-2021</t>
  </si>
  <si>
    <t>Convey, Peter/0000-0001-8497-9903; Coetzee, Bernard WT/0000-0002-9913-6295</t>
  </si>
  <si>
    <t>Scientific Committee on Antarctic Research, Australian Antarctic Science Program Grant [4307]; NERC; Natural Environment Research Council [bas0100036] Funding Source: researchfish; NERC [bas0100036] Funding Source: UKRI</t>
  </si>
  <si>
    <t>Scientific Committee on Antarctic Research, Australian Antarctic Science Program Grant; NERC(UK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</si>
  <si>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supported by the Scientific Committee on Antarctic Research, Australian Antarctic Science Program Grant 4307 to SLC, and NERC core funding to the British Antarctic Survey's Biodiversity, Evolution and Adaptation Team (PC). Comments by Kevin Hughes, Mark Schwartz, Hawthorne Beyer, two anonymous reviewers, and especially Aleks Terauds greatly improved the manuscript.</t>
  </si>
  <si>
    <t>1755-263X</t>
  </si>
  <si>
    <t>CONSERV LETT</t>
  </si>
  <si>
    <t>Conserv. Lett.</t>
  </si>
  <si>
    <t>10.1111/conl.12342</t>
  </si>
  <si>
    <t>FP8TA</t>
  </si>
  <si>
    <t>WOS:000417917800003</t>
  </si>
  <si>
    <t>Munneke, PK; McGrath, D; Medley, B; Luckman, A; Bevan, S; Kulessa, B; Jansen, D; Booth, A; Smeets, P; Hubbard, B; Ashmore, D; Van den Broeke, M; Sevestre, H; Steffen, K; Shepherd, A; Gourmelen, N</t>
  </si>
  <si>
    <t>Munneke, Peter Kuipers; McGrath, Daniel; Medley, Brooke; Luckman, Adrian; Bevan, Suzanne; Kulessa, Bernd; Jansen, Daniela; Booth, Adam; Smeets, Paul; Hubbard, Bryn; Ashmore, David; Van den Broeke, Michiel; Sevestre, Heidi; Steffen, Konrad; Shepherd, Andrew; Gourmelen, Noel</t>
  </si>
  <si>
    <t>Observationally constrained surface mass balance of Larsen C ice shelf, Antarctica</t>
  </si>
  <si>
    <t>BASAL CREVASSES; AIRBORNE-RADAR; PENINSULA; FIRN; CLIMATE; VARIABILITY; ACCUMULATION; GLACIER; RATES; MELT</t>
  </si>
  <si>
    <t>The surface mass balance (SMB) of the Larsen C ice shelf (LCIS), Antarctica, is poorly constrained due to a dearth of in situ observations. Combining several geophysical techniques, we reconstruct spatial and temporal patterns of SMB over the LCIS. Continuous time series of snow height (2.5-6 years) at five locations allow for multi-year estimates of seasonal and annual SMB over the LCIS. There is high interannual variability in SMB as well as spatial variability: in the north, SMB is 0.40 +/-+/- 0.06 to 0.41 +/- 0.04mw. e. year(-1), while farther south, SMB is up to 0.50 +/- 0.05mw. e. year(-1). This difference between north and south is corroborated by winter snow accumulation derived from an airborne radar survey from 2009, which showed an average snow thickness of 0.34mw. e. north of 66 ffi S, and 0.40mw. e. south of 68 ffi S. Analysis of ground-penetrating radar from several field campaigns allows for a longer-term perspective of spatial variations in SMB: a particularly strong and coherent reflection horizon below 25-44m of waterequivalent ice and firn is observed in radargrams collected across the shelf. We propose that this horizon was formed synchronously across the ice shelf. Combining snow height observations, ground and airborne radar, and SMB output from a regional climate model yields a gridded estimate of SMB over the LCIS. It confirms that SMB increases from north to south, overprinted by a gradient of increasing SMB to the west, modulated in the west by fhn-induced sublimation. Previous observations show a strong decrease in firn air content toward the west, which we attribute to spatial patterns of melt, refreezing, and densification rather than SMB.</t>
  </si>
  <si>
    <t>[Munneke, Peter Kuipers; Smeets, Paul; Van den Broeke, Michiel] Univ Utrecht, Inst Marine &amp; Atmospher Res, Utrecht, Netherlands; [McGrath, Daniel] Colorado State Univ, Geosci Dept, Ft Collins, CO 80523 USA; [McGrath, Daniel] US Geol Survey, Alaska Sci Ctr, Anchorage, AK USA; [Medley, Brooke] NASA, Goddard Space Flight Ctr, Cryospher Sci Lab, Greenbelt, MD USA; [Luckman, Adrian; Bevan, Suzanne; Kulessa, Bernd] Swansea Univ, Geog Dept, Coll Sci, Swansea, W Glam, Wales; [Jansen, Daniela] Ctr Polar &amp; Marine Res, Alfred Wegener Inst Helmholtz, Bremerhaven, Germany; [Booth, Adam; Shepherd, Andrew] Univ Leeds, Sch Earth &amp; Environm, Leeds, W Yorkshire, England; [Hubbard, Bryn; Ashmore, David] Aberystwyth Univ, Dept Geog &amp; Earth Sci, Ctr Glaciol, Aberystwyth, Dyfed, Wales; [Sevestre, Heidi] Univ St Andrews, Dept Geog &amp; Sustainable Dev, St Andrews, Fife, Scotland; [Steffen, Konrad] Swiss Fed Res Inst WSL, Birmensdorf, Switzerland; [Gourmelen, Noel] Univ Edinburgh, Sch Geosci, Edinburgh, Midlothian, Scotland</t>
  </si>
  <si>
    <t>Utrecht University; Colorado State University; United States Department of the Interior; United States Geological Survey; National Aeronautics &amp; Space Administration (NASA); NASA Goddard Space Flight Center; Swansea University; Helmholtz Association; Alfred Wegener Institute, Helmholtz Centre for Polar &amp; Marine Research; University of Leeds; Aberystwyth University; University of St Andrews; Swiss Federal Institutes of Technology Domain; Swiss Federal Institute for Forest, Snow &amp; Landscape Research; University of Edinburgh</t>
  </si>
  <si>
    <t>Munneke, PK (corresponding author), Univ Utrecht, Inst Marine &amp; Atmospher Res, Utrecht, Netherlands.</t>
  </si>
  <si>
    <t>p.kuipersmunneke@uu.nl</t>
  </si>
  <si>
    <t>Jansen, Daniela/AAG-2773-2019; Luckman, Adrian/GVS-1716-2022; Facility, NERC Geophysical Equipment/G-5260-2010; Steffen, Konrad/C-6027-2013; Van den Broeke, Michiel R./F-7867-2011</t>
  </si>
  <si>
    <t>Van den Broeke, Michiel R./0000-0003-4662-7565; MCGRATH, DANIEL/0000-0002-9462-6842; Shepherd, Andrew/0000-0002-4914-1299; Bevan, Suzanne/0000-0003-2649-2982; Kulessa, Bernd/0000-0002-4830-4949; Luckman, Adrian/0000-0002-9618-5905; Ashmore, David/0000-0003-4829-7854; Booth, Adam/0000-0002-8166-9608; Hubbard, Bryn/0000-0002-3565-3875</t>
  </si>
  <si>
    <t>Netherlands Polar Programme, Netherlands Earth System Science Centre (NESSC); NSF OPP [0732946]; NERC/GEF [NE/L006707/1, NE/L005409/1, NE/E012914/1]; GEF [863, 890, 1028]; Directorate For Geosciences; Division Of Polar Programs [0732946] Funding Source: National Science Foundation; Natural Environment Research Council [NE/L005409/1, NE/E012914/1, NE/E013414/1, NE/L006707/1, smru10001] Funding Source: researchfish; NERC [NE/E013414/1, NE/L006707/1, NE/E012914/1, NE/L005409/1] Funding Source: UKRI</t>
  </si>
  <si>
    <t>Netherlands Polar Programme, Netherlands Earth System Science Centre (NESSC); NSF OPP(National Science Foundation (NSF)NSF - Directorate for Geosciences (GEO)); NERC/GEF; GEF; Directorate For Geosciences; Division Of Polar Programs(National Science Foundation (NSF)NSF - Directorate for Geosciences (GEO)); Natural Environment Research Council(UK Research &amp; Innovation (UKRI)Natural Environment Research Council (NERC)); NERC(UK Research &amp; Innovation (UKRI)Natural Environment Research Council (NERC))</t>
  </si>
  <si>
    <t>This work is funded by the Netherlands Polar Programme, Netherlands Earth System Science Centre (NESSC), NSF OPP research grant 0732946, NERC/GEF grants NE/L006707/1, NE/L005409/1, NE/E012914/1, GEF loans 863, 890, 1028. We thank logistical support from the British Antarctic Survey during the various field campaigns. We also acknowledge the generous contribution of faculty, staff, and students at CReSIS in collecting and processing the Ku-band data as well as NASA's Operation IceBridge team in collecting and disseminating data to the public. We acknowledge the efforts from two anonymous reviewers and the editor to improve this manuscript. Use of trade, product, or firm names is for descriptive purposes only and does not imply endorsement by the U.S. Government.</t>
  </si>
  <si>
    <t>10.5194/tc-11-2411-2017</t>
  </si>
  <si>
    <t>FL4LA</t>
  </si>
  <si>
    <t>WOS:000414199900001</t>
  </si>
  <si>
    <t>Sinh, RK; Krishnan, KP; Kerkar, S; Thresyamma, DD</t>
  </si>
  <si>
    <t>Sinh, Rupesh Kumar; Krishnan, Kottekkattu Padinchati; Kerkar, Savita; Thresyamma, Divya David</t>
  </si>
  <si>
    <t>Influence of glacial melt and Atlantic water on bacterioplankton community of Kongsfjorden, an Arctic fjord</t>
  </si>
  <si>
    <t>ECOLOGICAL INDICATORS</t>
  </si>
  <si>
    <t>Bacterioplankton; Kongsfjorden; Next generation sequencing; Spatio-temporal variation</t>
  </si>
  <si>
    <t>RIBOSOMAL-RNA GENES; SP NOV.; BACTERIAL COMMUNITIES; THERMOPHILIC BACTERIA; SOUTHERN-OCEAN; SEA-ICE; DIVERSITY; SVALBARD; PSYCHROBACTER; SPITSBERGEN</t>
  </si>
  <si>
    <t>The Kongsfjorden, an Arctic fjord is experiencing warming due to increased input of Atlantic water masses. High throughput sequencing was performed to examine bacterial diversity from the outer and inner zone of the fjord in summer and fall of 2012. A total of 11,999 operational taxonomic units (OTUs) were assigned into 19 known phyla and 5 genera incertae sedis. Significant variation (p = 0.001, n = 4) was observed between the bacterial community structure of outer and inner fjord while variation between summer and fall was minimum. Proteobacteria was the most abundant phylum (55.9-61.0%) in summer and fall. The most dominant alphaproteobacterial member of this phylum (OTU 263 Pelagibacteriaceae) contributed maximum to the observed dissimilarity between the outer and inner fjord community. Characterised by relatively fresher and warmer water, glacial meltwater input could be a major source of predominance of OTU 6968 Flavobacteriaceae, OTU 5552 Psychrobacter, OTU 7148 Sphingomonadales and OTU 5011 Loktanella in the inner fjord in summer. Thus, the significant variation in the bacterioplankton community composition of outer and inner fjord indicates strong and localized influence of glacial melt water in shaping the community structure.</t>
  </si>
  <si>
    <t>[Sinh, Rupesh Kumar; Krishnan, Kottekkattu Padinchati; Thresyamma, Divya David] Natl Ctr Antarctic &amp; Ocean Res, Head Land Sada, Vasco Da Gama 403804, Goa, India; [Kerkar, Savita] Goa Univ, Dept Biotechnol, Taliegao Plateau 403206, Goa, India</t>
  </si>
  <si>
    <t>Ministry of Earth Sciences (MoES) - India; National Centre for Polar and Ocean Research (NCPOR); Goa University</t>
  </si>
  <si>
    <t>Sinh, RK (corresponding author), Natl Ctr Antarctic &amp; Ocean Res, Head Land Sada, Vasco Da Gama 403804, Goa, India.</t>
  </si>
  <si>
    <t>kineto.magnetic@gmail.com; krishnan@ncaor.gov.in; savitakerkar@gmail.com; divya@ncaor.gov.in</t>
  </si>
  <si>
    <t>Sinha, Rupesh/ABB-8319-2020; P, Krishnan K/ABF-8783-2020</t>
  </si>
  <si>
    <t>Sinha, Rupesh Kumar/0000-0002-2080-0975</t>
  </si>
  <si>
    <t>1470-160X</t>
  </si>
  <si>
    <t>1872-7034</t>
  </si>
  <si>
    <t>ECOL INDIC</t>
  </si>
  <si>
    <t>Ecol. Indic.</t>
  </si>
  <si>
    <t>10.1016/j.ecolind.2017.06.051</t>
  </si>
  <si>
    <t>Biodiversity Conservation; Environmental Sciences</t>
  </si>
  <si>
    <t>FP3XQ</t>
  </si>
  <si>
    <t>WOS:000417551700014</t>
  </si>
  <si>
    <t>Smith, KE; Aronson, RB; Steffel, BV; Amsler, MO; Thatje, S; Singh, H; Anderson, J; Brothers, CJ; Brown, A; Ellis, DS; Havenhand, JN; James, WR; Moksnes, PO; Randolph, AW; Sayre-McCord, T; McClintock, JB</t>
  </si>
  <si>
    <t>Smith, K. E.; Aronson, R. B.; Steffel, B. V.; Amsler, M. O.; Thatje, S.; Singh, H.; Anderson, J.; Brothers, C. J.; Brown, A.; Ellis, D. S.; Havenhand, J. N.; James, W. R.; Moksnes, P. -O.; Randolph, A. W.; Sayre-McCord, T.; McClintock, J. B.</t>
  </si>
  <si>
    <t>Climate change and the threat of novel marine predators in Antarctica</t>
  </si>
  <si>
    <t>Antarctica; bathyal; benthic; climate change; Echinoidea; Lithodidae; Ophiuroidea; Paralomis; polar emergence; predation</t>
  </si>
  <si>
    <t>LITHODIDAE CRUSTACEA DECAPODA; CRAB PARALOMIS-BIRSTEINI; CONTINENTAL-SLOPE; SOUTHERN-OCEAN; KING CRABS; PENINSULA; SEA; FISHES; FUTURE; SHELF</t>
  </si>
  <si>
    <t>Historically low temperatures have severely limited skeleton-breaking predation on the Antarctic shelf, facilitating the evolution of a benthic fauna poorly defended against durophagy. Now, rapid warming of the Southern Ocean is restructuring Antarctic marine ecosystems as conditions become favorable for range expansions. Populations of the lithodid crab Paralomis birsteini currently inhabit some areas of the continental slope off Antarctica. They could potentially expand along the slope and upward to the outer continental shelf, where temperatures are no longer prohibitively low. We identified two sites inhabited by different densities of lithodids in the slope environment along the western Antarctic Peninsula. Analysis of the gut contents of P. birsteini trapped on the slope revealed them to be opportunistic invertivores. The abundances of three commonly eaten, eurybathic taxa-ophiuroids, echinoids, and gastropods-were negatively associated with P. birsteini off Marguerite Bay, where lithodid densities averaged 4280 ind/km(2) at depths of 1100-1499 m (range 3440-5010 ind/km(2)), but not off Anvers Island, where lithodid densities were lower, averaging 2060 ind/km(2) at these depths (range 660-3270 ind/km(2)). Higher abundances of lithodids appear to exert a negative effect on invertebrate distribution on the slope. Lateral or vertical range expansions of P. birsteini at sufficient densities could substantially reduce populations of their benthic prey off Antarctica, potentially exacerbating the direct impacts of rising temperatures on the distribution and diversity of the contemporary shelf benthos.</t>
  </si>
  <si>
    <t>[Smith, K. E.; Aronson, R. B.; Steffel, B. V.; Ellis, D. S.; Randolph, A. W.] Florida Inst Technol, Dept Biol Sci, 150 West Univ Blvd, Melbourne, FL 32901 USA; [Amsler, M. O.; Brothers, C. J.; James, W. R.; McClintock, J. B.] Univ Alabama Birmingham, Dept Biol, Birmingham, AL 35294 USA; [Thatje, S.; Brown, A.] Univ Southampton, Natl Oceanog Ctr Southampton, Ocean &amp; Earth Sci, European Way, Southampton SO14 3ZH, Hants, England; [Singh, H.; Sayre-McCord, T.] Woods Hole Oceanog Inst, Dept Appl Ocean Phys &amp; Engn, Woods Hole, MA 02543 USA; [Anderson, J.] Woods Hole Oceanog Inst, Dept Appl Ocean Phys &amp; Engn, Nat Imagery, Woods Hole, MA 02543 USA; [Havenhand, J. N.] Univ Gothenburg, Dept Marine Sci Tjarno, SE-45296 Stromstad, Sweden; [Moksnes, P. -O.] Univ Gothenburg, Dept Marine Sci, SE-40530 Gothenburg, Sweden; [Smith, K. E.] Univ Exeter, Coll Life &amp; Environm Sci, Exeter EX4 4QD, Devon, England; [Singh, H.] Northeastern Univ, Dept Elect &amp; Comp Engn, Boston, MA 02115 USA; [James, W. R.] Univ Louisiana Lafayette, Dept Biol, 104 East Univ Ave, Lafayette, LA 70504 USA</t>
  </si>
  <si>
    <t>Florida Institute of Technology; University of Alabama System; University of Alabama Birmingham; NERC National Oceanography Centre; University of Southampton; Woods Hole Oceanographic Institution; Woods Hole Oceanographic Institution; University of Gothenburg; University of Gothenburg; University of Exeter; Northeastern University; University of Louisiana Lafayette</t>
  </si>
  <si>
    <t>Smith, KE (corresponding author), Univ Exeter, Coll Life &amp; Environm Sci, Exeter EX4 4QD, Devon, England.</t>
  </si>
  <si>
    <t>k.e.smith@exeter.ac.uk</t>
  </si>
  <si>
    <t>Smith, kathryn/KBC-9376-2024; Havenhand, Jon N/F-5435-2013; Smith, Katie/G-5257-2014; Brown, Alastair/I-7875-2012</t>
  </si>
  <si>
    <t>James, W. Ryan/0000-0002-4829-7742; Steffel, Brittan/0000-0003-0477-8883; Aronson, Richard/0000-0003-0383-3844; Smith, Katie/0000-0002-7240-1490; Brown, Alastair/0000-0002-2126-203X</t>
  </si>
  <si>
    <t>U.S. National Science Foundation [ANT-0838466, ANT-1141877, ANT-0838844, ANT-1141896]; Swedish Research Council [824-2008-6429]; European Union's Horizon research and innovation program under the Marie Sklodowska-Curie grant [704895]; European Commission; endowed chair in polar and marine biology at University of Alabama at Birmingham; Directorate For Geosciences; Office of Polar Programs (OPP) [1141877] Funding Source: National Science Foundation; Marie Curie Actions (MSCA) [704895] Funding Source: Marie Curie Actions (MSCA)</t>
  </si>
  <si>
    <t>U.S. National Science Foundation(National Science Foundation (NSF)); Swedish Research Council(Swedish Research Council); European Union's Horizon research and innovation program under the Marie Sklodowska-Curie grant(Marie Curie Actions); European Commission(European Union (EU)European Commission Joint Research Centre); endowed chair in polar and marine biology at University of Alabama at Birmingham; Directorate For Geosciences; Office of Polar Programs (OPP)(National Science Foundation (NSF)NSF - Directorate for Geosciences (GEO)); Marie Curie Actions (MSCA)(Marie Curie Actions)</t>
  </si>
  <si>
    <t>We thank the captains and crews of the RV Nathaniel B. Palmer, the ASRV Laurence M. Gould, and the RVIB Oden, as well as J. W. Bailey, M. E. Deal, M. A. Martin, G. A. Miller, C. J. Randall, J. C. Schiferl, R. L. Turner, K. Wicks, and R. van Woesik, for logistical support, assistance, and discussion. Our research was supported by grants ANT-0838466 and ANT-1141877 to R. B. A. and ANT-0838844 and ANT-1141896 to J. B. M. from the U.S. National Science Foundation; by grant 824-2008-6429 to P.-O.M. and J.N.H. from the Swedish Research Council; and by the European Union's Horizon 2020 research and innovation program under the Marie Sklodowska-Curie grant agreement no. 704895 to K.E.S. from the European Commission. J.B.M. was supported by an endowed chair in polar and marine biology at the University of Alabama at Birmingham. This is contribution no. 195 from the Institute for Research on Global Climate Change at the Florida Institute of Technology.</t>
  </si>
  <si>
    <t>e02017</t>
  </si>
  <si>
    <t>10.1002/ecs2.2017</t>
  </si>
  <si>
    <t>WOS:000417330000029</t>
  </si>
  <si>
    <t>Han, J; Kim, HS; Kim, IC; Kim, S; Hwang, UK; Lee, JS</t>
  </si>
  <si>
    <t>Han, Jeonghoon; Kim, Hui-Su; Kim, Il-Chan; Kim, Sanghee; Hwang, Un-Ki; Lee, Jae-Seong</t>
  </si>
  <si>
    <t>Effects of water accommodated fractions (WAFs) of crude oil in two congeneric copepods Tigriopus sp.</t>
  </si>
  <si>
    <t>ECOTOXICOLOGY AND ENVIRONMENTAL SAFETY</t>
  </si>
  <si>
    <t>Water accommodated fraction; Reactive oxygen species; Copepod; Tigriopus kingsejongensis; Tigriopus japonicas; Cytochrome P450</t>
  </si>
  <si>
    <t>CELLULAR-ENERGY ALLOCATION; CYTOCHROME-P450 CYP GENES; TIME QUANTITATIVE PCR; EXXON-VALDEZ OIL; OXIDATIVE STRESS; PARACYCLOPINA-NANA; CLIMATE-CHANGE; DNA-DAMAGE; AROMATIC-HYDROCARBONS; MODULATES EXPRESSION</t>
  </si>
  <si>
    <t>Oil pollution has deleterious effects on marine ecosystems. However, the toxicity of crude oil towards Antarctic marine organisms has not been well studied. We compared the deleterious effects of water accommodated fractions (WAFs) of crude oil on reproduction, intracellular reactive oxygen species (ROS) levels, and antioxidant enzymatic activity in Antarctic (Tigriopus kingsejongensis) and temperate (Tigriopus japonicus) copepods. Reproductive rates of T. kingsejongensis and T. japonicus were significantly reduced (P &lt; 0.05) in response to WAFs. Furthermore, T. kingsejongensis showed elevated levels of ROS and higher antioxidant enzyme (glutathione peroxidase [GPx]) activity than T. japonicus in response to WAFs. CYP genes from congeneric copepods were identified and annotated to better understand molecular detoxification mechanisms. We observed significant up-regulation (P &lt; 0.05) of Tk-CYP3024A3 and Tj-CYP3024A2 in response to WAFs, suggesting that CYP genes may contribute to the detoxification mechanism in response to WAF exposure. These finding also suggest that WAFs may induce oxidative stress, leading to reproductive impairment in copepods. Furthermore, Tk-CYP3024A3 and Tj-CYP3024A2 genes can be considered as potential biomarkers of WAF toxicity in the congeneric copepods T. kingsejongensis and T. japonicus. This study will be helpful for enhancing our knowledge on the harmful effects of WAFs in Antarctic and temperate copepods and provides insight into the underlying molecular mechanisms.</t>
  </si>
  <si>
    <t>[Han, Jeonghoon; Kim, Hui-Su; Lee, Jae-Seong] Sungkyunkwan Univ, Dept Biol Sci, Coll Sci, Suwon 16419, South Korea; [Kim, Il-Chan; Kim, Sanghee] Korea Polar Res Inst, Div Life Sci, Incheon 21990, South Korea; [Hwang, Un-Ki] Natl Fisheries Res &amp; Dev Inst, Marine Ecol Risk Assessment Ctr, West Sea Fisheries Res Inst, Incheon 46083, South Korea</t>
  </si>
  <si>
    <t>Sungkyunkwan University (SKKU); Korea Polar Research Institute (KOPRI)</t>
  </si>
  <si>
    <t>Lee, JS (corresponding author), Sungkyunkwan Univ, Dept Biol Sci, Coll Sci, Suwon 16419, South Korea.</t>
  </si>
  <si>
    <t>jslee2@skku.edu</t>
  </si>
  <si>
    <t>Lee, Jae-Seong/H-6013-2015; Kim, Hui-Su/AAD-2640-2020; Han, Jeonghoon/ABI-6920-2020</t>
  </si>
  <si>
    <t>Lee, Jae-Seong/0000-0003-0944-5172;</t>
  </si>
  <si>
    <t>Korea Polar Research Institute [PE17100]; National Fisheries Research and Development Institute, Korea [R2017031]</t>
  </si>
  <si>
    <t>Korea Polar Research Institute(Korea Polar Research Institute of Marine Research Placement (KOPRI)); National Fisheries Research and Development Institute, Korea</t>
  </si>
  <si>
    <t>This work was supported by a grant from the Korea Polar Research Institute (PE17100) to Jae-Seong Lee and also was supported by a grant from the National Fisheries Research and Development Institute, Korea (R2017031).</t>
  </si>
  <si>
    <t>0147-6513</t>
  </si>
  <si>
    <t>1090-2414</t>
  </si>
  <si>
    <t>ECOTOX ENVIRON SAFE</t>
  </si>
  <si>
    <t>Ecotox. Environ. Safe.</t>
  </si>
  <si>
    <t>10.1016/j.ecoenv.2017.07.065</t>
  </si>
  <si>
    <t>FI4CK</t>
  </si>
  <si>
    <t>WOS:000411917100063</t>
  </si>
  <si>
    <t>Ríos, JM; Lana, NB; Ciocco, NF; Covaci, A; Barrera-Oro, E; Moreira, E; Altamirano, JC</t>
  </si>
  <si>
    <t>Rios, J. M.; Lana, N. B.; Ciocco, N. F.; Covaci, A.; Barrera-Oro, E.; Moreira, E.; Altamirano, J. C.</t>
  </si>
  <si>
    <t>Implications of biological factors on accumulation of persistent organic pollutants in Antarctic notothenioid fish</t>
  </si>
  <si>
    <t>Notothenioidei; South Shetlands; Biological factors; Persistent organic pollutants; Accumulation</t>
  </si>
  <si>
    <t>POLYBROMINATED DIPHENYL ETHERS; HALOGENATED NATURAL-PRODUCTS; POLYCHLORINATED-BIPHENYLS; ORGANOCHLORINE PESTICIDES; INCREASING LEVELS; FOOD-WEB; TISSUES; TROUT; PBDES; BIOACCUMULATION</t>
  </si>
  <si>
    <t>In the present study, the possible associations between selected persistent organic pollutants (POPs) and biological factors were assessed in different tissues of two Antarctic notothenioid fish: Notothenia rossii (NOR) and Trematomus newnesi (TRN) collected at Potter Cove, King George Island/Isla 25 de Mayo, South Shetland Islands. Specifically, association patterns between biological factors (body size, lipid content, body condition) and POP concentrations (polychlorinated biphenyls (PCBs), dichlorodiphenyltrichloroethane (DDT) and metabolites, polybrominated diphenyl ethers (PBDEs), and hexachlorocyclohexane (HCH), hexachlorobenzene (HCB), chlordanes (CHLs) and methoxylated polybrominated diphenyl ethers (MeO-PBDEs)), were explored by using two approaches: multivariate analyses (principal component analysis: PCA) and intraspecific correlations. Integrating results suggest that biological factors such as size, KI and tissue type seemed to be associated to selective accumulation of POPs for immature specimens of N. rossii, and KI and tissue type for mature specimens of T. newnesi. Each particular factor should be considered when choosing N. rossii or T. newnesi as sentinels for POPs pollution in Antarctic marine environments. Further, both nototheniids showed a selective accumulation pattern in their gonads of penta-chlorinated biphenyls (penta-CBs; 55.5 and 29 ng g(-1) lw for N. rossii and T. newnesi, respectively) and organochlorine pesticides such as DDTs (199 and 13.3 ng g(-1) lw, for N. rossii and T. newnesi respectively), and of polybrominated diphenyl ethers (PBDEs) in gills (97.2 and 22.1 for ng g(-1) lw, for N. rossii and T. newnesi, respectively), highlighting the importance of these tissues in monitoring studies of pollution in fish. The current study expands the knowledge concerning the biological factors to be investigated when specific pollutants are monitored and supports the importance of tissue type for the selective accumulation of POPs in Antarctic fish. Additionally, a contribution to the scarce data on concentration of MeO-PBDEs in Antarctic marine organisms, particularly in the highly diverse perciform suborder Notothenioidei is provided.</t>
  </si>
  <si>
    <t>[Rios, J. M.; Lana, N. B.; Altamirano, J. C.] Consejo Nacl Invest Cient &amp; Tecn, CCT, Inst Argentino Nivol Glaciol &amp; Ciencias Ambiental, Lab Quim Ambiental, POB 131, RA-5500 Mendoza, Argentina; [Lana, N. B.; Ciocco, N. F.; Altamirano, J. C.] Univ Nacl Cuyo, Fac Ciencias Exactas &amp; Nat, Mendoza, Argentina; [Covaci, A.] Univ Antwerp, Toxicol Ctr, Dept Pharmaceut Sci, Univ Pl 1, B-2610 Antwerp, Belgium; [Ciocco, N. F.] Consejo Nacl Invest Cient &amp; Tecn, CCT, Inst Argentino Invest Zonas Aridas IADIZA, RA-5500 Mendoza, Argentina; [Barrera-Oro, E.] Museo Argentino Ciencias Nat Bernardino Rivadavia, Buenos Aires, DF, Argentina; [Barrera-Oro, E.] Consejo Nacl Invest Cient &amp; Tecn, Buenos Aires, DF, Argentina; [Moreira, E.] IAA, Buenos Aires, DF, Argentina</t>
  </si>
  <si>
    <t>Consejo Nacional de Investigaciones Cientificas y Tecnicas (CONICET); University Nacional Cuyo Mendoza; University of Antwerp; Consejo Nacional de Investigaciones Cientificas y Tecnicas (CONICET); Museo Argentino de Ciencias Naturales Bernardino Rivadavia (MACN); Consejo Nacional de Investigaciones Cientificas y Tecnicas (CONICET)</t>
  </si>
  <si>
    <t>Altamirano, JC (corresponding author), Consejo Nacl Invest Cient &amp; Tecn, CCT, Inst Argentino Nivol Glaciol &amp; Ciencias Ambiental, Lab Quim Ambiental, POB 131, RA-5500 Mendoza, Argentina.</t>
  </si>
  <si>
    <t>jmriosrama@gmail.com; blana@mendoza-conicet.gob.ar; nciocco@mendoza-conicet.gob.ar; adrian.covaci@ua.ac.be; ebarreraoro@dna.gov.ar; eugeniamoreira@yahoo.com.ar; jaltamirano@mendoza-conicet.gob.ar</t>
  </si>
  <si>
    <t>Covaci, Adrian/A-9058-2008; Altamirano, Jorgelina Cecilia/IUO-1523-2023</t>
  </si>
  <si>
    <t>Covaci, Adrian/0000-0003-0527-1136; Lana, Belen/0000-0002-4114-4495; Altamirano, Jorgelina/0000-0002-4022-3810; MOREIRA, EUGENIA/0000-0002-3704-1696</t>
  </si>
  <si>
    <t>Consejo Nacional de Investigaciones Cientifica y Tecnicas (CONICET); Agencia Nacional de Promotion Cientifica y Tecnologica (ANPCyT) [PICT: 2012-2429, PICTO: 0100-2010]; Universidad Nacional de Cuyo [06/M086]; Instituto Antartico Argentino, University of Antwerp; Organization for the Prohibition of Chemical Weapons (OPCW); Erasmus Mundus</t>
  </si>
  <si>
    <t>Consejo Nacional de Investigaciones Cientifica y Tecnicas (CONICET)(Consejo Nacional de Investigaciones Cientificas y Tecnicas (CONICET)); Agencia Nacional de Promotion Cientifica y Tecnologica (ANPCyT)(ANPCyT); Universidad Nacional de Cuyo; Instituto Antartico Argentino, University of Antwerp; Organization for the Prohibition of Chemical Weapons (OPCW); Erasmus Mundus</t>
  </si>
  <si>
    <t>This research was carried out under an agreement between the Instituto Antartico Argentine and the Institute Argentino de Nivologia, Glaciologia y Ciencias Ambientales (IANIGLA). Field and laboratory work was supported by Consejo Nacional de Investigaciones Cientifica y Tecnicas (CONICET), Agencia Nacional de Promotion Cientifica y Tecnologica (ANPCyT PICT: 2012-2429, PICTO: 0100-2010), Universidad Nacional de Cuyo (06/M086), Instituto Antartico Argentino, University of Antwerp, and Organization for the Prohibition of Chemical Weapons (OPCW). Our special thanks to C. Bellisio, L. Vila and O. Gonzalez, for the collection of the fish samples. We are grateful to University of Antwerp for the work developed in those laboratories. J. Altamirano and B. Lana acknowledge the provision of Erasmus Mundus fellowships for their scientific visits to the Toxicological Center, University of Antwerp, Belgium.</t>
  </si>
  <si>
    <t>10.1016/j.ecoenv.2017.08.009</t>
  </si>
  <si>
    <t>WOS:000411917100078</t>
  </si>
  <si>
    <t>Salazar, JF</t>
  </si>
  <si>
    <t>Salazar, Juan Francisco</t>
  </si>
  <si>
    <t>Microbial Geographies at the Extremes of Life</t>
  </si>
  <si>
    <t>worldings; proxies; extremophiles; bioprospecting; ethnography; Antarctic Peninsula</t>
  </si>
  <si>
    <t>ANTARCTICA; SEARCH; CHEESE; ANALOG; SPACE</t>
  </si>
  <si>
    <t>This article explores world-making processes through which extreme frontiers of life are made habitable. Examining how notions of life are enlarged, incorporated, and appropriated in complex geopolitical contexts, the article argues that microbial worlds are becoming part of worlding processes and projects that further these frontiers. The emphasis on microbial ontologies is designed to draw attention to the increasing expediency of conceptualizing extreme earthly ecologies as analogues for other planetary worlds, as a way of tracing the relational trajectories of Antarctica and outer space, and to reflect on emerging modes of an extraterrestrial mode of thinking Earth. This article is informed by short-term ethnographic fieldwork in the Antarctic Peninsula with Chilean microbiologists engaged in the bioprospecting of extremophiles, to account for how extremophile organisms are made part of a market-driven search for bioactive components in areas highly sensitive to geopolitics at the same time as they become meaningful as proxies for extraterrestrial life. The article combines analysis, description, and fieldworkmaterial, tracing the relational trajectories of Antarctica and outer space in very general terms and then discussing the intricacies of bioprospecting in Antarctica, where the question of who owns the microbial diversity existing outside of national territories remains ambiguous and contested.</t>
  </si>
  <si>
    <t>[Salazar, Juan Francisco] Western Sydney Univ, Sch Humanities &amp; Commun Arts, Sydney, NSW, Australia; [Salazar, Juan Francisco] Western Sydney Univ, Inst Culture &amp; Soc, Sydney, NSW, Australia</t>
  </si>
  <si>
    <t>Western Sydney University; Western Sydney University</t>
  </si>
  <si>
    <t>Salazar, JF (corresponding author), Western Sydney Univ, Sch Humanities &amp; Commun Arts, Sydney, NSW, Australia.;Salazar, JF (corresponding author), Western Sydney Univ, Inst Culture &amp; Soc, Sydney, NSW, Australia.</t>
  </si>
  <si>
    <t>10.1215/22011919-4215361</t>
  </si>
  <si>
    <t>WOS:000422749800012</t>
  </si>
  <si>
    <t>Fagliarone, C; Mosca, C; Ubaldi, I; Verseux, C; Baqué, M; Wilmotte, A; Billi, D</t>
  </si>
  <si>
    <t>Fagliarone, Claudia; Mosca, Claudia; Ubaldi, Ilaria; Verseux, Cyprien; Baque, Mickael; Wilmotte, Annick; Billi, Daniela</t>
  </si>
  <si>
    <t>Avoidance of protein oxidation correlates with the desiccation and radiation resistance of hot and cold desert strains of the cyanobacterium Chroococcidiopsis</t>
  </si>
  <si>
    <t>Cyanobacteria; Desiccation; Radiation; Anhydrobiosis; Oxidative stress; DNA damage</t>
  </si>
  <si>
    <t>DEINOCOCCUS-RADIODURANS; PROLONGED DESICCATION; IONIZING-RADIATION; HIGH-THROUGHPUT; RADIORESISTANCE; IDENTIFICATION; EVOLUTIONARY; SEQUENCES; SHIFTS; CANNOT</t>
  </si>
  <si>
    <t>To investigate the relationship between desiccation and the extent of protein oxidation in desert strains of Chroococcidiopsis a selection of 10 isolates from hot and cold deserts and the terrestrial cyanobacterium Chroococcidiopsis thermalis sp. PCC 7203 were exposed to desiccation (air-drying) and analyzed for survival. Strain CCMEE 029 from the Negev desert and the aquatic cyanobacterium Synechocystis sp. PCC 6803 were further investigated for protein oxidation after desiccation (drying over silica gel), treatment with H2O2 up to 1 M and exposure to gamma-rays up to 25 kGy. Then a selection of desert strains of Chroococcidiopsis with different survival rates after prolonged desiccation, as well as Synechocystis sp. PCC 6803 and Chroococcidiopsis thermalis sp. PCC 7203, were analyzed for protein oxidation after treatment with 10 and 100 mM of H2O2. Results suggest that in the investigated strains a tight correlation occurs between desiccation and radiation tolerance and avoidance of protein oxidation.</t>
  </si>
  <si>
    <t>[Fagliarone, Claudia; Mosca, Claudia; Ubaldi, Ilaria; Verseux, Cyprien; Billi, Daniela] Univ Roma Tor Vergata, Dept Biol, Rome, Italy; [Baque, Mickael] German Aerosp Ctr, Inst Planetary Res Management &amp; Infrastruct, Astrobiol Labs, Berlin, Germany; [Wilmotte, Annick] Univ Liege, InBioS Ctr Prot Engn, Liege, Belgium</t>
  </si>
  <si>
    <t>University of Rome Tor Vergata; Helmholtz Association; German Aerospace Centre (DLR); University of Liege</t>
  </si>
  <si>
    <t>Billi, D (corresponding author), Univ Roma Tor Vergata, Dept Biol, Rome, Italy.</t>
  </si>
  <si>
    <t>billi@uniroma2.it</t>
  </si>
  <si>
    <t>Wilmotte, Annick/H-1686-2011; Baqué, Mickael/AAC-8933-2019; Billi, Daniela/AAT-6690-2021; Verseux, Cyprien/HPM-2496-2023</t>
  </si>
  <si>
    <t>Baqué, Mickael/0000-0002-6696-6030; Verseux, Cyprien/0000-0001-7288-8289; Fagliarone, Claudia/0000-0001-9530-1591; Mosca, Claudia/0000-0002-8348-2070; Wilmotte, Annick/0000-0003-3546-3489; BILLI, DANIELA/0000-0002-9363-2415</t>
  </si>
  <si>
    <t>Italian Space Agency [ASI 2013-053-R.0, ASI 2013-051-R.0]; National Antarctic Research Program [PNRA16/00101, PNRA2013/AZ1.17]</t>
  </si>
  <si>
    <t>Italian Space Agency(Agenzia Spaziale Italiana (ASI)); National Antarctic Research Program</t>
  </si>
  <si>
    <t>This work was supported by the Italian Space Agency (ASI 2013-053-R.0; ASI 2013-051-R.0) and by the National Antarctic Research Program (PNRA16/00101; PNRA2013/AZ1.17).</t>
  </si>
  <si>
    <t>10.1007/s00792-017-0957-8</t>
  </si>
  <si>
    <t>WOS:000414671300003</t>
  </si>
  <si>
    <t>Gonçalves, VN; Vitoreli, GA; de Menezes, GCA; Mendes, CRB; Secchi, ER; Rosa, CA; Rosa, LH</t>
  </si>
  <si>
    <t>Goncalves, Vivian N.; Vitoreli, Gislaine A.; de Menezes, Graciele C. A.; Mendes, Carlos R. B.; Secchi, Eduardo R.; Rosa, Carlos A.; Rosa, Luiz H.</t>
  </si>
  <si>
    <t>Taxonomy, phylogeny and ecology of cultivable fungi present in seawater gradients across the Northern Antarctica Peninsula</t>
  </si>
  <si>
    <t>Antarctic Peninsula; Fungi; Extremophile; Seawater; Taxonomy</t>
  </si>
  <si>
    <t>LIGNICOLOUS MARINE FUNGI; SIMPLICILLIUM-LANOSONIVEUM; SP-NOV.; DIVERSITY; MACROALGAE; YEASTS; PURPUREOCILLIUM; COMMUNITIES; BIOPROSPECTION; ENVIRONMENTS</t>
  </si>
  <si>
    <t>Thirty-six seawater samples collected at different depths of the Gerlache and Bransfield Straits in the Northern Antarctic Peninsula were analyzed, and the average of the total fungal counts ranged from 0.3 to &gt; 300 colony forming units per liter (CFU/L) in density. The fungal were purified and identified as 15 taxa belonged to the genera Acremonium, Aspergillus, Cladosporium, Cystobasidium, Exophiala, Glaciozyma, Graphium, Lecanicillium, Metschnikowia, Penicillium, Purpureocillium and Simplicillium. Penicillium chrysogenum, Cladosporium sphaerospermum, and Graphium rubrum were found at high densities in at least two different sites and depths. Our results show at the first time that in the seawater of Antarctic Ocean occur diverse fungal assemblages despite extreme conditions, which suggests the presence of a complex aquatic fungi food web, including species reported as barophiles, symbionts, weak and strong saprobes, parasites and pathogens, as well as those found in the polluted environments of the world. Additionally, some taxa were found in different sites, suggesting that the underwater current might contribute to fungal (and microbial) dispersal across the Antarctic Ocean, and nearby areas such as South America and Australia.</t>
  </si>
  <si>
    <t>[Goncalves, Vivian N.; Vitoreli, Gislaine A.; de Menezes, Graciele C. A.; Rosa, Carlos A.; Rosa, Luiz H.] Fed Univ Minas Gerais UFMG, Dept Microbiol, BR-31270901 Belo Horizonte, MG, Brazil; [Mendes, Carlos R. B.; Secchi, Eduardo R.; Rosa, Carlos A.] Fed Univ Rio Grande, Inst Oceanog, Rio Grande, RS, Brazil</t>
  </si>
  <si>
    <t>Universidade Federal de Minas Gerais; Universidade Federal do Rio Grande</t>
  </si>
  <si>
    <t>Rosa, LH (corresponding author), Fed Univ Minas Gerais UFMG, Dept Microbiol, BR-31270901 Belo Horizonte, MG, Brazil.</t>
  </si>
  <si>
    <t>Mendes, Carlos/GVU-7596-2022; Mendes, Carlos/I-1520-2012; Secchi, Eduardo R./ABF-1191-2020; Mendes, Carlos/AAD-6504-2021</t>
  </si>
  <si>
    <t>Mendes, Carlos/0000-0001-6875-8860; Mendes, Carlos/0000-0001-6875-8860; Secchi, Eduardo R./0000-0001-9087-9909; Cunha Alves de Menezes, Graciele/0000-0002-9427-1893</t>
  </si>
  <si>
    <t>CNPq; PROANTAR [407230/2013-0]; INCT Criosfera; FAPEMIG [0050-13]; CAPES [23038.003478/2013-92]; PRPq/UFMG</t>
  </si>
  <si>
    <t>CNPq(Conselho Nacional de Desenvolvimento Cientifico e Tecnologico (CNPQ)); PROANTAR; INCT Criosfera; FAPEMIG(Fundacao de Amparo a Pesquisa do Estado de Minas Gerais (FAPEMIG)); CAPES(Coordenacao de Aperfeicoamento de Pessoal de Nivel Superior (CAPES)); PRPq/UFMG</t>
  </si>
  <si>
    <t>We acknowledge the financial support from CNPq, PROANTAR 407230/2013-0, INCT Criosfera, FAPEMIG (0050-13), CAPES (23038.003478/2013-92) and PRPq/UFMG.</t>
  </si>
  <si>
    <t>10.1007/s00792-017-0959-6</t>
  </si>
  <si>
    <t>WOS:000414671300005</t>
  </si>
  <si>
    <t>Selbmann, L; Onofri, S; Coleine, C; Buzzini, P; Canini, F; Zucconi, L</t>
  </si>
  <si>
    <t>Selbmann, Laura; Onofri, Silvano; Coleine, Claudia; Buzzini, Pietro; Canini, Fabiana; Zucconi, Laura</t>
  </si>
  <si>
    <t>Effect of environmental parameters on biodiversity of the fungal component in lithic Antarctic communities</t>
  </si>
  <si>
    <t>Antarctic; Climate change; DGGE; Endolithic communities; Fungi</t>
  </si>
  <si>
    <t>MCMURDO DRY VALLEYS; BLACK FUNGI; PHYLOGENETIC CLASSIFICATION; MICROBIAL DIVERSITY; VICTORIA LAND; YEASTS; SURVIVAL; ALGAE</t>
  </si>
  <si>
    <t>A wide sampling of rocks, colonized by microbial epi-endolithic communities, was performed along an altitudinal gradient from sea level to 3600 m asl and sea distance from the coast to 100 km inland along the Victoria Land Coast, Antarctica. Seventy-two rock samples of different typology, representative of the entire survey, were selected and studied using denaturing gradient gel electrophoresis to compare variation in fungal diversity according to environmental conditions along this altitudinal and sea distance transect. Lichenized fungi were largely predominant in all the samples studied and the biodiversity was heavily influenced even by minimal local variations. The n-MDS analysis showed that altitude and sea distance affect fungal biodiversity, while sandstone allows the communities to maintain high biodiversity indices. The Pareto-Lorenz curves indicate that all the communities analyzed are highly adapted to extreme conditions but scarcely resilient, so any external perturbation may have irreversible effects on these fragile ecosystems.</t>
  </si>
  <si>
    <t>[Selbmann, Laura; Onofri, Silvano; Coleine, Claudia; Canini, Fabiana; Zucconi, Laura] Univ Tuscia, Dept Ecol &amp; Biol Sci DEB, Viterbo, Italy; [Buzzini, Pietro] Univ Perugia, Dept Agr Food &amp; Environm Sci, Ind Yeasts Collect DBVPG, Perugia, Italy</t>
  </si>
  <si>
    <t>Tuscia University; University of Perugia</t>
  </si>
  <si>
    <t>Selbmann, L (corresponding author), Univ Tuscia, Dept Ecol &amp; Biol Sci DEB, Viterbo, Italy.</t>
  </si>
  <si>
    <t>selbmann@unitus.it</t>
  </si>
  <si>
    <t>Selbmann, Laura/L-3056-2013; Canini, Fabiana/ABE-4243-2020; Zucconi, L./U-9781-2018; Coleine, Claudia/AAE-1889-2020</t>
  </si>
  <si>
    <t>Selbmann, Laura/0000-0002-8967-3329; Canini, Fabiana/0000-0002-9626-6318; Zucconi, L./0000-0001-9793-2303; Coleine, Claudia/0000-0002-9289-6179; ONOFRI, Silvano/0000-0001-8872-1440; Buzzini, Pietro/0000-0001-6793-0606</t>
  </si>
  <si>
    <t>Italian National Programme of Antarctic Researches (PNRA) [2013/AZ1.17, PNRA2014_00132, PNRA16_00006]; Italian National Museum of Antarctica (MNA)</t>
  </si>
  <si>
    <t>Italian National Programme of Antarctic Researches (PNRA); Italian National Museum of Antarctica (MNA)</t>
  </si>
  <si>
    <t>The authors thank the Italian National Programme of Antarctic Researches (PNRA) (projects 2013/AZ1.17; PNRA2014_00132; PNRA16_00006) for the financial support to the project. The Italian National Museum of Antarctica (MNA) is acknowledged for financial support to the Mycological section on the MNA, preserving rock Antarctic samples used in this study. Dr. Prof. Steven Emslie (University of North Carolina Wilmington) is kindly acknowledged for the accurate English revision of the text.</t>
  </si>
  <si>
    <t>10.1007/s00792-017-0967-6</t>
  </si>
  <si>
    <t>WOS:000414671300011</t>
  </si>
  <si>
    <t>Cashion, T; Tyedmers, P; Parker, RWR</t>
  </si>
  <si>
    <t>Cashion, Tim; Tyedmers, Peter; Parker, Robert W. R.</t>
  </si>
  <si>
    <t>Global reduction fisheries and their products in the context of sustainable limits</t>
  </si>
  <si>
    <t>carbon footprint; fishmeal and oil; marine footprint; reduction fisheries; sustainability; sustainable boundaries</t>
  </si>
  <si>
    <t>LIFE-CYCLE ASSESSMENT; FORAGE FISH; ENVIRONMENTAL IMPACTS; AQUACULTURE; SALMON; VARIABILITY; FOOTPRINT; BOUNDARY</t>
  </si>
  <si>
    <t>Globally, one-sixth of landings from marine capture fisheries are destined for the production of fishmeal and fish oil (FMFO), which are currently overwhelming utilized by fed aquaculture. Many different species are used globally for the production of FMFO, but little concern has been given to the divergent environmental and ecological impacts of FMFO products based on species, ecosystem and fishing gear used in their capture. We evaluated the variable environmental performance of FMFO products from a wide range of fisheries whose products are either primarily intended for reduction or whose by-products are redirected to reduction. Assessed fisheries accounted for 44% of global reduction fishery landings in 2014. Analysis was conducted on the basis of two measures: the carbon footprint (i.e., greenhouse gas [GHG] emissions) and the marine footprint (i.e., primary production required [PPR]). We found large differences between the impacts of FMFO products across the 18 reduction fisheries examined. Cumulatively, we estimate that reduction fisheries emitted 4.6 million tonnes of CO2-e GHGs in 2014, and appropriated over 4% of primary production in some ecosystems, demonstrating a non-trivial impact. As demand for aquafeeds grow, the sustainable sourcing of raw material inputs will be of great importance. Results here suggest that the source of FMFO inputs can have dramatic effects on the environmental performance of fish feeds and fed aquaculture. We recommend further research on the environmental and ecological impacts of food production systems, and specifically to understand these results in relation to global production and sustainable boundaries.</t>
  </si>
  <si>
    <t>[Cashion, Tim; Tyedmers, Peter] Dalhousie Univ, Sch Resource &amp; Environm Studies, Halifax, NS, Canada; [Parker, Robert W. R.] Univ Tasmania, Inst Marine &amp; Antarctic Studies, Hobart, Tas, Australia; [Parker, Robert W. R.] Univ British Columbia, Inst Oceans &amp; Fisheries, Vancouver, BC, Canada</t>
  </si>
  <si>
    <t>Dalhousie University; University of Tasmania; University of British Columbia</t>
  </si>
  <si>
    <t>Cashion, T (corresponding author), Univ British Columbia, Inst Oceans &amp; Fisheries, Sea Us, Vancouver, BC, Canada.</t>
  </si>
  <si>
    <t>tim.cashion@dal.ca</t>
  </si>
  <si>
    <t>Tyedmers, Peter/N-1334-2019; Parker, Robert/J-4476-2012</t>
  </si>
  <si>
    <t>Tyedmers, Peter/0000-0002-5150-0756; Parker, Robert/0000-0003-1910-8081; Cashion, Tim/0000-0002-2945-5397</t>
  </si>
  <si>
    <t>Social Science and Humanities Research Council of Canada</t>
  </si>
  <si>
    <t>Social Science and Humanities Research Council of Canada(Social Sciences and Humanities Research Council of Canada (SSHRC))</t>
  </si>
  <si>
    <t>10.1111/faf.12222</t>
  </si>
  <si>
    <t>FL1GK</t>
  </si>
  <si>
    <t>WOS:000413962500002</t>
  </si>
  <si>
    <t>Castillom, P; Fanning, CM; Fernandez, R; Poblete, F; Hervé, F</t>
  </si>
  <si>
    <t>Castillom, Paula; Fanning, C. Mark; Fernandez, Rodrigo; Poblete, Fernando; Herve, Francisco</t>
  </si>
  <si>
    <t>Provenance and age constraints of Paleozoic siliciclastic rocks from the Ellsworth Mountains in West Antarctica, as determined by detrital zircon geochronology</t>
  </si>
  <si>
    <t>GEOLOGICAL SOCIETY OF AMERICA BULLETIN</t>
  </si>
  <si>
    <t>DRONNING MAUD LAND; ECLOGITE-FACIES METAMORPHISM; U-PB; EAST ANTARCTICA; TRANSANTARCTIC MOUNTAINS; KAROO BASIN; SHACKLETON RANGE; PACIFIC MARGIN; SALDANIA BELT; BASEMENT PROVINCES</t>
  </si>
  <si>
    <t>New sensitive high-resolution ion microprobe (SHRIMP) U-Pb detrital zircon ages from Cambrian to Permian-Carboniferous siliciclastic units in the Ellsworth Mountains constrain their provenance and maximum depositional age, as well as providing key information as to the tectonic evolution of a problematic region. The Cambrian Heritage Group was deposited in an active continental rift setting and has main zircon components of late Mesoproterozoic-early Neoproterozoic age (ca. 1300-900 Ma) with little to no contributions from older cratons. Two meta-volcaniclastic samples of the Union Glacier Formation (lower Heritage Group) have U-Pb zircon ages of ca. 675 Ma, indicating proximal Cryogenian volcanism and thereby raising questions as to the depositional age of this unit. Igneous and metamorphic zircons of late Neoproterozoic-early Cambrian age (650-530 Ma) are a secondary component present in the upper part of this group. The passive-margin sediments of the overlying Upper Cambrian-Devonian Crashsite Group record an up-sequence increase in late Neoproterozoic-Cambrian detrital zircons (ca. 650-480 Ma). The youngest detrital zircons were dated at ca. 480 Ma with major peaks at ca. 530 Ma and 500 Ma. Similar patterns are recorded in the Permian-Carboniferous Whiteout Conglomerate, with main components at ca. 650-500 Ma, and an absence of detrital zircons younger than Cambrian. The results, combined with stratigraphic constraints, suggest that sediments of the lower Heritage Group were derived from the paleo-Pacific margin of the Australian-Antarctic plate. Cryogenian igneous zircon ages from the Union Glacier Formation indicate proximal rift-related magmatism, previously only recognized in the Transantarctic Mountains, and they are interpreted to relate to the breakup of Rodinia. Sediments from the upper Heritage Group were derived from proximal sources, likely in Coats Land and Dronning Maud Land, with possible extensions into the Shackleton Range. This area was probably uplifted during the final amalgamation of Gondwana, which restricted the supply of sediment from older cratons. Sediments from the Crashsite Group allow for a more expansive source region, which could have been located in Dronning Maud Land, the Shackleton Range, the Transantarctic Mountains, and/or southern Africa. Sediments of the Whiteout Conglomerate, together with comparisons with other coeval glaciogenic strata, indicate that deposition during the Permian-Carboniferous was similar to that in the Transantarctic Mountains. Our data support that the Ells-worth-Whitmore Mountains crustal block was once part of the Australian-Antarctic plate rather than the southern African sector.</t>
  </si>
  <si>
    <t>[Castillom, Paula; Fanning, C. Mark] Australian Natl Univ, Res Sch Earth Sci, Mills Rd, Canberra, ACT 0200, Australia; [Fernandez, Rodrigo] Univ Texas Austin, Inst Geophys, Jackson Sch Geosci, 10100 Burnet Rd, Austin, TX 78758 USA; [Poblete, Fernando; Herve, Francisco] Univ Chile, Dept Geol, Plaza Ercilla 803, Santiago, Chile; [Poblete, Fernando] Univ Rennes 1, Geosci Rennes, F-35042 Rennes, France; [Poblete, Fernando] Univ OHiggins, Inst Ciencias Ingn, Gamero 357, Rancagua, Chile; [Herve, Francisco] Univ Nacl Andres Bello, Carrera Geol, Sazie 2119, Santiago, Chile</t>
  </si>
  <si>
    <t>Australian National University; University of Texas System; University of Texas Austin; Universidad de Chile; Universite de Rennes; Universidad de O'Higgins; Universidad Andres Bello</t>
  </si>
  <si>
    <t>Castillom, P (corresponding author), Australian Natl Univ, Res Sch Earth Sci, Mills Rd, Canberra, ACT 0200, Australia.</t>
  </si>
  <si>
    <t>paula.castillo@anu.edu.au</t>
  </si>
  <si>
    <t>Fernandez, Rodrigo/ABC-8361-2020; Herve, Francisco/HDO-6628-2022; Fernandez, Rodrigo/GRF-1350-2022; Fanning, C. Mark/I-6449-2016</t>
  </si>
  <si>
    <t>Poblete, Fernando/0000-0002-2140-5483; Fernandez, Rodrigo/0000-0003-4226-6010</t>
  </si>
  <si>
    <t>Anillo Antartico [ACT-105]; Instituto Antartico Chileno (INACH); Antarctic Logistics &amp; Expeditions (ALE); VERTICAL SA, Chile</t>
  </si>
  <si>
    <t>Anillo Antartico(Comision Nacional de Investigacion Cientifica y Tecnologica (CONICYT)CONICYT PIA/ANILLOS); Instituto Antartico Chileno (INACH); Antarctic Logistics &amp; Expeditions (ALE); VERTICAL SA, Chile</t>
  </si>
  <si>
    <t>This work was supported by the Anillo Antartico ACT-105 and Instituto Antartico Chileno (INACH) 161 projects. We greatly appreciate the help of our skilled mountaineer Bernabe Lopez and the Twin Otters crew of the Grupo 6, Chilean Air Force. Field work campaigns to the Ellsworth Mountains were made thanks to INACH, with support from Antarctic Logistics &amp; Expeditions (ALE). Sample EAM1001B, notes, and photos were provided by the Chilean Antarctic Expedition 2002-2003, supported by VERTICAL SA, Chile. We also thank Juan Pablo Lacassie, Mauricio Duran, and Cristian Vasquez for their field assistance; Mauricio Calderon for sample descriptions; Shane Paxon for sample preparation; Thomas Haber, David Elliot, and John Goodge for discussion; and Matthew Callaghan for checking the English grammar. We thank Editor Aaron J. Cavosie, Associate Editor Peter Cawood, and Joachim Jacobs and Ian Fitzsimons for constructive and useful reviews.</t>
  </si>
  <si>
    <t>0016-7606</t>
  </si>
  <si>
    <t>1943-2674</t>
  </si>
  <si>
    <t>GEOL SOC AM BULL</t>
  </si>
  <si>
    <t>Geol. Soc. Am. Bull.</t>
  </si>
  <si>
    <t>10.1130/B31686.1</t>
  </si>
  <si>
    <t>FL6OP</t>
  </si>
  <si>
    <t>WOS:000414365400011</t>
  </si>
  <si>
    <t>Lebed, OM; Fedorenko, YV; Blagoveshchenskaya, NF; Larchenko, AV; Grigor'ev, VF; Pil'gaev, SV</t>
  </si>
  <si>
    <t>Lebed, O. M.; Fedorenko, Yu. V.; Blagoveshchenskaya, N. F.; Larchenko, A. V.; Grigor'ev, V. F.; Pil'gaev, S. V.</t>
  </si>
  <si>
    <t>Ground-based observations and simulation of ionospheric VLF source in experiments on modification of the polar ionosphere</t>
  </si>
  <si>
    <t>PROPAGATION</t>
  </si>
  <si>
    <t>The phase velocities of TE and TEM waves at frequencies of 1017 and 3017 Hz, as well as the effect of precipitations during auroras on the velocities, are estimated in the Earth-ionosphere waveguide on the basis of observations of electromagnetic fields of an ionospheric source in experiments on modification of the lower ionosphere by a modulated high-power short-wave signals performed by the Arctic and Antarctic Research Institute (AARI) at the EISCAT/Heating test bench in October 2016. Probable electron density profiles in the plane-stratified ionosphere are retrieved from the numerical solution of a wave equation, which are used for the calculation of the phase velocities close to measured ones.</t>
  </si>
  <si>
    <t>[Lebed, O. M.; Fedorenko, Yu. V.; Larchenko, A. V.; Grigor'ev, V. F.; Pil'gaev, S. V.] Polar Geophys Inst, Apatity 184209, Russia; [Blagoveshchenskaya, N. F.] Arctic &amp; Antarctic Res Inst, St Petersburg 199397, Russia</t>
  </si>
  <si>
    <t>Russian Academy of Sciences; Polar Geophysical Institute; Arctic &amp; Antarctic Research Institute</t>
  </si>
  <si>
    <t>Lebed, OM (corresponding author), Polar Geophys Inst, Apatity 184209, Russia.</t>
  </si>
  <si>
    <t>olgamihsh@yandex.ru</t>
  </si>
  <si>
    <t>Lebed, Olga/A-5943-2017; Fedorenko, Yury V/A-8571-2017; Larchenko, Alexey/A-5916-2017; Pilgaev, Sergey/A-5784-2017</t>
  </si>
  <si>
    <t>Lebed, Olga/0000-0002-5155-6055; Fedorenko, Yury V/0000-0002-9957-0921; Pilgaev, Sergey/0000-0001-5774-2468</t>
  </si>
  <si>
    <t>Russian Foundation for Basic Research [16-35-00293]</t>
  </si>
  <si>
    <t>The work was supported by the Russian Foundation for Basic Research (research project no. 16-35-00293).</t>
  </si>
  <si>
    <t>10.1134/S0016793217060068</t>
  </si>
  <si>
    <t>FU7GH</t>
  </si>
  <si>
    <t>WOS:000424019800008</t>
  </si>
  <si>
    <t>Oriolo, S; Oyhantçabal, P; Wemmer, K; Siegesmund, S</t>
  </si>
  <si>
    <t>Oriolo, Sebastian; Oyhantcabal, Pedro; Wemmer, Klaus; Siegesmund, Siegfried</t>
  </si>
  <si>
    <t>Contemporaneous assembly of Western Gondwana and final Rodinia break-up: Implications for the supercontinent cycle</t>
  </si>
  <si>
    <t>Brasilianoe-Pan-African Orogeny; Neoproterozoic; Collisional tectonics; Pannotia; Metacratonization; Introversion-extroversion</t>
  </si>
  <si>
    <t>DOM-FELICIANO BELT; LA-PLATA CRATON; PROVINCE NE-BRAZIL; HF ISOTOPE GEOCHEMISTRY; SOUTH EASTERN DESERT; NICO PEREZ TERRANE; PAN-AFRICAN; LU-HF; ANTI-ATLAS; GEOCHRONOLOGICAL CONSTRAINTS</t>
  </si>
  <si>
    <t>Geological, geochronological and isotopic data are integrated in order to present a revised model for the Neoproterozoic evolution of Western Gondwana. Although the classical geodynamic scenario assumed for the period 800-700 Ma is related to Rodinia break-up and the consequent opening of major oceanic basins, a significantly different tectonic evolution can be inferred for most Western Gondwana cratons. These cratons occupied a marginal position in the southern hemisphere with respect to Rodinia and recorded subduction with back-arc extension, island arc development and limited formation of oceanic crust in internal oceans. This period was thus characterized by increased crustal growth in Western Gondwana, resulting from addition of juvenile continental crust along convergent margins. In contrast, crustal reworking and metacratonization were dominant during the subsequent assembly of Gondwana. The Rio de la Plata, Congo-Sao Francisco, West African and Amazonian cratons collided at ca. 630-600 Ma along the West Gondwana Orogen. These events overlap in time with the onset of the opening of the Iapetus Ocean at ca. 610-600 Ma, which gave rise to the separation of Baltica, Laurentia and Amazonia and resulted from the final Rodinia break-up. The East African/Antarctic Orogen recorded the subsequent amalgamation of Western and Eastern Gondwana after ca. 580 Ma, contemporaneously with the beginning of subduction in the Terra Australis Orogen along the southern Gondwana margin. However, the Kalahari Craton was lately incorporated during the Late Ediacaran-Early Cambrian. The proposed Gondwana evolution rules out the existence of Pannotia, as the final Gondwana amalgamation postdates latest connections between Laurentia and Amazonia. Additionally, a combination of introversion and extroversion is proposed for the assembly of Gondwana. The contemporaneous record of final Rodinia break-up and Gondwana assembly has major implications for the supercontinent cycle, as supercontinent amalgamation and break-up do not necessarily represent alternating episodic processes but overlap in time. (C) 2017, China University of Geosciences (Beijing) and Peking University. Production and hosting by Elsevier B.V.</t>
  </si>
  <si>
    <t>[Oriolo, Sebastian; Wemmer, Klaus; Siegesmund, Siegfried] Georg August Univ Gottingen, Geosci Ctr, Goldschmidtstr 3, D-37077 Gottingen, Germany; [Oyhantcabal, Pedro] Univ Republica, Fac Ciencias, Dept Geol, Montevideo, Uruguay</t>
  </si>
  <si>
    <t>University of Gottingen; Universidad de la Republica, Uruguay</t>
  </si>
  <si>
    <t>Oriolo, S (corresponding author), Georg August Univ Gottingen, Geosci Ctr, Goldschmidtstr 3, D-37077 Gottingen, Germany.</t>
  </si>
  <si>
    <t>seba.oriolo@gmail.com</t>
  </si>
  <si>
    <t>Oyhantcabal, Pedro/0000-0001-5145-9709; Oriolo, Sebastian/0000-0002-2495-2431</t>
  </si>
  <si>
    <t>DAAD [A/12/75051]</t>
  </si>
  <si>
    <t>DAAD(Deutscher Akademischer Austausch Dienst (DAAD))</t>
  </si>
  <si>
    <t>S. Oriolo thanks DAAD for a long-term PhD scholarship (A/12/75051). Craig Robertson is greatly acknowledged for discussions and literature exchange regarding the origin of the term Gondwana. The authors also want to thank M. Santosh and R. D. Nance for their suggestions and editorial work as well as J.-P. Liegeois, R. Strachan and two anonymous reviewers for their invaluable comments.</t>
  </si>
  <si>
    <t>10.1016/j.gsf.2017.01.009</t>
  </si>
  <si>
    <t>WOS:000413237600017</t>
  </si>
  <si>
    <t>Melbourne-Thomas, J; Constable, AJ; Fulton, EA; Corney, SP; Trebilco, R; Hobday, AJ; Blanchard, JL; Boschetti, F; Bustamante, RH; Cropp, R; Everett, JD; Fleming, A; Galton-Fenzi, B; Goldsworthy, SD; Lenton, A; Lara-Lopez, A; Little, R; Marzloff, MP; Matear, R; Mongin, M; Plagányi, E; Proctor, R; Risbey, JS; Robson, BJ; Smith, DC; Sumner, MD; van Putten, EI</t>
  </si>
  <si>
    <t>Melbourne-Thomas, Jessica; Constable, Andrew J.; Fulton, Elizabeth A.; Corney, Stuart P.; Trebilco, Rowan; Hobday, Alistair J.; Blanchard, Julia L.; Boschetti, Fabio; Bustamante, Rodrigo H.; Cropp, Roger; Everett, Jason D.; Fleming, Aysha; Galton-Fenzi, Ben; Goldsworthy, Simon D.; Lenton, Andrew; Lara-Lopez, Ana; Little, Rich; Marzloff, Martin P.; Matear, Richard; Mongin, Mathieu; Plaganyi, Eva; Proctor, Roger; Risbey, James S.; Robson, Barbara J.; Smith, David C.; Sumner, Michael D.; van Putten, E. Ingrid</t>
  </si>
  <si>
    <t>Integrated modelling to support decision-making for marine social-ecological systems in Australia</t>
  </si>
  <si>
    <t>Australia; integrated modelling; marine systems; social-ecological systems</t>
  </si>
  <si>
    <t>GREAT-BARRIER-REEF; CLIMATE-CHANGE; FISHERIES MANAGEMENT; AQUATIC ECOSYSTEMS; CHANGING CLIMATE; UNCERTAINTY; TOOLS; FISH; SENSITIVITY; ATTITUDES</t>
  </si>
  <si>
    <t>Policy- and decision-makers require assessments of status and trends for marine species, habitats, and ecosystems to understand if human activities in the marine environment are sustainable, particularly in the face of global change. Central to many assessments are statistical and dynamical models of populations, communities, ecosystems, and their socioeconomic systems and management frameworks. The establishment of a national system that could facilitate the development of such model-based assessments has been identified as a priority for addressing management challenges for Australia's marine environment. Given that most assessments require cross-scale information, individual models cannot capture all of the spatial, temporal, biological, and socioeconomic scales that are typically needed. Coupling or integrating models across scales and domains can expand the scope for developing comprehensive and internally consistent, system-level assessments, including higher-level feedbacks in social-ecological systems. In this article, we summarize: (i) integrated modelling for marine systems currently being undertaken in Australia, (ii) methods used for integration and comparison of models, and (iii) improvements to facilitate further integration, particularly with respect to standards and specifications. We consider future needs for integrated modelling of marine social-ecological systems in Australia and provide a set of recommendations for priority focus areas in the development of a national approach to integrated modelling. These recommendations draw on-and have broader relevance for-international efforts around integrated modelling to inform decision-making for marine systems.</t>
  </si>
  <si>
    <t>[Melbourne-Thomas, Jessica; Constable, Andrew J.; Galton-Fenzi, Ben; Sumner, Michael D.] Australian Antarctic Div, Dept Environm &amp; Energy, Kingston, Tas 7001, Australia; [Melbourne-Thomas, Jessica; Constable, Andrew J.; Corney, Stuart P.; Trebilco, Rowan; Galton-Fenzi, Ben; Sumner, Michael D.] Univ Tasmania, Antarctic Climate &amp; Ecosyst Cooperat Res Ctr, Hobart, Tas 7001, Australia; [Fulton, Elizabeth A.; Hobday, Alistair J.; Lenton, Andrew; Little, Rich; Matear, Richard; Mongin, Mathieu; Risbey, James S.; Smith, David C.; van Putten, E. Ingrid] CSIRO Oceans &amp; Atmosphere, Hobart, Tas 7001, Australia; [Fulton, Elizabeth A.; Hobday, Alistair J.; Blanchard, Julia L.; Fleming, Aysha; Little, Rich; Plaganyi, Eva; Smith, David C.; van Putten, E. Ingrid] Univ Tasmania, Ctr Marine Socioecol, Hobart, Tas 7001, Australia; [Blanchard, Julia L.; Marzloff, Martin P.] Univ Tasmania, Inst Marine &amp; Antarctic Studies, Hobart, Tas 7001, Australia; [Boschetti, Fabio] CSIRO Oceans &amp; Atmosphere, Perth, WA 6001, Australia; [Boschetti, Fabio] Univ Western Australia, Sch Earth &amp; Geog Sci, Crawley, WA 6009, Australia; [Bustamante, Rodrigo H.; Plaganyi, Eva] CSIRO Oceans &amp; Atmosphere, Brisbane, Qld 4001, Australia; [Cropp, Roger] Griffith Univ, Griffith Sch Environm, Nathan, Qld 4111, Australia; [Everett, Jason D.] Univ New South Wales, Evolut &amp; Ecol Res Ctr, Sydney, NSW 2052, Australia; [Everett, Jason D.] Sydney Inst Marine Sci, Sydney, NSW 2088, Australia; [Fleming, Aysha; Robson, Barbara J.] CSIRO Land &amp; Water, Hobart, Tas 7001, Australia; [Goldsworthy, Simon D.] South Australian Res &amp; Dev Inst, Aquat Sci, West Beach, SA 5024, Australia; [Lara-Lopez, Ana; Proctor, Roger] Univ Tasmania, Integrated Marine Observing Syst, Hobart, Tas 7001, Australia; [Marzloff, Martin P.] IFREMER, Ctr Bretagne, DYNECO Benth Ecol Lab LEBCO, CS 10070, F-29280 Plouzane, France; [Robson, Barbara J.] CSIRO Land &amp; Water, Black Mt, ACT 2365, Australia</t>
  </si>
  <si>
    <t>Australian Antarctic Division; University of Tasmania; Antarctic Climate &amp; Ecosystems Cooperative Research Centre (ACE CRC); Commonwealth Scientific &amp; Industrial Research Organisation (CSIRO); University of Tasmania; University of Tasmania; Commonwealth Scientific &amp; Industrial Research Organisation (CSIRO); University of Western Australia; Commonwealth Scientific &amp; Industrial Research Organisation (CSIRO); Griffith University; University of New South Wales Sydney; Sydney Institute of Marine Science; Commonwealth Scientific &amp; Industrial Research Organisation (CSIRO); South Australian Research &amp; Development Institute (SARDI); University of Tasmania; Ifremer; Commonwealth Scientific &amp; Industrial Research Organisation (CSIRO)</t>
  </si>
  <si>
    <t>Melbourne-Thomas, J (corresponding author), Australian Antarctic Div, Dept Environm &amp; Energy, Kingston, Tas 7001, Australia.;Melbourne-Thomas, J (corresponding author), Univ Tasmania, Antarctic Climate &amp; Ecosyst Cooperat Res Ctr, Hobart, Tas 7001, Australia.</t>
  </si>
  <si>
    <t>jess.melbourne-thomas@aad.gov.au</t>
  </si>
  <si>
    <t>Blanchard, Julia L/E-4919-2010; Boschetti, Fabio/A-1607-2015; Melbourne-Thomas, Jess/N-2437-2019; Proctor, Roger/J-7320-2014; Fulton, Beth/A-2871-2008; Smith, David/GQQ-8257-2022; Robson, Barbara/B-8296-2008; Little, Rich/E-7578-2011; Trebilco, Rowan/I-5311-2012; Plaganyi, Eva E/C-5130-2011; Marzloff, Martin/AAY-3833-2020; Fleming, Aysha/E-8753-2011; Fulton, Beth/AAJ-1398-2021; Cropp, Roger/C-1019-2008; Risbey, James/M-8419-2013; Hobday, Alistair/A-1460-2012; Sumner, Michael D/J-3478-2013; Everett, Jason/C-4557-2008; matear, richard/C-5133-2011; Lenton, Andrew/D-2077-2012; mongin, mathieu/G-4169-2015</t>
  </si>
  <si>
    <t>Boschetti, Fabio/0000-0001-8999-6913; Melbourne-Thomas, Jess/0000-0001-6585-876X; Proctor, Roger/0000-0002-6926-2821; Robson, Barbara/0000-0002-1811-3527; Little, Rich/0000-0002-5650-7391; Trebilco, Rowan/0000-0001-9712-8016; Plaganyi, Eva E/0000-0002-4740-4200; Marzloff, Martin/0000-0002-8152-4273; Fleming, Aysha/0000-0001-9895-1928; Fulton, Beth/0000-0002-5904-7917; Risbey, James/0000-0003-3202-9142; Lara-Lopez, Ana/0000-0003-2896-1367; Everett, Jason/0000-0002-6681-8054; matear, richard/0000-0002-3225-0800; Goldsworthy, Simon/0000-0003-4988-9085; Sumner, Michael/0000-0002-2471-7511; Lenton, Andrew/0000-0001-9437-8896; Blanchard, Julia/0000-0003-0532-4824; mongin, mathieu/0000-0001-9647-0530; Galton-Fenzi, Benjamin Keith/0000-0003-1404-4103</t>
  </si>
  <si>
    <t>Centre for Marine Socioecology; Australian Government's Cooperative Research Centres Program through the ACE CRC</t>
  </si>
  <si>
    <t>Centre for Marine Socioecology; Australian Government's Cooperative Research Centres Program through the ACE CRC(Australian GovernmentDepartment of Industry, Innovation and ScienceCooperative Research Centres (CRC) Programme)</t>
  </si>
  <si>
    <t>This study was supported by the Centre for Marine Socioecology (a joint collaboration between the University of Tasmania, CSIRO and the Australian Antarctic Division) and the Australian Government's Cooperative Research Centres Program through the ACE CRC. This paper was developed as a contribution to Workshop 3 of the IMBER (Integrating Marine Biogeochemistry and Ecosystems Research) IMBIZO meeting in October 2015 on Integrated modelling to support assessment and management of marine socialecological systems in the face of global change (www.imber.info/Meetings/IMBIZO/IMBIZO-IV/Workshop-3).</t>
  </si>
  <si>
    <t>10.1093/icesjms/fsx078</t>
  </si>
  <si>
    <t>FO2LD</t>
  </si>
  <si>
    <t>WOS:000416608700002</t>
  </si>
  <si>
    <t>Han, G; Cui, XH; Liang, AL; Ma, X; Zhang, T; Gong, W</t>
  </si>
  <si>
    <t>Han, Ge; Cui, Xiaohui; Liang, Ailin; Ma, Xin; Zhang, Teng; Gong, Wei</t>
  </si>
  <si>
    <t>A CO2 Profile Retrieving Method Based on Chebyshev Fitting for Ground-Based DIAL</t>
  </si>
  <si>
    <t>Algorithm; atmospheric measurement; carbon; laser radar</t>
  </si>
  <si>
    <t>DIFFERENTIAL ABSORPTION LIDAR; CARBON-DIOXIDE; MU-M; VERTICAL PROFILES; MIXING-RATIO; SYSTEM; SCATTERING; WUHAN; SENSITIVITY; BANDS</t>
  </si>
  <si>
    <t>The vertical profile of atmospheric CO2 is of great scientific significance in identifying carbon sinks and sources, and estimating CO2 emissions or uptakes. Differential absorption Light Detection And Ranging (DIAL), has been widely accepted as the most promising technique to sense atmospheric CO2. The classical method to retrieve measurements, generated from range-resolved detection, is derived from differentiating the measured column content, but its performance in dealing with aerosol backscatter signals is poor. To address this issue, this paper proposes a derivative method, which is based on Chebyshev fitting to the measured differential absorption optical depth. We created a performance evaluation model to assess the performance of the proposed method. Simulations revealed that the error of a single CO2 profile in data retrieval can be reduced to less than 4 ppm in 6000 m. The precision of long-term mean CO2 profile is expected to be less than 1 ppm. We believe that this novel method can be used in other applications also, e.g., trace gas measurements collected using DIAL, especially when the signal-to-noise-ratio of received signal is small.</t>
  </si>
  <si>
    <t>[Han, Ge; Cui, Xiaohui] Wuhan Univ, Int Sch Software, Wuhan 430072, Hubei, Peoples R China; [Liang, Ailin; Gong, Wei] Wuhan Univ, State Key Lab Informat Engn Surveying Mapping &amp; R, Wuhan 430072, Hubei, Peoples R China; [Ma, Xin] Wuhan Univ, Elect Informat Sch, Wuhan 430072, Hubei, Peoples R China; [Zhang, Teng] Wuhan Univ, Chinese Antarctic Ctr Surveying &amp; Mapping, Wuhan 430072, Hubei, Peoples R China</t>
  </si>
  <si>
    <t>Wuhan University; Wuhan University; Wuhan University; Wuhan University</t>
  </si>
  <si>
    <t>Ma, X (corresponding author), Wuhan Univ, Elect Informat Sch, Wuhan 430072, Hubei, Peoples R China.</t>
  </si>
  <si>
    <t>maxinwhu@whu.edu.cn</t>
  </si>
  <si>
    <t>HAN, GE/0000-0003-2561-3244; cui, xiaohui/0000-0001-6079-009X</t>
  </si>
  <si>
    <t>10.1109/TGRS.2017.2720618</t>
  </si>
  <si>
    <t>FK7AS</t>
  </si>
  <si>
    <t>WOS:000413656900006</t>
  </si>
  <si>
    <t>Freidman, BL; Speirs, LBM; Churchill, J; Gras, SL; Tucci, J; Snape, I; Stevens, GW; Mumford, KA</t>
  </si>
  <si>
    <t>Freidman, Benjamin L.; Speirs, Lachlan B. M.; Churchill, Jack; Gras, Sally L.; Tucci, Joe; Snape, Ian; Stevens, Geoffrey W.; Mumford, Kathryn A.</t>
  </si>
  <si>
    <t>Biofilm communities and biodegradation within permeable reactive barriers at fuel spill sites in Antarctica</t>
  </si>
  <si>
    <t>INTERNATIONAL BIODETERIORATION &amp; BIODEGRADATION</t>
  </si>
  <si>
    <t>Antarctica; Biodegradation; Bacteria; Bio-reactive barrier; Amplicon sequencing; Diversity</t>
  </si>
  <si>
    <t>GRANULAR ACTIVATED CARBON; CASEY STATION; BACTERIAL DIVERSITY; HYDROCARBON CONTAMINATION; WATER; SOIL; REMEDIATION; BIOREMEDIATION; ENVIRONMENTS; DEGRADATION</t>
  </si>
  <si>
    <t>Determining the composition of the complex microbial communities within biofilms can aid us in understanding the potential for biodegradation on different permeable reactive barrier materials. Microbial communities were examined under Antarctic conditions across laboratory and field studies using amplicon pyrosequencing, and the reaction of these communities to petroleum hydrocarbon contamination and NH4+ supplementation was assessed. Putative hydrocarbon degrading bacteria in the orders Actinomycetales and Burkholderiales were identified in laboratory flow cells and within the upper PRB and lower PRB at Casey Station, Antarctica. The release of NH4+ from ammonium exchanged zeolite was shown to reduce the microbial diversity of biofilms, when compared to natural zeolite. Bacteria from the orders Sphingomonadales, Rhodocyclales, Pseudomonadales and Xanthomonadales were also observed across the Zeopro (TM)/granular activated carbon permeable reactive barrier mixtures. The bacterial species were observed within a uniform microbial biofilm layer, embedded within extracellular polymeric substances on the surface of the materials. This study demonstrates that petroleum hydrocarbon contamination can contribute to the enrichment of certain hydrocarbon degrading species on permeable reactive barrier materials. (C) 2017 Elsevier Ltd. All rights reserved.</t>
  </si>
  <si>
    <t>[Freidman, Benjamin L.; Churchill, Jack; Gras, Sally L.; Stevens, Geoffrey W.; Mumford, Kathryn A.] Univ Melbourne, Particulate Fluids Proc Ctr, Dept Chem &amp; Biomol Engn, Parkville, Vic 3010, Australia; [Freidman, Benjamin L.; Churchill, Jack; Gras, Sally L.] Univ Melbourne, Mol Sci &amp; Biotechnol Inst Bio21, Parkville, Vic 3010, Australia; [Speirs, Lachlan B. M.; Tucci, Joe] La Trobe Univ, Dept Pharm &amp; Appl Sci, Sch Mol Sci, Melbourne, Vic 3086, Australia; [Snape, Ian] Australian Antarctic Div, Kingston, Tas 7050, Australia; [Gras, Sally L.] Univ Melbourne, ARC Dairy Innovat Hub, Parkville, Vic 3010, Australia</t>
  </si>
  <si>
    <t>University of Melbourne; University of Melbourne; La Trobe University; Melbourne Genomics Health Alliance; Australian Antarctic Division; University of Melbourne</t>
  </si>
  <si>
    <t>Mumford, KA (corresponding author), Univ Melbourne, Bldg 165, Parkville, Vic 3010, Australia.</t>
  </si>
  <si>
    <t>mumfordk@unimelb.edu.au</t>
  </si>
  <si>
    <t>Gras, Sally L/G-2025-2014; Mumford, Kathryn A/M-6566-2015</t>
  </si>
  <si>
    <t>Gras, Sally L/0000-0002-4660-1245; Stevens, Geoffrey/0000-0002-5788-4682</t>
  </si>
  <si>
    <t>Australian Antarctic Science Project [4029]; Particulate Fluids Processing Centre (PFPC) at The University of Melbourne; ARC Dairy Innovation Hub [IH120100005]; Australian Research Council [IH120100005] Funding Source: Australian Research Council</t>
  </si>
  <si>
    <t>Australian Antarctic Science Project; Particulate Fluids Processing Centre (PFPC) at The University of Melbourne; ARC Dairy Innovation Hub(Australian Research Council); Australian Research Council(Australian Research Council)</t>
  </si>
  <si>
    <t>The authors acknowledge the financial support of Australian Antarctic Science Project 4029 and the Particulate Fluids Processing Centre (PFPC) at The University of Melbourne. We extend our thanks to Lauren Wise at the Australian Antarctic Division for TPH analysis and personnel at the Australian Genome Research Facility for DNA extract analysis and reporting. Sally Gras is supported by The ARC Dairy Innovation Hub (IH120100005).</t>
  </si>
  <si>
    <t>0964-8305</t>
  </si>
  <si>
    <t>1879-0208</t>
  </si>
  <si>
    <t>INT BIODETER BIODEGR</t>
  </si>
  <si>
    <t>Int. Biodeterior. Biodegrad.</t>
  </si>
  <si>
    <t>10.1016/j.ibiod.2017.08.008</t>
  </si>
  <si>
    <t>Biotechnology &amp; Applied Microbiology; Environmental Sciences</t>
  </si>
  <si>
    <t>Biotechnology &amp; Applied Microbiology; Environmental Sciences &amp; Ecology</t>
  </si>
  <si>
    <t>FM3BD</t>
  </si>
  <si>
    <t>WOS:000414878300006</t>
  </si>
  <si>
    <t>Okere, UV; Cabrerizo, A; Dachs, J; Ogbonnaya, UO; Jones, KC; Semple, KT</t>
  </si>
  <si>
    <t>Okere, Uchechukwu V.; Cabrerizo, Ana; Dachs, Jordi; Ogbonnaya, Uchenna O.; Jones, Kevin C.; Semple, Kirk T.</t>
  </si>
  <si>
    <t>Effects of pre-exposure on the indigenous biodegradation of 14C-phenanthrene in Antarctic soils</t>
  </si>
  <si>
    <t>Antarctica; Pre-exposure; Biodegradation; C-14-phenanthrene</t>
  </si>
  <si>
    <t>POLYCYCLIC AROMATIC-HYDROCARBONS; ORGANIC CONTAMINANTS; PAHS; PHENANTHRENE; DEGRADATION; TEMPERATURE; SORPTION; BIOACCESSIBILITY; BIOREMEDIATION; DIVERSITY</t>
  </si>
  <si>
    <t>The aim of this study was to investigate the biodegradation of phenanthrene in five Antarctic soils over 150 days at various temperatures and under slurry conditions. The development of catabolic activity was measured over time (1, 30, 60, 150 days) by the addition of C-14-phenanthrene and measuring changes in the lag phases, rates and extents of C-14-phenanthrene degradation. As the temperature increased (4 degrees C, 12 degrees C, 22 degrees C, 22 degrees C slurry), the highest extents of C-14-phenanthrene mineralisation increased significantly (0.46%, 12.21%, 24.82%, 60.81%), respectively. This was due to changes in the water availability and C-14-phenanthrene dissolution in aqueous phase, thus enhancing bioaccessibility of the contaminant to indigenous microorganisms within the soil. High catabolic activities can develop in Antarctic soils where appropriate conditions are ensured. However, further studies are however needed to explore the changes in microbial community structure that occur at different incubation temperatures. (C) 2017 Elsevier Ltd. All rights reserved.</t>
  </si>
  <si>
    <t>[Okere, Uchechukwu V.; Ogbonnaya, Uchenna O.; Jones, Kevin C.; Semple, Kirk T.] Univ Lancaster, Lancaster Environm Ctr, Lancaster LA1 4YQ, England; [Cabrerizo, Ana; Dachs, Jordi] IDAEA CSIC, Dept Environm Chem, Jordi Girona 18-26, Barcelona 08034, Catalonia, Spain; [Ogbonnaya, Uchenna O.] Fed Univ Oye Ekiti, Dept Soil Sci &amp; Land Resource Management, Oye Ekiti, Ekiti, Nigeria</t>
  </si>
  <si>
    <t>Lancaster University; Consejo Superior de Investigaciones Cientificas (CSIC); CSIC - Centro de Investigacion y Desarrollo Pascual Vila (CID-CSIC); CSIC - Instituto de Diagnostico Ambiental y Estudios del Agua (IDAEA)</t>
  </si>
  <si>
    <t>Semple, KT (corresponding author), Univ Lancaster, Lancaster Environm Ctr, Lancaster LA1 4YQ, England.</t>
  </si>
  <si>
    <t>k.semple@lancaster.ac.uk</t>
  </si>
  <si>
    <t>Semple, Kirk/N-8875-2019; Jones, Kevin C/F-4296-2014; Cabrerizo, Ana/AAA-9050-2020; Cabrerizo, Ana/D-8256-2018</t>
  </si>
  <si>
    <t>Semple, Kirk/0000-0002-4046-2037; Okere, Uchechukwu/0000-0003-0343-5686; Cabrerizo, Ana/0000-0002-5933-1483; Jones, Kevin Christopher/0000-0001-7108-9776; Dachs, Jordi/0000-0002-4237-169X</t>
  </si>
  <si>
    <t>10.1016/j.ibiod.2017.09.013</t>
  </si>
  <si>
    <t>WOS:000414878300021</t>
  </si>
  <si>
    <t>van Kampenhout, L; Lenaerts, JTM; Lipscomb, WH; Sacks, WJ; Lawrence, DM; Slater, AG; van den Broeke, MR</t>
  </si>
  <si>
    <t>van Kampenhout, Leonardus; Lenaerts, Jan T. M.; Lipscomb, William H.; Sacks, William J.; Lawrence, David M.; Slater, Andrew G.; van den Broeke, Michiel R.</t>
  </si>
  <si>
    <t>Improving the Representation of Polar Snow and Firn in the Community Earth System Model</t>
  </si>
  <si>
    <t>GREENLAND ICE-SHEET; SURFACE MASS-BALANCE; ACCUMULATION RATES; ELEVATION CHANGE; CLIMATE; DENSITY; IMPLEMENTATION; DENSIFICATION; SENSITIVITY; PROJECTIONS</t>
  </si>
  <si>
    <t>In Earth system models, terrestrial snow is usually modeled by the land surface component. In most cases, these snow models have been developed with an emphasis on seasonal snow. Questions about future sea level rise, however, prompt the need for a realistic representation of perennial snow, as snow processes play a key role in the mass balance of glaciers and ice sheets. Here we enhance realism of modeled polar snow in the Community Land Model (CLM), the land component of the Community Earth System Model (CESM), by implementing (1) new parametrizations for fresh snow density, destructive metamorphism, and compaction by overburden pressure, (2) by allowing for deeper snow packs, and (3) by introducing drifting snow compaction, with a focus on the ice sheet interior. Comparison with Greenlandic and Antarctic snow density observations show that the new physics improve model skill in predicting firn and near-surface density in the absence of melt. Moreover, compensating biases are removed and spurious subsurface melt rates at ice sheets are eliminated. The deeper snow pack enhances refreezing and allows for deeper percolation, raising ice temperatures up to 15 degrees C above the skin temperature.</t>
  </si>
  <si>
    <t>[van Kampenhout, Leonardus; Lenaerts, Jan T. M.; van den Broeke, Michiel R.] Univ Utrecht, Inst Marine &amp; Atmospher Res Utrecht, Utrecht, Netherlands; [Lipscomb, William H.] Los Alamos Natl Lab, Grp T3, Los Alamos, NM USA; [Lipscomb, William H.; Sacks, William J.; Lawrence, David M.] Natl Ctr Atmospher Res, POB 3000, Boulder, CO 80307 USA; [Slater, Andrew G.] Natl Snow &amp; Ice Data Ctr, Boulder, CO USA</t>
  </si>
  <si>
    <t>Utrecht University; United States Department of Energy (DOE); Los Alamos National Laboratory; National Center Atmospheric Research (NCAR) - USA</t>
  </si>
  <si>
    <t>van Kampenhout, L (corresponding author), Univ Utrecht, Inst Marine &amp; Atmospher Res Utrecht, Utrecht, Netherlands.</t>
  </si>
  <si>
    <t>L.vankampenhout@uu.nl</t>
  </si>
  <si>
    <t>Lipscomb, William/AAR-8668-2021; Sacks, Bill/ABG-2438-2020; Slater, Andrew G/B-4666-2008; Lenaerts, Jan/D-9423-2012; Van den Broeke, Michiel R./F-7867-2011; Lawrence, David/C-4026-2011</t>
  </si>
  <si>
    <t>Lenaerts, Jan/0000-0003-4309-4011; Van den Broeke, Michiel R./0000-0003-4662-7565; Lawrence, David/0000-0002-2968-3023; van Kampenhout, Leo/0000-0001-9047-5031</t>
  </si>
  <si>
    <t>Utrecht University through its strategic theme Sustainability, subtheme Water, Climate Ecosystems; Dutch Ministry of Education, Culture and Science (OCW); NWO ALW through a Veni postdoctoral grant [863.14.009]; Regional and Global Climate Modeling and Earth System Modeling programs of the Office of Biological and Environmental Research within the US Department of Energy's Office of Science; National Center for Atmospheric Research, Boulder, CO (NCAR/CISL); National Science Foundation</t>
  </si>
  <si>
    <t>Utrecht University through its strategic theme Sustainability, subtheme Water, Climate Ecosystems; Dutch Ministry of Education, Culture and Science (OCW); NWO ALW through a Veni postdoctoral grant; Regional and Global Climate Modeling and Earth System Modeling programs of the Office of Biological and Environmental Research within the US Department of Energy's Office of Science; National Center for Atmospheric Research, Boulder, CO (NCAR/CISL); National Science Foundation(National Science Foundation (NSF))</t>
  </si>
  <si>
    <t>This study is dedicated to the memory of Andrew Slater. The data used are listed in the references, and model code of the standalone dry firn model is available at https://github.com/lvankampenhout/compaction. Part of this study was funded by Utrecht University through its strategic theme Sustainability, subtheme Water, Climate &amp; Ecosystems. Part of this work was carried out under the program of the Netherlands Earth System Science Centre (NESSC), financially supported by the Dutch Ministry of Education, Culture and Science (OCW). J.T.M.L. was supported by NWO ALW through a Veni postdoctoral grant 863.14.009. W.H.L. was supported by the Regional and Global Climate Modeling and Earth System Modeling programs of the Office of Biological and Environmental Research within the US Department of Energy's Office of Science. CESM simulations were supported by resources at the National Center for Atmospheric Research, Boulder, CO (NCAR/CISL). NCAR is sponsored by the National Science Foundation.</t>
  </si>
  <si>
    <t>10.1002/2017MS000988</t>
  </si>
  <si>
    <t>FS9DE</t>
  </si>
  <si>
    <t>WOS:000422715200008</t>
  </si>
  <si>
    <t>Thurairajah, B; Sato, K; Yue, J; Nakamura, T; Kohma, M; Bailey, SM; Russell, JM</t>
  </si>
  <si>
    <t>Thurairajah, Brentha; Sato, Kaoru; Yue, Jia; Nakamura, Takuji; Kohma, Masashi; Bailey, Scott M.; Russell, James M., III</t>
  </si>
  <si>
    <t>Simultaneous observation of gravity waves at PMC altitude from AIM/CIPS experiment and PANSY radar over Syowa (69°S, 39°E)</t>
  </si>
  <si>
    <t>JOURNAL OF ATMOSPHERIC AND SOLAR-TERRESTRIAL PHYSICS</t>
  </si>
  <si>
    <t>Polar mesospheric clouds; Mesosphere; Gravity waves</t>
  </si>
  <si>
    <t>PARTICLE-SIZE EXPERIMENT; UPPER-ATMOSPHERE RADAR; MESOSPHERIC CLOUDS; MESOPAUSE; INSTRUMENT; MIDDLE; ICE</t>
  </si>
  <si>
    <t>Simultaneous observation of gravity waves (GWs) in the polar summer mesosphere over Syowa (69 degrees S, 39 degrees E) by a ground-based radar and satellite instrument are presented. On 21 January 2016, at 2.3 UT, the CIPS instrument on the AIM satellite observed Polar Mesospheric Clouds (PMCs) with GW structures over Syowa. The orientation of the wave crests suggests north-west propagation direction. A periodogram analysis indicates GWs with horizontal wavelengths of 105 +/- 5 and 60 +/- 5 km. Cross-spectral analysis of the PANSY radar horizontal wind components at the same time, location, and altitude indicate two dominant waves with apparent periods of 15 and 9 h, with respective horizontal wavelengths of 100 +/- 5 km and 302 +/- 130 km. At the PMC altitude of similar to 83 km, the mean zonal component of the vertical momentum flux spectra of the observed GWs is westward and the meridional component is northward. The comparable horizontal wavelengths of the 15 h wave observed by PANSY radar and the CIPS instrument, along with the agreement between the direction of vertical flux of horizontal momentum from PANSY, the propagation direction estimated from the cross-spectral analysis, and the orientation of the wave crests from CIPS i.e. north-west propagation direction suggests that the same wave is observed by both instruments. This simultaneous observation of the same wave by CIPS and PANSY radar provide a distinctive view of both the horizontal and vertical extent of a GW in the Antarctic summer mesosphere.</t>
  </si>
  <si>
    <t>[Thurairajah, Brentha; Bailey, Scott M.] Virginia Tech, Bradley Dept Elect &amp; Comp Engn, Ctr Space Sci &amp; Engn Res, Blacksburg, VA 24061 USA; [Sato, Kaoru; Kohma, Masashi] Univ Tokyo, Dept Earth &amp; Planetary Sci, Tokyo, Japan; [Yue, Jia; Russell, James M., III] Hampton Univ, Atmospher &amp; Planetary Sci, Hampton, VA 23668 USA; [Nakamura, Takuji] Natl Inst Polar Res, Tachikawa, Tokyo, Japan</t>
  </si>
  <si>
    <t>Virginia Polytechnic Institute &amp; State University; University of Tokyo; Hampton University; Research Organization of Information &amp; Systems (ROIS); National Institute of Polar Research (NIPR) - Japan</t>
  </si>
  <si>
    <t>Thurairajah, B (corresponding author), Virginia Tech, Bradley Dept Elect &amp; Comp Engn, Ctr Space Sci &amp; Engn Res, Blacksburg, VA 24061 USA.</t>
  </si>
  <si>
    <t>brenthat@vt.edu</t>
  </si>
  <si>
    <t>Yue, Jia/D-8177-2011; Kohma, Masashi/C-8055-2015; Sato, Kaoru/E-1693-2012</t>
  </si>
  <si>
    <t>Yue, Jia/0000-0003-0577-5289; Thurairajah, Brentha/0000-0002-4072-7082; Nakamura, Takuji/0000-0002-3876-2946; Kohma, Masashi/0000-0001-9875-3032; Sato, Kaoru/0000-0002-6225-6066</t>
  </si>
  <si>
    <t>NASA Small Explorer Project [NAS5-03132]; Grants-in-Aid for Scientific Research [16K17801] Funding Source: KAKEN</t>
  </si>
  <si>
    <t>NASA Small Explorer Project; Grants-in-Aid for Scientific Research(Ministry of Education, Culture, Sports, Science and Technology, Japan (MEXT)Japan Society for the Promotion of ScienceGrants-in-Aid for Scientific Research (KAKENHI))</t>
  </si>
  <si>
    <t>AIM was developed as part of the NASA Small Explorer Project under contract NAS5-03132. PANSY is a multi-institutional project with a core of the University of Tokyo and National Institute of Polar Research. The PANSY radar is operated by the Japanese Antarctic Research Expedition. The authors thank the CIPS and PANSY data processing teams. The authors thank the two reviewers for their valuable comments.</t>
  </si>
  <si>
    <t>1364-6826</t>
  </si>
  <si>
    <t>1879-1824</t>
  </si>
  <si>
    <t>J ATMOS SOL-TERR PHY</t>
  </si>
  <si>
    <t>J. Atmos. Sol.-Terr. Phys.</t>
  </si>
  <si>
    <t>10.1016/j.jastp.2017.10.006</t>
  </si>
  <si>
    <t>FP5PI</t>
  </si>
  <si>
    <t>WOS:000417671000034</t>
  </si>
  <si>
    <t>Stark, JS; Moharnmad, M; McMinn, A; Ingels, J</t>
  </si>
  <si>
    <t>Stark, Jonathan S.; Moharnmad, Mahadi; McMinn, Andrew; Ingels, Jeroen</t>
  </si>
  <si>
    <t>The effects of hydrocarbons on meiofauna in marine sediments in Antarctica</t>
  </si>
  <si>
    <t>Oil; Diesel fuel; Copepods; Nematodes; Field experiment; Environmental impacts</t>
  </si>
  <si>
    <t>NEMATODE-COPEPOD RATIO; POLYCYCLIC AROMATIC-HYDROCARBONS; OIL-SPILL; LONG-TERM; PETROLEUM HYDROCARBON; COMMUNITY STRUCTURE; SUBTIDAL SEDIMENTS; ORGANIC ENRICHMENT; LUBRICANT OILS; POLLUTION</t>
  </si>
  <si>
    <t>The effects of hydrocarbons in marine sediments on Antarctic meiofaunal communities (nematodes and copepods) were investigated in a five year field experiment at Casey Station, East Antarctica. The effects of four different types of hydrocarbons were examined: clean mineral lube oil, used mineral lube oil, synthetic lube oil marketed as being rapidly biodegradable, and diesel fuel (Special Antarctic Blend). Sediments were sieved to remove macrofauna and then treated with one of the oils, then deployed in trays on the seabed (12-18 m) under sea ice, along with control, uncontaminated sediment. Samples of the meiofaunal communities were collected at one, two and five years and nematodes identified to genus and copepods to family. There were significant differences between meiofaunal communities in hydrocarbon-treated sediment compared to controls, but each hydrocarbon type had quite different effects. Effects persisted to five years and communities showed no signs of recovery or becoming more similar to controls. Nematodes were more sensitive to hydrocarbons than copepods, showing very distinct community differences between different treatments which persisted over the five years. In contrast, copepod communities showed less distinct, more variable changes, which decreased in severity over five years. Nematode abundance initially decreased in hydrocarbon treatments in comparison to controls, except for the biodegradable oil treatment, and this persisted also over five years. In contrast, copepod abundance initially increased in hydrocarbon treatments compared to controls, and then declined, and by five years abundances were lower in hydrocarbon treatments than in controls. Whilst structural community, abundance and diversity differences for nematodes and copepods remained after 5 years, the nematode functional parameters based on feeding types and maturity characteristics showed a substantial degree of recovery after 5 years, suggesting some functional recovery of the nematode community. This experiment demonstrates that different hydrocarbons can have very different effects on sediment meiofauna and that despite strong patterns of community effects it was very difficult to characterize effects on different taxa. The effects of oils in sediments are also likely to persist for periods greater than five years and could take decades to recover.</t>
  </si>
  <si>
    <t>[Stark, Jonathan S.] Australian Antarctic Div, Antarctic Conservat &amp; Management Theme, Kingston, Tas 7050, Australia; [Moharnmad, Mahadi; McMinn, Andrew] Univ Tasmania, Inst Marine &amp; Antarctic Studies, Hobart, Tas, Australia; [Ingels, Jeroen] Plymouth Marine Lab, Prospect Pl, Plymouth PL1 3DH, Devon, England; [Ingels, Jeroen] Florida State Univ, Coastal &amp; Marine Lab, 3618 Coastal Highway 98, St Teresa, FL 32358 USA; [Moharnmad, Mahadi] Univ Sains Malaysia, Sch Biol Sci, George Town 11800, Malaysia</t>
  </si>
  <si>
    <t>Australian Antarctic Division; University of Tasmania; Plymouth Marine Laboratory; State University System of Florida; Florida State University; Universiti Sains Malaysia</t>
  </si>
  <si>
    <t>Stark, JS (corresponding author), Australian Antarctic Div, Antarctic Conservat &amp; Management Theme, Kingston, Tas 7050, Australia.</t>
  </si>
  <si>
    <t>jonny.stark@aad.gov.au</t>
  </si>
  <si>
    <t>Mohammad, Mahadi/ABF-5206-2020; Stark, Jonathan/ABF-4025-2020; McMinn, Andrew/A-9910-2008; Ingels, Jeroen/A-1691-2008</t>
  </si>
  <si>
    <t>Mohammad, Mahadi/0000-0003-4091-3739; Stark, Jonathan/0000-0002-4268-8072; Ingels, Jeroen/0000-0001-8342-2222</t>
  </si>
  <si>
    <t>Universiti Sains Malaysia; Australian Antarctic Division (AAS projects) [2201, 4180]; University of Tasmania; Exeter University</t>
  </si>
  <si>
    <t>Universiti Sains Malaysia(Universiti Sains Malaysia); Australian Antarctic Division (AAS projects); University of Tasmania; Exeter University</t>
  </si>
  <si>
    <t>We are grateful to the following people for their assistance and support in this study: Sazlina Salleh, Martin Riddle, Glenn Johnstone, Scott Stark, Anne Palmer, Kate Stark and the Casey dive teams in, 2002/03, 2003/04 and 2006/07 seasons. This research was funded by the Universiti Sains Malaysia, Australian Antarctic Division (AAS projects 2201 and 4180) and University of Tasmania. JI acknowledges support through a PML postdoctoral research fellowship in collaboration with Exeter University.</t>
  </si>
  <si>
    <t>10.1016/j.jembe.2017.07.009</t>
  </si>
  <si>
    <t>FI8KY</t>
  </si>
  <si>
    <t>WOS:000412252700008</t>
  </si>
  <si>
    <t>Kyrke-Smith, TM; Gudmundsson, GH; Farrell, PE</t>
  </si>
  <si>
    <t>Kyrke-Smith, Teresa M.; Gudmundsson, G. Hilmar; Farrell, Patrick E.</t>
  </si>
  <si>
    <t>Can Seismic Observations of Bed Conditions on Ice Streams Help Constrain Parameters in Ice Flow Models?</t>
  </si>
  <si>
    <t>ice sheets; inverse modeling; Pine Island Glacier; bed conditions; subglacial processes; seismic measurements</t>
  </si>
  <si>
    <t>PINE ISLAND GLACIER; BASAL CONDITIONS BENEATH; WEST ANTARCTICA; SURFACE MEASUREMENTS; SHEAR-STRESS; SHEET MODEL; TOPOGRAPHY; RHEOLOGY; INVERSIONS; CAVITATION</t>
  </si>
  <si>
    <t>We investigate correlations between seismically derived estimates of basal acoustic impedance and basal slipperiness values obtained from a surface-to-bed inversion using a Stokes ice flow model. Using high-resolution measurements along several seismic profiles on Pine Island Glacier (PIG), we find no significant correlation at kilometer scale between acoustic impedance and either retrieved basal slipperiness or basal drag. However, there is a stronger correlation when comparing average values along the individual profiles. We hypothesize that the correlation appears at the length scales over which basal variations are important to large-scale ice sheet flow. Although the seismic technique is sensitive to the material properties of the bed, at present there is no clear way of incorporating high-resolution seismic measurements of bed properties on ice streams into ice flow models. We conclude that more theoretical work needs to be done before constraints on mechanical conditions at the ice-bed interface from acoustic impedance measurements can be of direct use to ice sheet models.</t>
  </si>
  <si>
    <t>[Kyrke-Smith, Teresa M.; Gudmundsson, G. Hilmar] British Antarctic Survey, Cambridge, England; [Farrell, Patrick E.] Univ Oxford, Math Inst, Oxford, England</t>
  </si>
  <si>
    <t>UK Research &amp; Innovation (UKRI); Natural Environment Research Council (NERC); NERC British Antarctic Survey; University of Oxford</t>
  </si>
  <si>
    <t>Kyrke-Smith, TM (corresponding author), British Antarctic Survey, Cambridge, England.</t>
  </si>
  <si>
    <t>terkyr@bas.ac.uk</t>
  </si>
  <si>
    <t>Farrell, Patrick/AAG-9536-2020; Gudmundsson, Gudmundur Hilmar/AAU-5987-2020</t>
  </si>
  <si>
    <t>Gudmundsson, Gudmundur Hilmar/0000-0003-4236-5369; Farrell, Patrick/0000-0002-1241-7060</t>
  </si>
  <si>
    <t>UK Natural Environment Research Council's iSTAR Programme; NERC grant [NE/J005754/1]; EPSRC [EP/K030930/1]; Engineering and Physical Sciences Research Council [EP/M011151/1, EP/K030930/1] Funding Source: researchfish; Natural Environment Research Council [NE/J005754/1, bas0100034] Funding Source: researchfish; EPSRC [EP/K030930/1, EP/M011151/1] Funding Source: UKRI; NERC [NE/J005754/1, bas0100034] Funding Source: UKRI</t>
  </si>
  <si>
    <t>UK Natural Environment Research Council's iSTAR Programme; NERC grant(UK Research &amp; Innovation (UKRI)Natural Environment Research Council (NERC)); EPSRC(UK Research &amp; Innovation (UKRI)Engineering &amp; Physical Sciences Research Council (EPSRC));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</si>
  <si>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We would like to thank Alex Brisbourne and Andy Smith for useful discussions and providing data, David Vaughan and Rob Arthern for useful discussions and feedback on a first draft, and Rob Bingham for giving us access to the radar data in advance of publication. We would also like to thank Olaf Eisen, Huw Horgan, and Daniel Goldberg for extremely useful reviews, which helped to improve the manuscript significantly. This work was supported by funding from the UK Natural Environment Research Council's iSTAR Programme and NERC grant NE/J005754/1. Farrell is supported by EPSRC grant EP/K030930/1. Data are available from the iStar GIS (http://gis.istar.ac.uk) and from the NERC Polar Data Centre.</t>
  </si>
  <si>
    <t>10.1002/2017JF004373</t>
  </si>
  <si>
    <t>WOS:000418087800012</t>
  </si>
  <si>
    <t>Bushinsky, SM; Gray, AR; Johnson, KS; Sarmiento, JL</t>
  </si>
  <si>
    <t>Bushinsky, Seth M.; Gray, Alison R.; Johnson, Kenneth S.; Sarmiento, Jorge L.</t>
  </si>
  <si>
    <t>Oxygen in the Southern Ocean From Argo Floats: Determination of Processes Driving Air-Sea Fluxes</t>
  </si>
  <si>
    <t>air-sea oxygen fluxes; Argo profiling floats; Southern Ocean seasonal cycles</t>
  </si>
  <si>
    <t>MEAN ANNUAL CYCLE; GAS-EXCHANGE; PROFILING FLOAT; GLOBAL OCEAN; PACIFIC-OCEAN; CARBON-CYCLE; WORLD OCEAN; WIND-SPEED; O-2; CO2</t>
  </si>
  <si>
    <t>The Southern Ocean is of outsized significance to the global oxygen and carbon cycles with relatively poor measurement coverage due to harsh winters and seasonal ice cover. In this study, we use recent advances in the parameterization of air-sea oxygen fluxes to analyze 9 years of oxygen data from a recalibrated Argo oxygen data set and from air-calibrated oxygen floats deployed as part of the Southern Ocean Carbon and Climate Observations and Modeling (SOCCOM) project. From this combined data set of 150 floats, we find a total Southern Ocean oxygen sink of -18380 Tmol yr(-1) (positive to the atmosphere), greater than prior estimates. The uptake occurs primarily in the Polar-Frontal Antarctic Zone (PAZ, -9430 Tmol O-2 yr(-1)) and Seasonal Ice Zone (SIZ, -1119.3 Tmol O-2 yr(-1)). This flux is driven by wintertime ventilation, with a large portion of the flux in the SIZ passing through regions with fractional sea ice. The Subtropical Zone (STZ) is seasonally driven by thermal fluxes and exhibits a net outgassing of 4729 Tmol O-2 yr(-1) that is likely driven by biological production. The Subantarctic Zone (SAZ) uptake is -25 +/- 12 Tmol O-2 yr(-1). Total oxygen fluxes were separated into a thermal and nonthermal component. The nonthermal flux is correlated with net primary production and mixed layer depth in the STZ, SAZ, and PAZ, but not in the SIZ where seasonal sea ice slows the air-sea gas flux response to the entrainment of deep, low-oxygen waters.</t>
  </si>
  <si>
    <t>[Bushinsky, Seth M.; Gray, Alison R.; Sarmiento, Jorge L.] Princeton Univ, Atmospher &amp; Ocean Sci, Princeton, NJ 08544 USA; [Gray, Alison R.] Univ Washington, Sch Oceanog, Seattle, WA 98195 USA; [Johnson, Kenneth S.] Monterey Bay Aquarium Res Inst, Moss Landing, CA USA</t>
  </si>
  <si>
    <t>Princeton University; University of Washington; University of Washington Seattle; Monterey Bay Aquarium Research Institute</t>
  </si>
  <si>
    <t>Bushinsky, SM (corresponding author), Princeton Univ, Atmospher &amp; Ocean Sci, Princeton, NJ 08544 USA.</t>
  </si>
  <si>
    <t>sb17@princeton.edu</t>
  </si>
  <si>
    <t>Bushinsky, Seth/Q-3379-2017; Johnson, Kenneth/F-9742-2011</t>
  </si>
  <si>
    <t>Bushinsky, Seth/0000-0001-5106-4678; Gray, Alison/0000-0002-1644-7654; Johnson, Kenneth/0000-0001-5513-5584</t>
  </si>
  <si>
    <t>National Science Foundation, Division of Polar Programs [NSF PLR -1425989]; NOAA [NA15OAR4320063]; Directorate For Geosciences; Office of Polar Programs (OPP) [1425989] Funding Source: National Science Foundation</t>
  </si>
  <si>
    <t>National Science Foundation, Division of Polar Programs(National Science Foundation (NSF)); NOAA(National Oceanic Atmospheric Admin (NOAA) - USA); Directorate For Geosciences; Office of Polar Programs (OPP)(National Science Foundation (NSF)NSF - Directorate for Geosciences (GEO))</t>
  </si>
  <si>
    <t>SOCCOM float data were collected and made freely available by the Southern Ocean Carbon and Climate Observations and Modeling (SOCCOM) Project funded by National Science Foundation, Division of Polar Programs (NSF PLR -1425989), supplemented by NOAA and NASA (PI Jorge Sarmiento). We would like to thank R. Drucker and S. Riser for providing the University of Washington Argo data set (v1.1, supported from NOAA grant NA15OAR4320063 to the University of Washington). We would also like to thank the many people at the Monterey Bay Aquarium Research Institute and the University of Washington who quality controlled and corrected the SOCCOM float data. SOCCOM data used in this analysis can be found in a data snapshot taken on 6 June 2017 (http://soccompu.princeton.edu/www/index.html, https://doi.org/10.6075/J0348H8K). NOAA High-Resolution SST data provided by the NOAA/OAR/ESRL PSD, Boulder, Colorado, USA, from their Web site at http://www.esrl.noaa.gov/psd/. We would like to thank the Argo program, without which none of this research is possible. Argo temperature and salinity for the floats in this study are available at http://www.seanoe.org/data/00311/42182/ (Argo, 2000). SOCCOM cruise data and deployment information available at: https://soccom.princeton.edu/content/shipboard-data-reports. We thank J. Plant for SOCCOMviz ingestion scripts. Rick Slater provided CM2.6 monthly output and subsampled daily model oxygen fluxes at float locations. We would especially like to thank the numerous scientists and ship's crews involved in the deployment, collection, and quality control of the data used in this study. Finally, we would like to thank Nicolas Gruber and an anonymous reviewer for their helpful comments that greatly improved this manuscript.</t>
  </si>
  <si>
    <t>10.1002/2017JC012923</t>
  </si>
  <si>
    <t>Bronze, Green Published, Green Submitted</t>
  </si>
  <si>
    <t>WOS:000418089400019</t>
  </si>
  <si>
    <t>Stratev, D; Odeyemi, OA; Pavlov, A; Kyuchukova, R; Fatehi, F; Bamidele, FA</t>
  </si>
  <si>
    <t>Stratev, Deyan; Odeyemi, Olumide A.; Pavlov, Alexander; Kyuchukova, Ralica; Fatehi, Foad; Bamidele, Florence A.</t>
  </si>
  <si>
    <t>Food safety knowledge and hygiene practices among veterinary medicine students at Trakia University, Bulgaria</t>
  </si>
  <si>
    <t>JOURNAL OF INFECTION AND PUBLIC HEALTH</t>
  </si>
  <si>
    <t>Food safety; Awareness; Foodborne infections; Hygiene; Consumers</t>
  </si>
  <si>
    <t>HANDLERS</t>
  </si>
  <si>
    <t>The results from the first survey on food safety knowledge, attitudes and hygiene practices (KAP) among veterinary medicine students in Bulgaria are reported in this study. It was designed and conducted from September to December 2015 using structured questionnaires on food safety knowledge, attitudes and practices. Data were collected from 100 undergraduate veterinary medicine students from the Trakia University, Bulgaria. It was observed that the age and the gender did not affect food safety knowledge, attitudes and practices. There was no significant difference (p &gt; 0.05) on food safety knowledge and practices among students based on the years of study. A high level of food safety knowledge was observed among the participants (85.06%), however, the practice of food safety was above average (65.28%) while attitude toward food safety was high (70%). Although there was a significant awareness of food safety knowledge among respondents, there is a need for improvement on food safety practices, interventions on food safety and foodborne diseases. (C) 2017 The Authors. Published by Elsevier Limited.</t>
  </si>
  <si>
    <t>[Stratev, Deyan; Pavlov, Alexander; Kyuchukova, Ralica] Trakia Univ, Dept Food Hyg &amp; Control, Vet Legislat &amp; Management, Fac Vet Med, Stara Zagora 6000, Bulgaria; [Odeyemi, Olumide A.] Univ Tasmania, Inst Marine &amp; Antarctic Studies, Ecol &amp; Biodivers Ctr, Launceston, Tas, Australia; [Fatehi, Foad] Univ Tasmania, Tasmanian Inst Agr, Hobart, Tas, Australia; [Bamidele, Florence A.] Yaba Coll Technol, Sch Appl Sci, Dept Biol Sci, Lagos, Nigeria</t>
  </si>
  <si>
    <t>Trakia University; University of Tasmania; University of Tasmania</t>
  </si>
  <si>
    <t>Stratev, D (corresponding author), Trakia Univ, Dept Food Hyg &amp; Control, Vet Legislat &amp; Management, Fac Vet Med, Stara Zagora 6000, Bulgaria.;Odeyemi, OA (corresponding author), Univ Tasmania, Inst Marine &amp; Antarctic Studies, Ecol &amp; Biodivers Ctr, Launceston, Tas, Australia.</t>
  </si>
  <si>
    <t>deyan.stratev@trakia-uni.bg; olumide.odeyemi@utas.edu.au</t>
  </si>
  <si>
    <t>Стратев, гл.ас. д-р Деян/S-3455-2019; fatehi, foad/ACB-2212-2022; Odeyemi, Olumide A/ABE-3206-2021; Stratev, Deyan/O-4564-2019</t>
  </si>
  <si>
    <t>fatehi, foad/0000-0003-3261-080X; Odeyemi, Olumide A/0000-0002-6041-5027; Stratev, Deyan/0000-0003-4907-1590</t>
  </si>
  <si>
    <t>ELSEVIER SCIENCE LONDON</t>
  </si>
  <si>
    <t>84 THEOBALDS RD, LONDON WC1X 8RR, ENGLAND</t>
  </si>
  <si>
    <t>1876-0341</t>
  </si>
  <si>
    <t>1876-035X</t>
  </si>
  <si>
    <t>J INFECT PUBLIC HEAL</t>
  </si>
  <si>
    <t>J. Infect. Public Health</t>
  </si>
  <si>
    <t>10.1016/j.jiph.2016.12.001</t>
  </si>
  <si>
    <t>Public, Environmental &amp; Occupational Health; Infectious Diseases</t>
  </si>
  <si>
    <t>FL4WJ</t>
  </si>
  <si>
    <t>WOS:000414231900017</t>
  </si>
  <si>
    <t>Ohishi, S; Tozuka, T; Cronin, MF</t>
  </si>
  <si>
    <t>Ohishi, Shun; Tozuka, Tomoki; Cronin, Meghan F.</t>
  </si>
  <si>
    <t>Frontogenesis in the Agulhas Return Current Region Simulated by a High-Resolution CGCM</t>
  </si>
  <si>
    <t>SEA-SURFACE TEMPERATURE; TROPICAL INSTABILITY WAVES; EASTERN EQUATORIAL PACIFIC; ATMOSPHERIC BOUNDARY-LAYER; WESTERN NORTH PACIFIC; EARTH SYSTEM MODEL; EDDY-MEAN FLOW; MIXED-LAYER; UPPER-OCEAN; KUROSHIO EXTENSION</t>
  </si>
  <si>
    <t>Detailed mechanisms for frontogenesis/frontolysis of the sea surface temperature (SST) front in the Agulhas Return Current (ARC) region are investigated using outputs from a high-resolution coupled general circulation model. The SST front is maintained throughout the year through an approximate balance between frontolysis by surface heat flux and frontogenesis by horizontal advection. Although a southward (northward) cross-isotherm flow on the northern (southern) side of the front is weaker than a strong eastward alongisotherm current in the frontal region, this cross-isotherm confluent flow advects warmer (cooler) temperature toward the SST front north (south) of the front and acts as the dominant frontogenesis mechanism. In addition, stronger (weaker) frontogenesis in austral summer (winter) is attributed to the stronger (weaker) cross-isotherm confluence, which may be linked to seasonal variations of the Agulhas Current, ARC, and Antarctic Circumpolar Current. On the other hand, the contribution from entrainment is relatively small, because frontolysis by larger (smaller) entrainment velocity on the northern (southern) side opposes frontogenesis by less (more) effective cooling associated with a thicker (thinner) mixed layer and smaller (larger) temperature difference between the mixed layer and entrained water in the northern (southern) region. To gain further insight into the time-mean cross-isotherm confluent flow in the frontal region, the vorticity balance is examined. It is shown that anticyclonic (cyclonic) vorticity advection north (south) of the front by the mean cross-isotherm confluence is in balance with the sum of cyclonic (anticyclonic) vorticity advection by the mean along-isotherm flow and cross-isotherm eddy-mean interaction.</t>
  </si>
  <si>
    <t>[Ohishi, Shun; Tozuka, Tomoki] Univ Tokyo, Grad Sch Sci, Dept Earth &amp; Planetary Sci, Tokyo, Japan; [Cronin, Meghan F.] NOAA, Pacific Marine Environm Lab, 7600 Sand Point Way Ne, Seattle, WA 98115 USA; [Ohishi, Shun] Nagoya Univ, Inst Space Earth Environm Res, Nagoya, Aichi, Japan</t>
  </si>
  <si>
    <t>University of Tokyo; National Oceanic Atmospheric Admin (NOAA) - USA; Nagoya University</t>
  </si>
  <si>
    <t>Ohishi, S (corresponding author), Nagoya Univ, Inst Space Earth Environm Res, Nagoya, Aichi, Japan.</t>
  </si>
  <si>
    <t>ohishi@isee.nagoya-u.ac.jp</t>
  </si>
  <si>
    <t>Tozuka, Tomoki/A-1805-2009; Cronin, Meghan F./M-3155-2018</t>
  </si>
  <si>
    <t>Tozuka, Tomoki/0000-0001-6738-1299; Cronin, Meghan F./0000-0002-4703-8132; Ohishi, Shun/0000-0003-4043-8886</t>
  </si>
  <si>
    <t>Nippon Foundation; Japan Society for Promotion of Science [JP16H01589]; Grants-in-Aid for Scientific Research [16H01589] Funding Source: KAKEN</t>
  </si>
  <si>
    <t>Nippon Foundation(Nippon Foundation); Japan Society for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</si>
  <si>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two anonymous reviewers for their constructive comments. Numerous comments from Drs. Yasuda, Masumoto, Hibiya, and Nakamura at the University of Tokyo also helped us improve our manuscript. We gratefully acknowledge the National Center for Atmospheric Research for providing outputs from the CESM. This study was conducted partially by the overseas internship project of the University of Tokyo Ocean Alliance with the financial support of the Nippon Foundation and supported by the Japan Society for Promotion of Science through Grant-in-Aid for Scientific Research on Innovative Areas (Grant Number JP16H01589). This is PMEL Publication 4628.</t>
  </si>
  <si>
    <t>10.1175/JPO-D-17-0038.1</t>
  </si>
  <si>
    <t>WOS:000417674100003</t>
  </si>
  <si>
    <t>Misic, C; Harriague, AC; Giglio, F; La Ferla, R; Rappazzo, AC; Azzaro, M</t>
  </si>
  <si>
    <t>Misic, C.; Harriague, A. Covazzi; Giglio, F.; La Ferla, R.; Rappazzo, A. C.; Azzaro, M.</t>
  </si>
  <si>
    <t>Relationships between electron transport system (ETS) activity and particulate organic matter features in three areas of the Ross Sea (Antarctica)</t>
  </si>
  <si>
    <t>ETS activity; Particulate organic carbon; Proteins; Carbohydrates; Ross Sea; Antarctica</t>
  </si>
  <si>
    <t>BIOCHEMICAL-COMPOSITION; METABOLIC BALANCE; WATER COLUMN; DEEP-SEA; RESPIRATION; SUMMER; CARBON; VARIABILITY; PLANKTON; MICROPLANKTON</t>
  </si>
  <si>
    <t>Electron transport system activity (ETSa) and particulate organic matter (POM) concentrations and composition were measured in three areas of the continental shelf of the Ross Sea during summer 2014, in the framework of the Ross Sea Mesoscale Experiment (ROME) project. We aimed at testing whether in the epipelagic layer (0-200 m) ETS showed different activity depending on the geographical position and on the different hydrological structures that characterised each area, as eddy and fronts, and whether the ETSa of the microplanktonic fraction depended on POM quantitative and qualitative features. ETSa showed differences between the three areas, but within each of them the different hydrological conditions did not influence significantly the respiration activity. ETSa displayed significant correlations with POM, especially in the offshore areas characterised by residual ice influence and by a mesoscale eddy structure. In these zones ETSa was enhanced by good trophic value of POM, i.e. showing dominance of proteins and PON over structural carbohydrates and POC, respectively. The role of the phytoplanktonic fraction in ETSa was higher in the eddy-influenced area, that showed significantly higher chlorophyll-a concentrations. On the other hand, in the area placed coastward, the relationships between ETSa and POM changed. High ETSa were found in the subsurface layer and down to 100 m depth and were related to more refractory POM, whose utilization would require higher energy. Different ETSa-POM relationships were consistent with the anomalous phytoplanktonic bloom detected in the coastward area, characterised by Phaeocystis. Thus, the anomalies of the primary producers are reflected by changes in POM respiration and potential C utilization.</t>
  </si>
  <si>
    <t>[Misic, C.; Harriague, A. Covazzi] Univ Genoa, Dipartimento Sci Terra Ambiente &amp; Vita, Cso Europa 26, I-16132 Genoa, Italy; [Giglio, F.] Natl Res Council Italy, Ist Sci Marine ISMAR, Via Gobetti 101, I-40129 Bologna, Italy; [La Ferla, R.; Rappazzo, A. C.; Azzaro, M.] Natl Res Council Italy, IAMC, Spianata S Raineri 86, I-98122 Messina, Italy</t>
  </si>
  <si>
    <t>University of Genoa; Consiglio Nazionale delle Ricerche (CNR); Istituto di Scienze Marine (ISMAR-CNR); Consiglio Nazionale delle Ricerche (CNR); L'Istituto per l'Ambiente Marino Costiero (IAMC-CNR)</t>
  </si>
  <si>
    <t>Misic, C (corresponding author), Univ Genoa, Dipartimento Sci Terra Ambiente &amp; Vita, Cso Europa 26, I-16132 Genoa, Italy.</t>
  </si>
  <si>
    <t>misic@clipteris.unige.it</t>
  </si>
  <si>
    <t>azzaro, Maurizio/AAE-6784-2019</t>
  </si>
  <si>
    <t>azzaro, Maurizio/0000-0001-7885-2340; MISIC, CRISTINA/0000-0002-2577-1800; la ferla, rosabruna/0000-0003-1029-7349</t>
  </si>
  <si>
    <t>Italian National Program for Antarctic Research [2013/AN2.04, 2013/AZ1.06]</t>
  </si>
  <si>
    <t>Italian National Program for Antarctic Research</t>
  </si>
  <si>
    <t>This study was conducted in the framework of the project Ross Sea Mesoscale Experiment (ROME) (PNRA, 2013/AN2.04) and CEFA project (PNRA, 2013/AZ1.06), funded by the Italian National Program for Antarctic Research. We would like to thank the captain and crew of the R/V Italica for their assistance during the cruise. We are grateful to E. Olivari, who sampled for the POM variables, and to the researchers of the Dipartimento di Scienze e Tecnologie, University of Naples Parthenope, who kindly provided the sigma-t data.</t>
  </si>
  <si>
    <t>10.1016/j.seares.2017.09.003</t>
  </si>
  <si>
    <t>FK6IO</t>
  </si>
  <si>
    <t>WOS:000413607500006</t>
  </si>
  <si>
    <t>Sampaio, DS; Almeida, JRB; de Jesus, HE; Rosado, AS; Seldin, L; Jurelevicius, D</t>
  </si>
  <si>
    <t>Sampaio, Dayanna Souza; Barboza Almeida, Juliana Rodrigues; de Jesus, Hugo E.; Rosado, Alexandre S.; Seldin, Lucy; Jurelevicius, Diogo</t>
  </si>
  <si>
    <t>Distribution of Anaerobic Hydrocarbon-Degrading Bacteria in Soils from King George Island, Maritime Antarctica</t>
  </si>
  <si>
    <t>Anaerobic bacterial community; Anaerobic hydrocarbon-degrading bacterial population; Adenosine 5 '-phosphosulphate reductase; Alkyl- and benzyl-succinate synthase; Benzoyl-CoA reductase; Antarctic soils</t>
  </si>
  <si>
    <t>AROMATIC-COMPOUNDS; REDUCING BACTERIA; FUNCTIONAL MARKER; COASTAL SEDIMENTS; VASCULAR PLANTS; SYNTHASE GENES; BSSA GENES; BAMA GENE; DIVERSITY; DEGRADATION</t>
  </si>
  <si>
    <t>Anaerobic diesel fuel Arctic (DFA) degradation has already been demonstrated in Antarctic soils. However, studies comparing the distribution of anaerobic bacterial groups and of anaerobic hydrocarbon-degrading bacteria in Antarctic soils containing different concentrations of DFA are scarce. In this study, functional genes were used to study the diversity and distribution of anaerobic hydrocarbon-degrading bacteria (bamA, assA, and bssA) and of sulfate-reducing bacteria (SRB-apsR) in highly, intermediate, and non-DFA-contaminated soils collected during the summers of 2009, 2010, and 2011 from King George Island, Antarctica. Signatures of bamA genes were detected in all soils analyzed, whereas bssA and assA were found in only 4 of 10 soils. The concentration of DFA was the main factor influencing the distribution of bamA-containing bacteria and of SRB in the analyzed soils, as shown by PCR-DGGE results. bamA sequences related to genes previously described in Desulfuromonas, Lautropia, Magnetospirillum, Sulfuritalea, Rhodovolum, Rhodomicrobium, Azoarcus, Geobacter, Ramlibacter, and Gemmatimonas genera were dominant in King George Island soils. Although DFA modulated the distribution of bamA-hosting bacteria, DFA concentration was not related to bamA abundance in the soils studied here. This result suggests that King George Island soils show functional redundancy for aromatic hydrocarbon degradation. The results obtained in this study support the hypothesis that specialized anaerobic hydrocarbon-degrading bacteria have been selected by hydrocarbon concentrations present in King George Island soils.</t>
  </si>
  <si>
    <t>[Sampaio, Dayanna Souza; Barboza Almeida, Juliana Rodrigues; de Jesus, Hugo E.; Rosado, Alexandre S.; Seldin, Lucy; Jurelevicius, Diogo] Univ Fed Rio de Janeiro, Inst Microbiol Prof Paulo de Goes, Rio De Janeiro, RJ, Brazil; [Jurelevicius, Diogo] Univ Fed Rio de Janeiro, Inst Microbiol Paulo de Goes IMPPG, Dept Microbiol Geral, Ctr Ciencias Saude,Lab Genet Microbiana,Ilha Fund, Bloco 1, BR-21941590 Rio De Janeiro, Brazil</t>
  </si>
  <si>
    <t>Universidade Federal do Rio de Janeiro; Universidade Federal do Rio de Janeiro</t>
  </si>
  <si>
    <t>Jurelevicius, D (corresponding author), Univ Fed Rio de Janeiro, Inst Microbiol Prof Paulo de Goes, Rio De Janeiro, RJ, Brazil.;Jurelevicius, D (corresponding author), Univ Fed Rio de Janeiro, Inst Microbiol Paulo de Goes IMPPG, Dept Microbiol Geral, Ctr Ciencias Saude,Lab Genet Microbiana,Ilha Fund, Bloco 1, BR-21941590 Rio De Janeiro, Brazil.</t>
  </si>
  <si>
    <t>diogoj@micro.ufrj.br</t>
  </si>
  <si>
    <t>Seldin, Lucy/S-2530-2019; Rosado, Alexandre Soares/G-1955-2012; Jurelevicius, Diogo A/I-8235-2014</t>
  </si>
  <si>
    <t>Seldin, Lucy/0000-0002-4992-6395; Rosado, Alexandre Soares/0000-0001-5135-1394;</t>
  </si>
  <si>
    <t>Conselho Nacional de Desenvolvimento Cientifico e Tecnologico (CNPq); Coordenacao de Aperfeicoamento de Pessoal de Nivel Superior (CAPES); Fundacao de Amparo a Pesquisa do Estado do Rio de Janeiro (FAPERJ); Brazilian Antarctic Program, PROANTAR [403, 520194/2006-3]</t>
  </si>
  <si>
    <t>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 Brazilian Antarctic Program, PROANTAR</t>
  </si>
  <si>
    <t>We thank Juliano Cury for providing the Antarctic soil samples. This study was supported by grants from Conselho Nacional de Desenvolvimento Cientifico e Tecnologico (CNPq), Coordenacao de Aperfeicoamento de Pessoal de Nivel Superior (CAPES), and Fundacao de Amparo a Pesquisa do Estado do Rio de Janeiro (FAPERJ) and received financial and logistic support from the Brazilian Antarctic Program, PROANTAR, as part of the IPY Activity no. 403 MIDIAPI Microbial Diversity of Terrestrial and Maritime ecosystems in Antarctic Peninsula (520194/2006-3).</t>
  </si>
  <si>
    <t>10.1007/s00248-017-0973-3</t>
  </si>
  <si>
    <t>FK6OM</t>
  </si>
  <si>
    <t>WOS:000413625100007</t>
  </si>
  <si>
    <t>Weinstein, BG; Friedlaender, AS</t>
  </si>
  <si>
    <t>Weinstein, Ben G.; Friedlaender, Ari S.</t>
  </si>
  <si>
    <t>Dynamic foraging of a top predator in a seasonal polar marine environment</t>
  </si>
  <si>
    <t>OECOLOGIA</t>
  </si>
  <si>
    <t>Antarctica; Antarctic krill; Bayesian movement model; Humpback whales; Sea ice</t>
  </si>
  <si>
    <t>HUMPBACK WHALES; ANTARCTIC PENINSULA; MIGRATION; BEHAVIOR; KRILL; PATTERNS; MODELS; ICE</t>
  </si>
  <si>
    <t>They seasonal movement of animals at broad spatial scales provides insight into life-history, ecology and conservation. By combining high-resolution satellite-tagged data with hierarchical Bayesian movement models, we can associate spatial patterns of movement with marine animal behavior. We used a multi-state mixture model to describe humpback whale traveling and area-restricted search states as they forage along the West Antarctic Peninsula. We estimated the change in the geography, composition and characteristics of these behavioral states through time. We show that whales later in the austral fall spent more time in movements associated with foraging, traveled at lower speeds between foraging areas, and shifted their distribution northward and inshore. Seasonal changes in movement are likely due to a combination of sea ice advance and regional shifts in the primary prey source. Our study is a step towards dynamic movement models in the marine environment at broad scales.</t>
  </si>
  <si>
    <t>[Weinstein, Ben G.; Friedlaender, Ari S.] Oregon State Univ, Dept Fisheries &amp; Wildlife, Marine Mammal Inst, 2030 Marine Sci Dr, Newport, OR 97365 USA</t>
  </si>
  <si>
    <t>Oregon State University</t>
  </si>
  <si>
    <t>Weinstein, BG (corresponding author), Oregon State Univ, Dept Fisheries &amp; Wildlife, Marine Mammal Inst, 2030 Marine Sci Dr, Newport, OR 97365 USA.</t>
  </si>
  <si>
    <t>weinsteb@oregonstatude.edu</t>
  </si>
  <si>
    <t>Weinstein, Ben/0000-0002-2176-7935</t>
  </si>
  <si>
    <t>Antarctic Wildlife Research Fund [ANT-0823101]; NSF OPP National Science Foundation [ANT-0823101, 1250208, 1440435]; International Whaling Commission; Southern Ocean Research Partnership awards [NMFS 14907, 14809, 14856]; ACA [2009013, 2015-011]; Duke University [IACUC A049-122-02, OSU ACUP 4513]; Australian Antarctic Division; Directorate For Geosciences; Office of Polar Programs (OPP) [1250208] Funding Source: National Science Foundation</t>
  </si>
  <si>
    <t>Antarctic Wildlife Research Fund; NSF OPP National Science Foundation; International Whaling Commission; Southern Ocean Research Partnership awards; ACA; Duke University; Australian Antarctic Division; Directorate For Geosciences; Office of Polar Programs (OPP)(National Science Foundation (NSF)NSF - Directorate for Geosciences (GEO))</t>
  </si>
  <si>
    <t>Research was supported by Antarctic Wildlife Research Fund (ANT-0823101), NSF OPP National Science Foundation ANT-0823101, 1250208, and 1440435, International Whaling Commission, and the Southern Ocean Research Partnership awards under permits: NMFS 14907, 14809, and 14856, ACA Permits 2009013 and 2015-011, Duke University IACUC A049-122-02 and OSU ACUP 4513. We are grateful to the Australian Antarctic Division for their support of this research, with special thanks to Nick Gales, Mike Double, Elanor Bell, and Virginia Andrews-Goff. Thanks to Rodolfo Werner for his stimulating feedback. Source code and data visualizations are available on github (https://bw4sz.github.io/WhaleShape/).</t>
  </si>
  <si>
    <t>0029-8549</t>
  </si>
  <si>
    <t>1432-1939</t>
  </si>
  <si>
    <t>Oecologia</t>
  </si>
  <si>
    <t>10.1007/s00442-017-3949-6</t>
  </si>
  <si>
    <t>FK7MO</t>
  </si>
  <si>
    <t>WOS:000413691100010</t>
  </si>
  <si>
    <t>Grygar, TM; Hosek, M; Mach, K; Schnabl, P; Martinez, M</t>
  </si>
  <si>
    <t>Grygar, T. Matys; Hosek, M.; Mach, K.; Schnabl, P.; Martinez, M.</t>
  </si>
  <si>
    <t>Climatic instability before the Miocene Climatic Optimum reflected in a Central European lacustrine record from the Most Basin in the Czech Republic</t>
  </si>
  <si>
    <t>MCO; Lacustrine; Siliciclastic; Chemostratigraphy; Cyclostratigraphy; Magnetostratigraphy</t>
  </si>
  <si>
    <t>PHOSPHATE-SULFATE MINERALS; ANTARCTIC ICE-SHEET; EGER GRABEN; MID-MIOCENE; NE SPAIN; SEDIMENTS; EVOLUTION; DEPOSITS; SYSTEM; CHINA</t>
  </si>
  <si>
    <t>The work investigates the extensive freshwater lacustrine deposits of the Most Formation, which formed in the period between 17.7 Ma and ca. 15.9 Ma, in order to describe climate changes just before the Miocene Climatic Optimum (MCO). The Most Basin, an incipient rift within the European Cenozoic Rift System, exhibited a sedimentary environment that was sufficiently stable to preserve orbital signatures of environmental changes. Changes in the mineral composition of the sediments were characterised in terms of variations in their elemental composition, particularly their Al/Si and K/Ti element ratios and Fe, Sr, and Zr elemental abundances, which were efficiently obtained using X-ray fluorescence spectroscopy with a density of 3-4 samples per metre of core (approximately 15-20 samples per precession cycle). The sediments are distinguished by the presence of distinct and correlated horizons (1-10 cm thick) containing Sr, Ba-rich crandallite, a mineral from the aluminium-phosphate -sulphate (APS) group. Chemo-, magneto-, and cyclostratigraphy were used to correlate eight cores with lengths up to 240 m and to date the sediment; discrepancies at scales of up to two precession cycles (each ca. 20 kyr, typically-4 m per cycle) were observed. The primary age model was based on magnetic polarity analysis (5 reversals) and later refined at the metre scale using cyclostratigraphy. We interpret the onset of the basin wide lacustrine phase in the Most Basin as being a consequence of the enhanced input of fluvial clastic sediment to the former peat swamps during the high-eccentricity period at 17.7-17.55 Ma, i.e., immediately after the initial decay of the East Antarctic ice sheet according to Levy et al. (2016). The most important environmental change recorded by the lacustrine interval in the Most Basin occurred at 16.44 Ma during an eccentricity maximum and is nearly coeval with further shrinkage of the East Antarctic ice sheet. The second stage of monotonous lacustrine deposition, which exhibited enhanced precession-controlled compositional variability in 16.1-16.0 Ma witnessed the onset of the MCO. Sediments younger than 15.9 Ma are missing due to erosional removal after subsequent basin inversion. The sediments of the Most Formation represent an archive of environmental change in central Europe during the early stages of the MCO and have a temporal resolution ca. 5 kyr. (C) 2017 Elsevier B.V. All rights reserved.</t>
  </si>
  <si>
    <t>[Grygar, T. Matys; Hosek, M.] Inst Inorgan Chem AS CR, Vvi, Rez 25068, Czech Republic; [Mach, K.] North Bohemian Mines, Jsc, Ul 5 Kvetna 2013, Bilina 41801, Czech Republic; [Schnabl, P.] CAS, Vvi, Inst Geol, Prague, Czech Republic; [Martinez, M.] Univ Bremen, MARUM, Bremen, Germany</t>
  </si>
  <si>
    <t>Czech Academy of Sciences; Institute of Inorganic Chemistry of the Czech Academy of Sciences; Czech Academy of Sciences; Institute of Geology of the Czech Academy of Sciences; University of Bremen</t>
  </si>
  <si>
    <t>Grygar, TM (corresponding author), Inst Inorgan Chem AS CR, Vvi, Rez 25068, Czech Republic.</t>
  </si>
  <si>
    <t>grygar@iic.cas.cz</t>
  </si>
  <si>
    <t>Martinez, Mathieu/AAA-7127-2020; Hosek, Michal/KFG-5600-2024; Hosek, Martin/K-9805-2018; Schnabl, Petr/I-7125-2012</t>
  </si>
  <si>
    <t>Martinez, Mathieu/0000-0003-0741-2940; Hosek, Martin/0000-0002-6044-8910; Schnabl, Petr/0000-0003-0654-0449; Hosek, Michal/0000-0002-2951-0982; Matys Grygar, Tomas/0000-0003-0931-0390</t>
  </si>
  <si>
    <t>Czech Science Foundation GACR [16-00800S]</t>
  </si>
  <si>
    <t>Czech Science Foundation GACR(Grant Agency of the Czech Republic)</t>
  </si>
  <si>
    <t>The research was funded by the Czech Science Foundation GACR (project number 16-00800S). The research is in accordance with the research plans of the Institute of Inorganic Chemistry, AS CR (IIC) and the Institute of Geology of the CAS (GII). Sample processing and geochemical analyses were performed by Petr Vorm and Zuzana Hajkova (IIC). We would like to thank to our colleagues Kristyna Cizkova, Simon Kdyr, Jiri Petracek, and Petr Pruner (GII) for their help with processing and interpretation of the paleomagnetic data. The work would not be possible without the systematic work of local geologists who participated in extensive geological surveys in the former Czechoslovakia from the 1960s through the 1980s and publicised their results only in reports and local seminars; some of those geologists were employed by North Bohemian Mines, j.s.c. and its predecessor enterprises. The finals shape of the manuscript was kindly improved by two reviewers (Ch. Zeeden and one anonymous) and the journal editor (P. Hesse).</t>
  </si>
  <si>
    <t>10.1016/j.palaeo.2017.08.011</t>
  </si>
  <si>
    <t>FS4GT</t>
  </si>
  <si>
    <t>WOS:000419747400069</t>
  </si>
  <si>
    <t>Rippert, N; Max, L; Mackensen, A; Cacho, I; Povea, P; Tiedemann, R</t>
  </si>
  <si>
    <t>Rippert, Nadine; Max, Lars; Mackensen, Andreas; Cacho, Isabel; Povea, Patricia; Tiedemann, Ralf</t>
  </si>
  <si>
    <t>Alternating Influence of Northern Versus Southern-Sourced Water Masses on the Equatorial Pacific Subthermocline During the Past 240 ka</t>
  </si>
  <si>
    <t>PALEOCEANOGRAPHY</t>
  </si>
  <si>
    <t>ANTARCTIC INTERMEDIATE WATER; BERING-SEA; DEEP-WATER; PLANKTONIC-FORAMINIFERA; TROPICAL PACIFIC; UVIGERINA-PEREGRINA; OCEAN CIRCULATION; EXPORT PRODUCTION; WESTERN PACIFIC; STABLE-ISOTOPES</t>
  </si>
  <si>
    <t>The eastern equatorial Pacific (EEP) is a key area to understand past oceanic processes that control atmospheric CO2 concentrations. Many studies argue for higher nutrient concentrations by enhanced nutrient transfer via Southern Ocean Intermediate Water (SOIW) to the low-latitude Pacific during glacials. Recent studies, however, argue against SOIW as the primary nutrient source, at least during early Marine Isotope Stage 2 (MIS 2), as proxy data indicate that nutrients are better utilized in the Southern Ocean under glacial conditions. New results from the subarctic Pacific suggest that enhanced convection of nutrient-rich Glacial North Pacific Intermediate Water (GNPIW) contributes to changes in nutrient concentrations in equatorial subthermocline water masses during MIS 2. However, the interplay between SOIW versus GNPIW and its influence on the nutrient distribution in the EEP spanning more than one glacial cycle are still not understood. We present a carbon isotope (delta C-13) record of subthermocline waters derived from deep-dwelling planktonic foraminifera Globorotaloides hexagonus in the EEP, which is compared with published delta C-13 records around the Pacific. Results indicate enhanced influence of GNPIW during MIS 6 and MIS 2 compared to today with largest contributions of northern-sourced intermediate waters during glacial maxima. These observations suggest a mechanistic link between relative contributions of northern and southern intermediate waters and past EEP nutrient concentrations. A switch from increased GNPIW (decreased SOIW) to diminished GNPIW (enhanced SOIW) influence on equatorial subthermocline waters is recognized during glacial terminations and marks changes to modern-like conditions in nutrient concentrations and biological productivity in the EEP.</t>
  </si>
  <si>
    <t>[Rippert, Nadine; Max, Lars; Mackensen, Andreas; Tiedemann, Ralf] Alfred Wegener Inst, Helmholtz Zentrum Polar &amp; Meeresforsch, Bremerhaven, Germany; [Cacho, Isabel; Povea, Patricia] Univ Barcelona, Dept Dinam Terra &amp; Ocea, Grp Recerca Consolidat Geociencies Marines, Barcelona, Spain</t>
  </si>
  <si>
    <t>Helmholtz Association; Alfred Wegener Institute, Helmholtz Centre for Polar &amp; Marine Research; University of Barcelona</t>
  </si>
  <si>
    <t>Rippert, N (corresponding author), Alfred Wegener Inst, Helmholtz Zentrum Polar &amp; Meeresforsch, Bremerhaven, Germany.</t>
  </si>
  <si>
    <t>nadine.rippert@gmail.com</t>
  </si>
  <si>
    <t>Cacho, Isabel/H-4402-2013; Cacho, Isabel/AAX-2610-2021; Rippert, Nadine/N-4820-2017; Mackensen, Andreas/J-8600-2013; Povea, Patricia/G-5756-2015</t>
  </si>
  <si>
    <t>Cacho, Isabel/0000-0002-6512-0770; Cacho, Isabel/0000-0002-6512-0770; Rippert, Nadine/0000-0003-1189-9464; Mackensen, Andreas/0000-0002-5024-4455; Tiedemann, Ralf/0000-0001-7211-8049; Max, Lars/0000-0002-8637-4032; Povea, Patricia/0000-0001-6553-2890</t>
  </si>
  <si>
    <t>U.S. National Science Foundation (NSF); German Ministry for Education and Research (BMBF-Bundesministerium fur Bildung und Forschung) [03G0225B]; Helmholtz Climate Initiative REKLIM (Regional climate change)</t>
  </si>
  <si>
    <t>U.S. National Science Foundation (NSF)(National Science Foundation (NSF)); German Ministry for Education and Research (BMBF-Bundesministerium fur Bildung und Forschung); Helmholtz Climate Initiative REKLIM (Regional climate change)</t>
  </si>
  <si>
    <t>This research used samples provided by the Ocean Drilling Program (ODP). ODP is sponsored by the U.S. National Science Foundation (NSF) and participating countries under the management of Joint Oceanographic Institutions (JOI), Inc. We are grateful to L. Schonborn and G. Meyer for conducting stable isotope measurements at the AWI stable isotope lab. N.R. was funded by the German Ministry for Education and Research (BMBF-Bundesministerium fur Bildung und Forschung) in the framework of the joint project Manihiki II (03G0225B). LM. received funding through the Helmholtz Climate Initiative REKLIM (Regional climate change). The data of this study are available at PANGEA (URL: http://www.pangaea.de; https://doi.pangaea.de/10.1594/PANGAEA.882520).</t>
  </si>
  <si>
    <t>0883-8305</t>
  </si>
  <si>
    <t>1944-9186</t>
  </si>
  <si>
    <t>Paleoceanography</t>
  </si>
  <si>
    <t>10.1002/2017PA003133</t>
  </si>
  <si>
    <t>FQ2EN</t>
  </si>
  <si>
    <t>Green Submitted, hybrid, Green Published</t>
  </si>
  <si>
    <t>WOS:000418169800011</t>
  </si>
  <si>
    <t>Pierangelini, M; Rysánek, D; Lang, I; Adlassnig, W; Holzinger, A</t>
  </si>
  <si>
    <t>Pierangelini, Mattia; Rysanek, David; Lang, Ingeborg; Adlassnig, Wolfram; Holzinger, Andreas</t>
  </si>
  <si>
    <t>Terrestrial adaptation of green algae Klebsormidium and Zygnema (Charophyta) involves diversity in photosynthetic traits but not in CO2 acquisition</t>
  </si>
  <si>
    <t>PLANTA</t>
  </si>
  <si>
    <t>Desiccation; Green algae; Light; Photosynthesis</t>
  </si>
  <si>
    <t>CYCLIC ELECTRON FLOW; CARBON-CONCENTRATING MECHANISMS; SOIL CRUST; CO2-CONCENTRATING MECHANISMS; PHOTOPROTECTION MECHANISMS; ISOTOPE DISCRIMINATION; DESICCATION STRESS; ANTARCTIC STRAINS; CHLOROPHYLL-A; ELEVATED CO2</t>
  </si>
  <si>
    <t>The basal streptophyte Klebsormidium and the advanced Zygnema show adaptation to terrestrialization. Differences are found in photoprotection and resistance to short-term light changes, but not in CO (2) acquisition. Streptophyte green algae colonized land about 450-500 million years ago giving origin to terrestrial plants. We aim to understand how their physiological adaptations are linked to the ecological conditions (light, water and CO2) characterizing modern terrestrial habitats. A new Klebsormidium isolate from a strongly acidic environment of a former copper mine (Schwarzwand, Austria) is investigated, in comparison to Klebsormidium cf. flaccidum and Zygnema sp. We show that these genera possess different photosynthetic traits and water requirements. Particularly, the Klebsormidium species displayed a higher photoprotection capacity, concluded from non-photochemical quenching (NPQ) and higher tolerance to high light intensity than Zygnema. However, Klebsormidium suffered from photoinhibition when the light intensity in the environment increased rapidly, indicating that NPQ is involved in photoprotection against strong and stable irradiance. Klebsormidium was also highly resistant to cellular water loss (dehydration) under low light. On the other hand, exposure to relatively high light intensity during dehydration caused a harmful over-reduction of the electron transport chain, leading to PSII damages and impairing the ability to recover after rehydration. Thus, we suggest that dehydration is a selective force shaping the adaptation of this species towards low light. Contrary to the photosynthetic characteristics, the inorganic carbon (C (i) ) acquisition was equivalent between Klebsormidium and Zygnema. Despite their different habitats and restriction to hydro-terrestrial environment, the three organisms showed similar use of CO2 and HCO3 (-) as source of C-i for photosynthesis, pointing out a similar adaptation of their CO2-concentrating mechanisms to terrestrial life.</t>
  </si>
  <si>
    <t>[Pierangelini, Mattia; Holzinger, Andreas] Univ Innsbruck, Dept Bot, Funct Plant Biol, A-6020 Innsbruck, Austria; [Rysanek, David] Charles Univ Prague, Dept Bot, Fac Sci, Benatska 2, Prague 12801 2, Czech Republic; [Rysanek, David] CAS, Lab Environm Microbiol, Inst Microbiol, Vvi, Prumyslova 595, Vestec 25242, Czech Republic; [Lang, Ingeborg; Adlassnig, Wolfram] Univ Vienna, Fac Life Sci, Core Facil Cell Imaging &amp; Ultrastruct Res, Althanstr 14, A-1090 Vienna, Austria</t>
  </si>
  <si>
    <t>University of Innsbruck; Charles University Prague; Czech Academy of Sciences; Institute of Microbiology of the Czech Academy of Sciences; University of Vienna</t>
  </si>
  <si>
    <t>Holzinger, A (corresponding author), Univ Innsbruck, Dept Bot, Funct Plant Biol, A-6020 Innsbruck, Austria.</t>
  </si>
  <si>
    <t>Andreas.Holzinger@uibk.ac.at</t>
  </si>
  <si>
    <t>Ryšánek, David/G-8312-2018; Holzinger, Andreas/Z-2659-2019</t>
  </si>
  <si>
    <t>Holzinger, Andreas/0000-0002-7745-3978; Lang, Ingeborg/0000-0002-7857-9580</t>
  </si>
  <si>
    <t>Austrian Science Fund (FWF) [P 24242-B16, I 1951-B16]; Czech Science Foundation [15-34645 L]; Charles University Science Foundation [GAUK] [1544214]; Austrian Science Fund (FWF) [I1951, P27083] Funding Source: Austrian Science Fund (FWF)</t>
  </si>
  <si>
    <t>Austrian Science Fund (FWF)(Austrian Science Fund (FWF)); Czech Science Foundation(Grant Agency of the Czech Republic); Charles University Science Foundation [GAUK]; Austrian Science Fund (FWF)(Austrian Science Fund (FWF))</t>
  </si>
  <si>
    <t>Open access funding provided by Austrian Science Fund (FWF). We thank the two anonymous reviewers for the constructive comments. We also kindly acknowledge technical help of Beatrix Jungwirth in cell culturing and Thomas Roach (University of Innsbruck) for useful comments provided. Sabrina Obwegeser is thanked for help in TEM sectioning. This study was supported by the Austrian Science Fund (FWF) Projects P 24242-B16 and I 1951-B16 to AH. David Rysanek was supported by the Czech Science Foundation Grant 15-34645 L to Martina Pichrtova, Charles University, Prague, and by Charles University Science Foundation [GAUK no. 1544214].</t>
  </si>
  <si>
    <t>0032-0935</t>
  </si>
  <si>
    <t>1432-2048</t>
  </si>
  <si>
    <t>Planta</t>
  </si>
  <si>
    <t>10.1007/s00425-017-2741-5</t>
  </si>
  <si>
    <t>FJ3UR</t>
  </si>
  <si>
    <t>WOS:000412658200011</t>
  </si>
  <si>
    <t>von der Meden, CEO; Atkinson, LJ; Branch, GM; Asdar, S; Ansorge, IJ; van den Berg, M</t>
  </si>
  <si>
    <t>von der Meden, C. E. O.; Atkinson, L. J.; Branch, G. M.; Asdar, S.; Ansorge, I. J.; van den Berg, M.</t>
  </si>
  <si>
    <t>Long-term change in epibenthic assemblages at the Prince Edward Islands: a comparison between 1988 and 2013</t>
  </si>
  <si>
    <t>Historical photography; Benthic; Climate change; Southern Ocean; Marion Island; Lanice marionensis</t>
  </si>
  <si>
    <t>SHRIMP NAUTICARIS-MARIONIS; SUB-ANTARCTIC ARCHIPELAGO; ABYSSAL NORTHEAST PACIFIC; MARINE FOOD WEBS; SOUTHERN-OCEAN; CLIMATE-CHANGE; COMMUNITY STRUCTURE; HABITAT HETEROGENEITY; TEMPORAL VARIABILITY; BENTHIC ECOSYSTEMS</t>
  </si>
  <si>
    <t>As proxies and indicators of environmental conditions, offshore benthic assemblages are pertinent to understanding global change. To investigate long-term change in epibenthic assemblages, we compared digitally reprocessed historical (1988) and repeat (2013) benthic survey photographs from nearshore (40-130 m) and interisland locations (140-500 m) at the sub-Antarctic Prince Edward Islands. Given changing interactions between regional oceanography and terrestrially influenced productivity at the islands, temporal change in the benthos is likely, and is expected to be dependent on proximity to the islands (nearshore vs. inter-island). Multivariate PERMANOVA analyses identified a significant interaction effect on epibenthic assemblages (Year 9 Location), with significant dispersion effects defining temporal differences within the inter-island region but not in the nearshore area. Differences in epibenthic assemblages observed between 1988 and 2013 were found to be driven primarily by increased abundances of several common suspension feeding taxa, including a significant increase in the density of a key bioengineering species, the polychaete Lanice marionensis. These higher abundances are congruent with local trophic evidence of long-term, climate-related shifts towards greater allochthonous food supply to the benthos. Given this congruence, a unifying explanation for the observed temporal differences in epibenthic assemblages is that long-term alteration of the position of the subAntarctic Front has changed the local primary productivity regime and hence the flux of food to the benthos. This study provides the first direct support for the notion of long-term change in epibenthic assemblage composition at the islands.</t>
  </si>
  <si>
    <t>[von der Meden, C. E. O.; Atkinson, L. J.] South African Environm Observat Network, Egagasini Node, 5th Flr Foretrust Bldg,Martin Hammerschlag Way, ZA-8001 Cape Town, South Africa; [Atkinson, L. J.; Branch, G. M.] Univ Cape Town, Marine Res Inst MaRe, Dept Biol Sci, ZA-7701 Rondebosch, South Africa; [Asdar, S.; Ansorge, I. J.] Univ Cape Town, Marine Res Inst MaRe, Dept Oceanog, Cape Town, South Africa; [van den Berg, M.] Dept Environm Affairs, Oceans &amp; Coastal Res Branch, Private Bag X4390, ZA-8000 Cape Town, South Africa</t>
  </si>
  <si>
    <t>National Research Foundation - South Africa; South African Environmental Observation Network (SAEON); University of Cape Town; University of Cape Town; Department of Environment, Forestry &amp; Fisheries</t>
  </si>
  <si>
    <t>von der Meden, CEO (corresponding author), South African Environm Observat Network, Egagasini Node, 5th Flr Foretrust Bldg,Martin Hammerschlag Way, ZA-8001 Cape Town, South Africa.</t>
  </si>
  <si>
    <t>vdmeden@hotmail.com</t>
  </si>
  <si>
    <t>ANSORGE, ISABELLE/AAY-7396-2020</t>
  </si>
  <si>
    <t>von der meden, Charles/0000-0002-0910-1612; Ansorge, Isabelle/0000-0001-7071-8147</t>
  </si>
  <si>
    <t>National Research Foundation Professional Development Program post-doctoral grant</t>
  </si>
  <si>
    <t>This research was conducted with the financial support of a National Research Foundation Professional Development Program post-doctoral grant. Additionally, the authors thank the South African National Antarctic Programme through the NRF and the Department of Environmental Affairs, with special thanks to Captain Gavin Syndercombe and the crew of the RV S. A. Agulhas II, Chief Scientist Sir, Dr Hans Verheye, and technicians Mr Hermann Engel and Mr Marco Worship (DEA). Thanks also go to Margo Branch for expert assistance with taxonomic identifications, and to Prof. Christopher McQuaid (Rhodes University), Ms Andrea Plos and Assoc. Prof. Colin Attwood (University of Cape Town) for their help in accessing historical photographs and data.</t>
  </si>
  <si>
    <t>10.1007/s00300-017-2132-1</t>
  </si>
  <si>
    <t>WOS:000415258700004</t>
  </si>
  <si>
    <t>Smith, KE; Aronson, RB; Thatje, S; Lovrich, GA; Amsler, MO; Steffel, BV; McClintock, JB</t>
  </si>
  <si>
    <t>Smith, Kathryn E.; Aronson, Richard B.; Thatje, Sven; Lovrich, Gustavo A.; Amsler, Margaret O.; Steffel, Brittan V.; McClintock, James B.</t>
  </si>
  <si>
    <t>Biology of the king crab Paralomis birsteini on the continental slope off the western Antarctic Peninsula</t>
  </si>
  <si>
    <t>Lithodidae; Paralomis; Southern Ocean; Briarosaccus; Ovigerous; Parasitism</t>
  </si>
  <si>
    <t>RHIZOCEPHALAN BRIAROSACCUS-CALLOSUS; FAMILY LITHODIDAE CRUSTACEA; PARALITHODES-PLATYPUS; BEAGLE CHANNEL; EMBRYO DEVELOPMENT; LIRIOPSIS-PYGMAEA; GRANULOSA; PARASITISM; ARGENTINA; DECAPODA</t>
  </si>
  <si>
    <t>Predatory king crabs (Lithodidae) structure benthic communities in their native habitats and cause shifts in the composition of benthic assemblages when introduced to new environments. Cold temperatures have apparently excluded skeleton-breaking predators from the continental shelf around Antarctica for millions of years, but recent increases in sea temperatures off the western Antarctic Peninsula (WAP) may be allowing lithodids to return. Imaging surveys have revealed dense populations of the lithodid Paralomis birsteini (Macpherson 1988) living on the continental slope off the WAP, but the biology of these populations remains poorly understood. We collected 51 adult P. birsteini in a trapping study on the slope off Marguerite Bay, WAP from depths of 1200-1400 m. Of the 51 crabs, 42 were males and 9 were females. Four females were ovigerous, carrying eggs at various stages of development. Rates of parasitism and limb regeneration were comparable to populations of lithodids elsewhere in the world, although the proportion of limb loss was relatively high. Externa of the parasite Briarosaccus callosus was obvious in both males and females, with one individual bearing hyperparasites (probably Liriopsis pygmaea). Gill necrosis was also observed in several dissected males. The success of contemporary lithodid populations on the Antarctic slope suggests they have the potential to expand upward to the continental shelf.</t>
  </si>
  <si>
    <t>[Smith, Kathryn E.; Aronson, Richard B.; Steffel, Brittan V.] Florida Inst Technol, Dept Biol Sci, 150 West Univ Blvd, Melbourne, FL 32901 USA; [Smith, Kathryn E.] Univ Exeter, Coll Life &amp; Environm Sci, Exeter EX4 4QD, Devon, England; [Thatje, Sven] Univ Southampton, Ocean &amp; Earth Sci, Natl Oceanog Ctr Southampton, European Way, Southampton SO14 3ZH, Hants, England; [Lovrich, Gustavo A.] Ctr Austral Invest Cient &amp; Tecn CADIC CONICET, Houssay 200,V9410CAB Ushuaia, Tierra Del Fuego, Argentina; [Amsler, Margaret O.; McClintock, James B.] Univ Alabama Birmingham, Dept Biol, Birmingham, AL 35294 USA</t>
  </si>
  <si>
    <t>Florida Institute of Technology; University of Exeter; University of Southampton; NERC National Oceanography Centre; University of Alabama System; University of Alabama Birmingham</t>
  </si>
  <si>
    <t>Smith, KE (corresponding author), Florida Inst Technol, Dept Biol Sci, 150 West Univ Blvd, Melbourne, FL 32901 USA.;Smith, KE (corresponding author), Univ Exeter, Coll Life &amp; Environm Sci, Exeter EX4 4QD, Devon, England.</t>
  </si>
  <si>
    <t>Smith, kathryn/KBC-9376-2024; Smith, Katie/G-5257-2014</t>
  </si>
  <si>
    <t>Lovrich, Gustavo/0000-0001-8424-6566; Smith, Katie/0000-0002-7240-1490; Steffel, Brittan/0000-0003-0477-8883</t>
  </si>
  <si>
    <t>U.S. National Science Foundation [ANT-1141877, ANT-1141896]; Endowed Professorship in Polar and Marine Biology from the University of Alabama at Birmingham; Office of Polar Programs (OPP); Directorate For Geosciences [1141877] Funding Source: National Science Foundation</t>
  </si>
  <si>
    <t>U.S. National Science Foundation(National Science Foundation (NSF)); Endowed Professorship in Polar and Marine Biology from the University of Alabama at Birmingham; Office of Polar Programs (OPP); Directorate For Geosciences(National Science Foundation (NSF)NSF - Directorate for Geosciences (GEO))</t>
  </si>
  <si>
    <t>We thank the captain and crew of the RV Laurence M. Gould, as well as J. W. Bailey, M. E. Deal, D. S. Ellis, W. R. James, K. McCaffrey, C. J. Randall, A. W. Randolph, D. Roccatagliata, T. Sayre-McCord, J. C. Schiferl, R. van Woesik, and K. Wicks, for assistance and logistical support. Our research was supported by the U.S. National Science Foundation under grants ANT-1141877 to R.B.A. and ANT-1141896 to J.B.M. Additional support derived from an Endowed Professorship in Polar and Marine Biology from the University of Alabama at Birmingham, held by J.B.M. This is contribution no. 189 from the Institute for Research on Global Climate Change at the Florida Institute of Technology.</t>
  </si>
  <si>
    <t>10.1007/s00300-017-2145-9</t>
  </si>
  <si>
    <t>Green Accepted, hybrid, Green Published</t>
  </si>
  <si>
    <t>WOS:000415258700016</t>
  </si>
  <si>
    <t>Corbeau, A; Bost, CA</t>
  </si>
  <si>
    <t>Corbeau, Alexandre; Bost, Charles-Andre</t>
  </si>
  <si>
    <t>A healthy, premoult adult king penguin (Aptenodytes patagonicus) with a markedly twisted beak</t>
  </si>
  <si>
    <t>DEFORMITIES; ISLAND; PREY; DIET</t>
  </si>
  <si>
    <t>[Corbeau, Alexandre; Bost, Charles-Andre] Univ La Rochelle, Ctr Etud Biol Chize, CNRS UMR 7372, 405 Route La Canauderie, F-79360 Villiers En Bois, France</t>
  </si>
  <si>
    <t>La Rochelle Universite; Centre National de la Recherche Scientifique (CNRS); CNRS - Institute of Ecology &amp; Environment (INEE)</t>
  </si>
  <si>
    <t>Corbeau, A (corresponding author), Univ La Rochelle, Ctr Etud Biol Chize, CNRS UMR 7372, 405 Route La Canauderie, F-79360 Villiers En Bois, France.</t>
  </si>
  <si>
    <t>alexandre.corbeau@hotmail.fr</t>
  </si>
  <si>
    <t>CORBEAU, Alexandre/0000-0002-7728-7199</t>
  </si>
  <si>
    <t>Institut Polaire Francais Paul-Emile Victor (IPEV, programme Oiseaux Plongeurs)</t>
  </si>
  <si>
    <t>The present work was supported financially and logistically by the Institut Polaire Francais Paul-Emile Victor (IPEV, programme Oiseaux Plongeurs, resp. C.-A. Bost) and was realised (Prog. 394) in agreement with the ethics committee of IPEV and with the authorisation of Prefect of the French Southern and Antarctic Lands (Terres Australes et Antarctiques Francaises-TAAF). We are especially indebted to Annette Scheffer for her help with the English.</t>
  </si>
  <si>
    <t>10.1017/S0032247417000559</t>
  </si>
  <si>
    <t>WOS:000426078800006</t>
  </si>
  <si>
    <t>Roland, TP; Amesbury, MJ; Wilkinson, DM; Charman, DJ; Convey, P; Hodgson, DA; Royles, J; Clauss, S; Völcker, E</t>
  </si>
  <si>
    <t>Roland, Thomas P.; Amesbury, Matthew J.; Wilkinson, David M.; Charman, Dan J.; Convey, Peter; Hodgson, Dominic A.; Royles, Jessica; Clauss, Steffen; Voelcker, Eckhard</t>
  </si>
  <si>
    <t>Taxonomic Implications of Morphological Complexity Within the Testate Amoeba Genus Corythion from the Antarctic Peninsula</t>
  </si>
  <si>
    <t>PROTIST</t>
  </si>
  <si>
    <t>Testate amoebae; taxonomy; Antarctica; palaeoecology; morphospecies; biogeography</t>
  </si>
  <si>
    <t>LATITUDINAL DIVERSITY GRADIENT; LIVING TERRESTRIAL PROTISTS; DWELLING TESTACEAN FAUNA; AMOEBOZOA ARCELLINIDA; CRYPTIC DIVERSITY; FUNCTIONAL TRAITS; SHELL MORPHOLOGY; RHIZOPODA; PROTOZOA; MOSS</t>
  </si>
  <si>
    <t>Precise and sufficiently detailed morphological taxonomy is vital in biology, for example in the accurate interpretation of ecological and palaeoecological datasets, especially in polar regions, where biodiversity is poor. Testate amoebae on the Antarctic Peninsula (AP) are well-documented and variations in their population size have recently been interpreted as a proxy for microbial productivity changes in response to recent regional climate change. AP testate amoeba assemblages are dominated by a small number of globally ubiquitous taxa. We examine morphological variation in Corythion spp. across the AP, finding clear evidence supporting the presence of two morphospecies. Corythion constricta (Certes 1889) was identified on the AP for the first time and has potentially been previously misidentified. Furthermore, a southerly trend of decreasing average test size in Corythion dubium (Taranek 1881) along the AP suggests adaptive polymorphism, although the precise drivers of this remain unclear, with analysis hindered by limited environmental data. Further work into morphological variation in Corythion is needed elsewhere, alongside molecular analyses, to evaluate the potential for (pseudo)cryptic diversity within the genus. We advocate a parsimonious taxonomical approach that recognises genetic diversity but also examines and develops accurate morphological divisions and descriptions suitable for light microscopy-based ecological and palaeoecological studies. (C) 2017 The Author(s). Published by Elsevier GmbH.</t>
  </si>
  <si>
    <t>[Roland, Thomas P.; Amesbury, Matthew J.; Charman, Dan J.] Univ Exeter, Geog, Coll Life &amp; Environm Sci, Exeter, Devon, England; [Wilkinson, David M.] Univ Lincoln, Sch Life Sci, Lincoln, England; [Convey, Peter; Hodgson, Dominic A.; Royles, Jessica] British Antarctic Survey, Cambridge, England; [Royles, Jessica] Univ Cambridge, Dept Plant Sci, Cambridge, England; [Clauss, Steffen; Voelcker, Eckhard] Penard Lab, Berlin, Germany</t>
  </si>
  <si>
    <t>University of Exeter; University of Lincoln; UK Research &amp; Innovation (UKRI); Natural Environment Research Council (NERC); NERC British Antarctic Survey; University of Cambridge</t>
  </si>
  <si>
    <t>Roland, TP (corresponding author), Univ Exeter, Geog, Coll Life &amp; Environm Sci, Exeter, Devon, England.</t>
  </si>
  <si>
    <t>t.p.roland@exeter.ac.uk</t>
  </si>
  <si>
    <t>Convey, Peter/AAV-5728-2020; Roland, Thomas/B-4703-2013; Charman, Dan/K-9303-2014</t>
  </si>
  <si>
    <t>Convey, Peter/0000-0001-8497-9903; Roland, Thomas/0000-0002-9237-1364; Charman, Dan/0000-0003-3464-4536</t>
  </si>
  <si>
    <t>NERC Antarctic Funding Initiative Grant [NE/H014896]; Natural Environment Research Council [NE/H014632/1, NE/M001946/1, NE/H014896/1, NE/H014810/1, bas0100036, bas0100030] Funding Source: researchfish; NERC [NE/H014896/1, NE/M001946/1, bas0100030, NE/H014810/1, NE/H014632/1, bas0100036] Funding Source: UKRI</t>
  </si>
  <si>
    <t>NERC Antarctic Funding Initiative Grant; Natural Environment Research Council(UK Research &amp; Innovation (UKRI)Natural Environment Research Council (NERC)); NERC(UK Research &amp; Innovation (UKRI)Natural Environment Research Council (NERC))</t>
  </si>
  <si>
    <t>The research was funded by the NERC Antarctic Funding Initiative Grant NE/H014896/awarded to DJC, PC and DAH; PC, DAH and JR contribute to the BAS Polar Science for Planet Earth research programme. Sample collection was supported by HMS Protector and HMS Endurance. Thanks to lain Rudkin and Ashly Fusiarski for fieldwork support, to Ralf Meisterfeld for his help compiling the list of Corythion taxa, to Thomas Ezard for his advice on using mclust, and to Leonardo D. Fernandez and Enrique Lara for their help in obtaining rare literature. Finally, we thank three anonymous reviewers for their helpful and insightful comments on an earlier version of this manuscript.</t>
  </si>
  <si>
    <t>1434-4610</t>
  </si>
  <si>
    <t>1618-0941</t>
  </si>
  <si>
    <t>Protist</t>
  </si>
  <si>
    <t>10.1016/j.protis.2017.07.006</t>
  </si>
  <si>
    <t>FL2UW</t>
  </si>
  <si>
    <t>WOS:000414076200004</t>
  </si>
  <si>
    <t>Lechleitner, FA; Breitenbach, SFM; Cheng, H; Plessen, B; Rehfeld, K; Goswami, B; Marwan, N; Eroglu, D; Adkins, J; Haug, G</t>
  </si>
  <si>
    <t>Lechleitner, Franziska A.; Breitenbach, Sebastian F. M.; Cheng, Hai; Plessen, Birgit; Rehfeld, Kira; Goswami, Bedartha; Marwan, Norbert; Eroglu, Deniz; Adkins, Jess; Haug, Gerald</t>
  </si>
  <si>
    <t>Climatic and in-cave influences on δ18O and δ13C in a stalagmite from northeastern India through the last deglaciation</t>
  </si>
  <si>
    <t>Indian Summer Monsoon; stalagmite; oxygen isotopes; carbon isotopes; deglaciation</t>
  </si>
  <si>
    <t>ICE-AGE TERMINATIONS; ASIAN MONSOON; HIGH-RESOLUTION; SUMMER MONSOON; ISOTOPIC COMPOSITION; MOISTURE TRANSPORT; GROWTH-RATE; VARIABILITY; HOLOCENE; PRECIPITATION</t>
  </si>
  <si>
    <t>Northeastern (NE) India experiences extraordinarily pronounced seasonal climate, governed by the Indian summer monsoon (ISM). The vulnerability of this region to floods and droughts calls for detailed and highly resolved paleoclimate reconstructions to assess the recurrence rate and driving factors of ISM changes. We use stable oxygen and carbon isotope ratios (delta O-18 and delta C-13) from stalagmite MAW-6 from Mawmluh Cave to infer climate and environmental conditions in NE India over the last deglaciation (16-6ka). We interpret stalagmite delta O-18 as reflecting ISM strength, whereas delta C-13 appears to be driven by local hydroclimate conditions. Pronounced shifts in ISM strength over the deglaciation are apparent from the delta O-18 record, similarly to other records from monsoonal Asia. The ISM is weaker during the late glacial (LG) period and the Younger Dryas, and stronger during the BOlling-Allerod and Holocene. Local conditions inferred from the delta C-13 record appear to have changed less substantially over time, possibly related to the masking effect of changing precipitation seasonality. Time series analysis of the delta O-18 record reveals more chaotic conditions during the late glacial and higher predictability during the Holocene, likely related to the strengthening of the seasonal recurrence of the ISM with the onset of the Holocene.</t>
  </si>
  <si>
    <t>[Lechleitner, Franziska A.; Breitenbach, Sebastian F. M.; Haug, Gerald] ETH, Dept Earth Sci, Sonneggstr 5, CH-8092 Zurich, Switzerland; [Breitenbach, Sebastian F. M.] Ruhr Univ Bochum, Sediment &amp; Isotope Geol, Inst Geol Mineral &amp; Geophys, Univ Str 150, D-44801 Bochum, Germany; [Cheng, Hai] Xi An Jiao Tong Univ, Inst Global Environm Change, Xian 710054, Shaanxi, Peoples R China; [Cheng, Hai] Univ Minnesota, Dept Earth Sci, Minneapolis, MN 55455 USA; [Plessen, Birgit] GFZ German Res Ctr Geosci, D-14473 Potsdam, Germany; [Rehfeld, Kira] British Antarctic Survey, Madingley Rd, Cambridge CB3 0ET, England; [Goswami, Bedartha; Marwan, Norbert; Eroglu, Deniz] Potsdam Inst Climate Impact Res PIK, D-14412 Potsdam, Germany; [Goswami, Bedartha] Univ Potsdam, Inst Earth &amp; Environm Sci, Karl Liebknecht Str 24-25, D-14476 Potsdam, Germany; [Eroglu, Deniz] Humboldt Univ, Dept Phys, D-12489 Berlin, Germany; [Adkins, Jess] CALTECH, Pasadena, CA 91125 USA; [Haug, Gerald] Max Planck Inst Chem, Dept Climate Geochem, D-55128 Mainz, Germany</t>
  </si>
  <si>
    <t>Swiss Federal Institutes of Technology Domain; ETH Zurich; Ruhr University Bochum; Xi'an Jiaotong University; University of Minnesota System; University of Minnesota Twin Cities; Helmholtz Association; Helmholtz-Center Potsdam GFZ German Research Center for Geosciences; UK Research &amp; Innovation (UKRI); Natural Environment Research Council (NERC); NERC British Antarctic Survey; Potsdam Institut fur Klimafolgenforschung; University of Potsdam; Humboldt University of Berlin; California Institute of Technology; Max Planck Society</t>
  </si>
  <si>
    <t>Lechleitner, FA (corresponding author), Univ Oxford, Dept Earth Sci, South Parks Rd, Oxford OX1 3AN, England.</t>
  </si>
  <si>
    <t>franziska.lechleitner@earth.ox.ac.uk</t>
  </si>
  <si>
    <t>CHENG, HAI/H-3413-2017; Goswami, Bedartha/AAZ-6789-2020; Eroglu, Deniz/GVS-9233-2022; Rehfeld, Kira/O-1781-2019; Breitenbach, Sebastian/AAB-1420-2019; Lechleitner, Franziska/IZD-7410-2023; Marwan, Norbert/D-9576-2011; Adkins, Jess/GYI-8778-2022; Rehfeld, Kira/G-9945-2013; Lechleitner, Franziska/AAW-1983-2021</t>
  </si>
  <si>
    <t>CHENG, HAI/0000-0002-5305-9458; Eroglu, Deniz/0000-0001-6725-6949; Rehfeld, Kira/0000-0002-9442-5362; Lechleitner, Franziska/0000-0002-1697-0429; Marwan, Norbert/0000-0003-1437-7039; Rehfeld, Kira/0000-0002-9442-5362; Lechleitner, Franziska/0000-0002-1697-0429; Schroder, Birgit/0000-0003-4807-6357; Breitenbach, Sebastian/0000-0001-9615-2065</t>
  </si>
  <si>
    <t>Swiss National Fond [CRSI22 132646/1, P2EZP2_172213]; German Science Foundation (DFG) [MA4759/8-1, RE3994-1/1]; National Natural Science Foundation of China (NSFC) [4123054, 2013CB955902]; U.S. National Science Foundation [1103403]; European Union's Horizon Research and Innovation program under the Marie Sklodowska-Curie grant [691037]; Swiss National Science Foundation (SNF) [P2EZP2_172213] Funding Source: Swiss National Science Foundation (SNF); NERC [bas0100034] Funding Source: UKRI; Natural Environment Research Council [bas0100034] Funding Source: researchfish; Div Atmospheric &amp; Geospace Sciences; Directorate For Geosciences [1103403] Funding Source: National Science Foundation</t>
  </si>
  <si>
    <t>Swiss National Fond(Swiss National Science Foundation (SNSF)); German Science Foundation (DFG)(German Research Foundation (DFG)); National Natural Science Foundation of China (NSFC)(National Natural Science Foundation of China (NSFC)); U.S. National Science Foundation(National Science Foundation (NSF)); European Union's Horizon Research and Innovation program under the Marie Sklodowska-Curie grant(European Union (EU)); Swiss National Science Foundation (SNF)(Swiss National Science Foundation (SNSF)); NERC(UK Research &amp; Innovation (UKRI)Natural Environment Research Council (NERC)); Natural Environment Research Council(UK Research &amp; Innovation (UKRI)Natural Environment Research Council (NERC)); Div Atmospheric &amp; Geospace Sciences; Directorate For Geosciences(National Science Foundation (NSF)NSF - Directorate for Geosciences (GEO))</t>
  </si>
  <si>
    <t>We gratefully acknowledge financial support from the Swiss National Fond (SNF Sinergia grant CRSI22 132646/1 and grant P2EZP2_172213), the German Science Foundation (DFG project MA4759/8-1 - Impacts of uncertainties in climate data analysis [IUCliD]: approaches to working with measurements as a series of probability distributions-and grant no. RE3994-1/1), the National Natural Science Foundation of China (NSFC) grants 4123054 and 2013CB955902, the U.S. National Science Foundation grant 1103403, and the European Union's Horizon 2020 Research and Innovation program under the Marie Sklodowska-Curie grant agreement no. 691037 (QUEST). We thank our Indian colleagues Bijay Mipun and Gregory Diengdoh for their logistic help. We thank Daniel Gebauer for support during fieldwork. We also thank Lydia Zehnder and Stewart Bishop (both at ETH Zurich) for assistance during XRD and stable isotope analysis, respectively. Tim Eglinton is acknowledged for financial support of F.A.L. We thank Ashish Sinha, Max Berkelhammer, James Baldini, Yanjun Cai, and two anonymous reviewers for constructive feedback and fruitful discussions on this and earlier versions of this manuscript. We thank the editors, Matthew Lachniet and Lewis Owen, for feedback and handling of the manuscript.</t>
  </si>
  <si>
    <t>10.1017/qua.2017.72</t>
  </si>
  <si>
    <t>FL7YW</t>
  </si>
  <si>
    <t>Green Accepted, Bronze, Green Published, Green Submitted</t>
  </si>
  <si>
    <t>WOS:000414467800007</t>
  </si>
  <si>
    <t>Greene, CA; Blankenship, DD; Gwyther, DE; Silvano, A; van Wijk, E</t>
  </si>
  <si>
    <t>Greene, Chad A.; Blankenship, Donald D.; Gwyther, David E.; Silvano, Alessandro; van Wijk, Esmee</t>
  </si>
  <si>
    <t>Wind causes Totten Ice Shelf melt and acceleration</t>
  </si>
  <si>
    <t>SCIENCE ADVANCES</t>
  </si>
  <si>
    <t>LUTZOW-HOLM BAY; EAST ANTARCTICA; AMUNDSEN SEA; CLIMATE-CHANGE; WATER MASSES; DEEP-WATER; OCEAN; VARIABILITY; SHEET; SURFACE</t>
  </si>
  <si>
    <t>Totten Glacier in East Antarctica has the potential to raise global sea level by at least 3.5 m, but its sensitivity to climate change has not been well understood. The glacier is coupled to the ocean by the Totten Ice Shelf, which has exhibited variable speed, thickness, and grounding line position in recent years. To understand the drivers of this interannual variability, we compare ice velocity to oceanic wind stress and find a consistent pattern of ice-shelf acceleration 19 months after upwelling anomalies occur at the continental shelf break nearby. The sensitivity to climate forcing we observe is a response to wind-driven redistribution of oceanic heat and is independent of large-scale warming of the atmosphere or ocean. Our results establish a link between the stability of Totten Glacier and upwelling near the East Antarctic coast, where surface winds are projected to intensify over the next century as a result of increasing atmospheric greenhouse gas concentrations.</t>
  </si>
  <si>
    <t>[Greene, Chad A.; Blankenship, Donald D.] Univ Texas Austin, Jackson Sch Geosci, Inst Geophys, Austin, TX 78758 USA; [Greene, Chad A.; Blankenship, Donald D.] Univ Texas Austin, Jackson Sch Geosci, Dept Geol Sci, Austin, TX 78712 USA; [Gwyther, David E.; Silvano, Alessandro] Univ Tasmania, Inst Marine &amp; Antarctic Studies, Hobart, Tas, Australia; [Silvano, Alessandro; van Wijk, Esmee] Commonwealth Sci &amp; Ind Res Org Oceans &amp; Atmospher, Hobart, Tas, Australia; [van Wijk, Esmee] Antarctic Climate &amp; Ecosyst Cooperat Res Ctr, Hobart, Tas, Australia</t>
  </si>
  <si>
    <t>University of Texas System; University of Texas Austin; University of Texas System; University of Texas Austin; University of Tasmania; Commonwealth Scientific &amp; Industrial Research Organisation (CSIRO); Antarctic Climate &amp; Ecosystems Cooperative Research Centre (ACE CRC)</t>
  </si>
  <si>
    <t>Greene, CA (corresponding author), Univ Texas Austin, Jackson Sch Geosci, Inst Geophys, Austin, TX 78758 USA.;Greene, CA (corresponding author), Univ Texas Austin, Jackson Sch Geosci, Dept Geol Sci, Austin, TX 78712 USA.</t>
  </si>
  <si>
    <t>chad@chadagreene.com</t>
  </si>
  <si>
    <t>Greene, Chad A/Q-2471-2018; van Wijk, Esmee/AAB-2451-2020; Blankenship, Donald D./G-5935-2010; Gwyther, David E/Q-2987-2018; Greene, Chad/HTQ-9931-2023</t>
  </si>
  <si>
    <t>Greene, Chad A/0000-0001-6710-6297; van Wijk, Esmee/0000-0002-9375-4383; Gwyther, David E/0000-0002-7218-2785; Greene, Chad/0000-0001-6710-6297; Silvano, Alessandro/0000-0002-6441-1496</t>
  </si>
  <si>
    <t>NSF [PLR-1143843, PLR-1543452]; G. Unger Vetlesen Foundation; Australian Research Council's Special Research Initiative for the Antarctic Gateway Partnership [SR140300001]; Australian Antarctic Research Program; Australian Government's National Environmental Science Program; Australia's Integrated Marine Observing System; Australian Government's Cooperative Research Centre program through the Antarctic Climate and Ecosystems Cooperative Research Centre; Australian Government through the Australian Postgraduate Awards and the International Postgraduate Research Scholarships; Commonwealth Scientific and Industrial Research Organization and University of Tasmania through the Quantitative Marine Science PhD program</t>
  </si>
  <si>
    <t>NSF(National Science Foundation (NSF)); G. Unger Vetlesen Foundation; Australian Research Council's Special Research Initiative for the Antarctic Gateway Partnership(Australian Research Council); Australian Antarctic Research Program; Australian Government's National Environmental Science Program(Australian Government); Australia's Integrated Marine Observing System; Australian Government's Cooperative Research Centre program through the Antarctic Climate and Ecosystems Cooperative Research Centre(Australian GovernmentDepartment of Industry, Innovation and ScienceCooperative Research Centres (CRC) Programme); Australian Government through the Australian Postgraduate Awards and the International Postgraduate Research Scholarships; Commonwealth Scientific and Industrial Research Organization and University of Tasmania through the Quantitative Marine Science PhD program</t>
  </si>
  <si>
    <t>This research was supported by the NSF (grants PLR-1143843 and PLR-1543452), the G. Unger Vetlesen Foundation, and the Australian Research Council's Special Research Initiative for the Antarctic Gateway Partnership (project ID SR140300001). Additional support was provided by the Australian Antarctic Research Program, the Australian Government's National Environmental Science Program, Australia's Integrated Marine Observing System, and the Australian Government's Cooperative Research Centre program through the Antarctic Climate and Ecosystems Cooperative Research Centre. A. S. is supported by the Australian Government through the Australian Postgraduate Awards and the International Postgraduate Research Scholarships and by Commonwealth Scientific and Industrial Research Organization and University of Tasmania through the Quantitative Marine Science PhD program.</t>
  </si>
  <si>
    <t>2375-2548</t>
  </si>
  <si>
    <t>SCI ADV</t>
  </si>
  <si>
    <t>Sci. Adv.</t>
  </si>
  <si>
    <t>e1701681</t>
  </si>
  <si>
    <t>10.1126/sciadv.1701681</t>
  </si>
  <si>
    <t>FP9XG</t>
  </si>
  <si>
    <t>WOS:000418002000034</t>
  </si>
  <si>
    <t>Hoffman, PF; Abbot, DS; Ashkenazy, Y; Benn, DI; Brocks, JJ; Cohen, PA; Cox, GM; Creveling, JR; Donnadieu, Y; Erwin, DH; Fairchild, IJ; Ferreira, D; Goodman, JC; Halverson, GP; Jansen, MF; Le Hir, G; Love, GD; Macdonald, FA; Maloof, AC; Partin, CA; Ramstein, G; Rose, BEJ; Rose, CV; Sadler, PM; Tziperman, E; Voigt, A; Warren, SG</t>
  </si>
  <si>
    <t>Hoffman, Paul F.; Abbot, Dorian S.; Ashkenazy, Yosef; Benn, Douglas I.; Brocks, Jochen J.; Cohen, Phoebe A.; Cox, Grant M.; Creveling, Jessica R.; Donnadieu, Yannick; Erwin, Douglas H.; Fairchild, Ian J.; Ferreira, David; Goodman, Jason C.; Halverson, Galen P.; Jansen, Malte F.; Le Hir, Guillaume; Love, Gordon D.; Macdonald, Francis A.; Maloof, Adam C.; Partin, Camille A.; Ramstein, Gilles; Rose, Brian E. J.; Rose, Catherine V.; Sadler, Peter M.; Tziperman, Eli; Voigt, Aiko; Warren, Stephen G.</t>
  </si>
  <si>
    <t>Snowball Earth climate dynamics and Cryogenian geology-geobiology</t>
  </si>
  <si>
    <t>NEOPROTEROZOIC CAP CARBONATES; U-PB GEOCHRONOLOGY; VASE-SHAPED MICROFOSSILS; RE-OS GEOCHRONOLOGY; MICROCIONA-PROLIFERA ELLIS; LOW-LATITUDE GLACIATION; DEATH-VALLEY-REGION; ANTARCTIC SEA-ICE; IRON-FORMATION; MACKENZIE MOUNTAINS</t>
  </si>
  <si>
    <t>Geological evidence indicates that grounded ice sheets reached sea level at all latitudes during two long-lived Cryogenian (58 and &gt;= 5 My) glaciations. Combined uranium-lead and rhenium-osmium dating suggests that the older (Sturtian) glacial onset and both terminations were globally synchronous. Geochemical data imply that CO2 was 102 PAL (present atmospheric level) at the younger termination, consistent with a global ice cover. Sturtian glaciation followed breakup of a tropical supercontinent, and its onset coincided with the equatorial emplacement of a large igneous province. Modeling shows that the small thermal inertia of a globally frozen surface reverses the annual mean tropical atmospheric circulation, producing an equatorial desert and net snow and frost accumulation elsewhere. Oceanic ice thickens, forming a sea glacier that flows gravitationally toward the equator, sustained by the hydrologic cycle and by basal freezing and melting. Tropical ice sheets flow faster as CO2 rises but lose mass and become sensitive to orbital changes. Equatorial dust accumulation engenders supraglacial oligotrophic meltwater ecosystems, favorable for cyanobacteria and certain eukaryotes. Meltwater flushing through cracks enables organic burial and submarine deposition of airborne volcanic ash. The subglacial ocean is turbulent and well mixed, in response to geothermal heating and heat loss through the ice cover, increasing with latitude. Terminal carbonate deposits, unique to Cryogenian glaciations, are products of intense weathering and ocean stratification. Whole-ocean warming and collapsing peripheral bulges allow marine coastal flooding to continue long after ice-sheet disappearance. The evolutionary legacy of Snowball Earth is perceptible in fossils and living organisms.</t>
  </si>
  <si>
    <t>[Hoffman, Paul F.; Macdonald, Francis A.; Tziperman, Eli] Harvard Univ, Dept Earth &amp; Planetary Sci, Cambridge, MA 02138 USA; [Hoffman, Paul F.] Univ Victoria, Sch Earth &amp; Ocean Sci, Victoria, BC V8P 5C2, Canada; [Abbot, Dorian S.; Jansen, Malte F.] Univ Chicago, Dept Geophys Sci, 5734 S Ellis Ave, Chicago, IL 60637 USA; [Ashkenazy, Yosef] Ben Gurion Univ Negev, Dept Solar Energy &amp; Environm Phys, IL-84990 Midreshet Ben Gurion, Israel; [Benn, Douglas I.] Univ St Andrews, Sch Geog &amp; Sustainable Dev, St Andrews KY16 8YA, Fife, Scotland; [Brocks, Jochen J.] Australian Natl Univ, Res Sch Earth Sci, Canberra, ACT 2601, Australia; [Cohen, Phoebe A.] Geosci Williams Coll, Williamstown, MA 01267 USA; [Cox, Grant M.] Univ Adelaide, Dept Earth Sci, Ctr Tecton Resources &amp; Explorat TRaX, Adelaide, SA 5005, Australia; [Cox, Grant M.] Curtin Univ, Dept Appl Geol, Bentley, WA 6845, Australia; [Creveling, Jessica R.] Oregon State Univ, Coll Earth Ocean &amp; Atmospher Sci, Corvallis, OR 97331 USA; [Donnadieu, Yannick; Ramstein, Gilles] Univ Paris Saclay, CNRS, CEA, UVSQ,IPSL,LSCE, F-91191 Gif Sur Yvette, France; [Donnadieu, Yannick] Aix Marseille Univ, CNRS, IRD, CEREGE, F-13545 Aix En Provence, France; [Erwin, Douglas H.] Smithsonian Inst, Dept Paleobiol, POB 37012,MRC 121, Washington, DC 20013 USA; [Erwin, Douglas H.] Santa Fe Inst, 1399 Hyde Pk Rd, Santa Fe, NM 87501 USA; [Fairchild, Ian J.] Univ Birmingham, Sch Geog Earth &amp; Environm Sci, Birmingham B15 2TT, W Midlands, England; [Ferreira, David] Univ Reading, Dept Meteorol, Reading RG6 6BB, Berks, England; [Goodman, Jason C.] Wheaton Coll, Dept Environm Sci, Norton, MA 02766 USA; [Halverson, Galen P.] McGill Univ, Dept Earth &amp; Planetary Sci, Montreal H3A 0E8, PQ, Canada; [Le Hir, Guillaume] Inst Phys Globe Paris, 1 Rue Jussieu, F-75005 Paris, France; [Love, Gordon D.] Univ Calif Riverside, Dept Earth Sci, Riverside, CA 92521 USA; [Maloof, Adam C.] Princeton Univ, Dept Geosci, Princeton, NJ 08544 USA; [Partin, Camille A.] Univ Saskatchewan, Dept Geol Sci, Saskatoon S7N 5ER, SK, Canada; [Rose, Brian E. J.] Univ Albany, Dept Atmospher &amp; Environm Sci, Albany, NY 12222 USA; [Rose, Catherine V.] Trinity Coll Dublin, Dept Geol, Dublin 2, Ireland; [Voigt, Aiko] Karlsruhe Inst Technol, Dept Troposphere Res, Inst Meteorol &amp; Climate Res, Karlsruhe, Baden Wurttembe, Germany; [Voigt, Aiko] Columbia Univ, Lamont Doherty Earth Observ, POB 1000, Palisades, NY 10964 USA; [Warren, Stephen G.] Univ Washington, Dept Atmospher Sci, Seattle, WA 98195 USA; [Rose, Catherine V.] Univ St Andrews, Sch Earth &amp; Environm Sci, Irvine Bldg, St Andrews KY16 9AL, Fife, Scotland</t>
  </si>
  <si>
    <t>Harvard University; University of Victoria; University of Chicago; Ben Gurion University; University of St Andrews; Australian National University; University of Adelaide; Curtin University; Oregon State University; Universite Paris Saclay; Universite Paris Cite; CEA; Centre National de la Recherche Scientifique (CNRS); Aix-Marseille Universite; Institut de Recherche pour le Developpement (IRD); Centre National de la Recherche Scientifique (CNRS); Smithsonian Institution; Smithsonian National Museum of Natural History; The Santa Fe Institute; University of Birmingham; University of Reading; McGill University; Universite Paris Cite; University of California System; University of California Riverside; Princeton University; University of Saskatchewan; State University of New York (SUNY) System; State University of New York (SUNY) Albany; Trinity College Dublin; Helmholtz Association; Karlsruhe Institute of Technology; Columbia University; University of Washington; University of Washington Seattle; University of St Andrews</t>
  </si>
  <si>
    <t>Hoffman, PF (corresponding author), Harvard Univ, Dept Earth &amp; Planetary Sci, Cambridge, MA 02138 USA.;Hoffman, PF (corresponding author), Univ Victoria, Sch Earth &amp; Ocean Sci, Victoria, BC V8P 5C2, Canada.</t>
  </si>
  <si>
    <t>paulfhoffman@gmail.com</t>
  </si>
  <si>
    <t>Jansen, Malte/ABB-4451-2020; Creveling, Jessica/HOC-9066-2023; Erwin, Douglas H/A-9668-2009; Ferreira, David/JNR-2354-2023; Tziperman, Eli/A-1219-2008; Abbot, Dorian S/J-6352-2012; Partin, Camille/JXN-0945-2024; Voigt, Aiko/H-4691-2012; Fairchild, Ian/A-6200-2013; Ashkenazy, Yosef/AAV-3218-2020; Le Hir, Guillaume/A-5676-2011; Ferreira, David/JJD-6133-2023; donnadieu, yannick/G-7546-2016; Brocks, Jochen/E-3920-2012</t>
  </si>
  <si>
    <t>Jansen, Malte/0000-0003-3894-1124; Voigt, Aiko/0000-0002-7394-8252; Fairchild, Ian/0000-0003-4822-2895; Le Hir, Guillaume/0000-0002-6799-8173; Partin, Camille/0000-0002-1544-7994; donnadieu, yannick/0000-0002-7315-2684; Benn, Douglas/0000-0002-3604-0886; Tziperman, Eli/0000-0002-7998-5775; Halverson, Galen/0000-0003-3061-7928; Rose, Brian E. J./0000-0002-9961-3821; Rose, Catherine/0000-0001-8149-0977; Brocks, Jochen/0000-0002-8430-8744; Ashkenazy, Yosef/0000-0001-9405-068X; Erwin, Douglas/0000-0003-2518-5614</t>
  </si>
  <si>
    <t>CNRS funding through the ECLIPSE program; NSF grant [AGS-1455071, ANT-1142963]; German Federal Ministry of Education and Research (BMBF); Research for Sustainable Development (FONA) [01LK1509A]; Div Atmospheric &amp; Geospace Sciences; Directorate For Geosciences [1455071] Funding Source: National Science Foundation</t>
  </si>
  <si>
    <t>CNRS funding through the ECLIPSE program; NSF grant(National Science Foundation (NSF)); German Federal Ministry of Education and Research (BMBF)(Federal Ministry of Education &amp; Research (BMBF)); Research for Sustainable Development (FONA); Div Atmospheric &amp; Geospace Sciences; Directorate For Geosciences(National Science Foundation (NSF)NSF - Directorate for Geosciences (GEO))</t>
  </si>
  <si>
    <t>G.R. was supported by CNRS funding through the ECLIPSE program. B.E.J.R. was supported by NSF grant AGS-1455071. A.V. was supported by the German Federal Ministry of Education and Research (BMBF) and Research for Sustainable Development (FONA) (www.fona.de) under grant 01LK1509A. S.G.W. was supported by NSF grant ANT-1142963.</t>
  </si>
  <si>
    <t>e1600983</t>
  </si>
  <si>
    <t>10.1126/sciadv.1600983</t>
  </si>
  <si>
    <t>WOS:000418002000002</t>
  </si>
  <si>
    <t>Piersanti, M; Alberti, T; Bemporad, A; Berrilli, F; Bruno, R; Capparelli, V; Carbone, V; Cesaroni, C; Consolini, G; Cristaldi, A; Del Corpo, A; Del Moro, D; Di Matteo, S; Ermolli, I; Fineschi, S; Giannattasio, F; Giorgi, F; Giovannelli, L; Guglielmino, SL; Laurenza, M; Lepreti, F; Marcucci, MF; Martucci, M; Mergè, M; Pezzopane, M; Pietropaolo, E; Romano, P; Sparvoli, R; Spogli, L; Stangalini, M; Vecchio, A; Vellante, M; Villante, U; Zuccarello, F; Heilig, B; Reda, J; Lichtenberger, J</t>
  </si>
  <si>
    <t>Piersanti, Mirko; Alberti, Tommaso; Bemporad, Alessandro; Berrilli, Francesco; Bruno, Roberto; Capparelli, Vincenzo; Carbone, Vincenzo; Cesaroni, Claudio; Consolini, Giuseppe; Cristaldi, Alice; Del Corpo, Alfredo; Del Moro, Dario; Di Matteo, Simone; Ermolli, Ilaria; Fineschi, Silvano; Giannattasio, Fabio; Giorgi, Fabrizio; Giovannelli, Luca; Guglielmino, Salvatore Luigi; Laurenza, Monica; Lepreti, Fabio; Marcucci, Maria Federica; Martucci, Matteo; Merge, Matteo; Pezzopane, Michael; Pietropaolo, Ermanno; Romano, Paolo; Sparvoli, Roberta; Spogli, Luca; Stangalini, Marco; Vecchio, Antonio; Vellante, Massimo; Villante, Umberto; Zuccarello, Francesca; Heilig, Balazs; Reda, Jan; Lichtenberger, Janos</t>
  </si>
  <si>
    <t>Comprehensive Analysis of the Geoeffective Solar Event of 21 June 2015: Effects on the Magnetosphere, Plasmasphere, and Ionosphere Systems</t>
  </si>
  <si>
    <t>SOLAR PHYSICS</t>
  </si>
  <si>
    <t>Solar trigger; Flare forecasting; Halo CME; SEP forecasting; Cosmic ray; Magnetospheric response to a CME; Ground response to a CME; Ionospheric response to a CME; Ionospheric polar convection</t>
  </si>
  <si>
    <t>PENETRATION ELECTRIC-FIELDS; CORONAL MASS EJECTIONS; QUIET ACTIVE REGIONS; MAGNETIC-FIELD; GEOMAGNETIC STORM; PARTICLE-ACCELERATION; INNER MAGNETOSPHERE; ENERGETIC PROTONS; FLARE; EQUATORIAL</t>
  </si>
  <si>
    <t>A full-halo coronal mass ejection (CME) left the Sun on 21 June 2015 from active region (AR) NOAA 12371. It encountered Earth on 22 June 2015 and generated a strong geomagnetic storm whose minimum Dst value was -204 nT. The CME was associated with an M2-class flare observed at 01: 42 UT, located near disk center (N12 E16). Using satellite data from solar, heliospheric, and magnetospheric missions and ground-based instruments, we performed a comprehensive Sun-to-Earth analysis. In particular, we analyzed the active region evolution using ground-based and satellite instruments (Big Bear Solar Observatory (BBSO), Interface Region Imaging Spectrograph (IRIS), Hinode, Atmospheric Imaging Assembly (AIA) onboard the Solar Dynamics Observatory (SDO), Reuven Ramaty High Energy Solar Spectroscopic Imager (RHESSI), covering Ha, EUV, UV, and X-ray data); the AR magnetograms, using data from SDO/Helioseismic and Magnetic Imager (HMI); the high-energy particle data, using the Payload for Antimatter Matter Exploration and Light-nuclei Astrophysics (PAMELA) instrument; and the Rome neutron monitor measurements to assess the effects of the interplanetary perturbation on cosmic-ray intensity. We also evaluated the 1 -8 angstrom soft X-ray data and the similar to 1 MHz type III radio burst time-integrated intensity (or fluence) of the flare in order to predict the associated solar energetic particle (SEP) event using the model developed by Laurenza et al. (Space Weather 7(4), 2009). In addition, using ground-based observations from lower to higher latitudes (International Real-time Magnetic Observatory Network (INTERMAGNET) and European Quasi-Meridional Magnetometer Array (EMMA)), we reconstructed the ionospheric current system associated with the geomagnetic sudden impulse (SI). Furthermore, Super Dual Auroral Radar Network (SuperDARN) measurements were used to image the global ionospheric polar convection during the SI and during the principal phases of the geomagnetic storm. In addition, to investigate the influence of the disturbed electric field on the low-latitude ionosphere induced by geomagnetic storms, we focused on the morphology of the crests of the equatorial ionospheric anomaly by the simultaneous use of the Global Navigation Satellite System (GNSS) receivers, ionosondes, and Langmuir probes onboard the Swarm constellation satellites. Moreover, we investigated the dynamics of the plasmasphere during the different phases of the geomagnetic storm by examining the time evolution of the radial profiles of the equatorial plasma mass density derived from field line resonances detected at the EMMA network (1.5 &lt; L &lt; 6.5). Finally, we present the general features of the geomagnetic response to the CME by applying innovative data analysis tools that allow us to investigate the time variation of ground-based observations of the Earth's magnetic field during the associated geomagnetic storm.</t>
  </si>
  <si>
    <t>[Piersanti, Mirko; Del Corpo, Alfredo; Di Matteo, Simone; Pietropaolo, Ermanno; Vellante, Massimo; Villante, Umberto] Univ Aquila, Dept Phys &amp; Chem Sci, Laquila, Italy; [Piersanti, Mirko; Di Matteo, Simone; Villante, Umberto] Consorzio Area Ric Astrogeofis, Laquila, Italy; [Alberti, Tommaso; Carbone, Vincenzo; Lepreti, Fabio] Univ Calabria, Dept Phys, Cosenza, Italy; [Bemporad, Alessandro; Fineschi, Silvano] Osserv Astron Torino, INAF, Turin, Italy; [Berrilli, Francesco; Del Moro, Dario; Giovannelli, Luca; Martucci, Matteo; Merge, Matteo; Sparvoli, Roberta] Univ Rome Torvergata, Phys Dept, Rome, Italy; [Bruno, Roberto; Consolini, Giuseppe; Giannattasio, Fabio; Laurenza, Monica; Marcucci, Maria Federica] Ist Astrofis &amp; Planetol Spaziali, INAF, Rome, Italy; [Capparelli, Vincenzo; Guglielmino, Salvatore Luigi; Zuccarello, Francesca] Univ Catania, Dept Phys &amp; Astron, Catania, Italy; [Cesaroni, Claudio; Pezzopane, Michael; Spogli, Luca] Ist Nazl Geofis &amp; Vulcanol, Rome, Italy; [Cristaldi, Alice; Ermolli, Ilaria; Giorgi, Fabrizio; Stangalini, Marco] Osserv Astron Roma, INAF, Rome, Italy; [Martucci, Matteo] INFN, Lab Nazl Frascati, Frascati, Italy; [Romano, Paolo] Osserv Astrofis Catania, INAF, Catania, Italy; [Spogli, Luca] SpacEarth Technol, Rome, Italy; [Vecchio, Antonio] Observ Paris, LESIA, 5 Pl Jules Janssen, F-92190 Meudon, France; [Heilig, Balazs] Geol &amp; Geophys Inst Hungary, Tihany, Hungary; [Reda, Jan] PAS, Inst Geophys, Warsaw, Belsk, Poland; [Lichtenberger, Janos] Eotvos Lorand Univ, Dept Geophys &amp; Space Sci, Space Res Grp, Budapest, Hungary</t>
  </si>
  <si>
    <t>University of L'Aquila; University of Calabria; Istituto Nazionale Astrofisica (INAF); University of Rome Tor Vergata; Istituto Nazionale Astrofisica (INAF); University of Catania; Istituto Nazionale Geofisica e Vulcanologia (INGV); Istituto Nazionale Astrofisica (INAF); Istituto Nazionale di Fisica Nucleare (INFN); Istituto Nazionale Astrofisica (INAF); Universite PSL; Observatoire de Paris; Sorbonne Universite; Universite Paris Cite; Polish Academy of Sciences; Institute of Geophysics of the Polish Academy of Sciences; Eotvos Lorand University</t>
  </si>
  <si>
    <t>Piersanti, M (corresponding author), Univ Aquila, Dept Phys &amp; Chem Sci, Laquila, Italy.;Piersanti, M (corresponding author), Consorzio Area Ric Astrogeofis, Laquila, Italy.</t>
  </si>
  <si>
    <t>mirko.piersanti@aquila.infn.it</t>
  </si>
  <si>
    <t>Piersanti, Mirko/AGA-3528-2022; Alberti, Tommaso/CAA-8483-2022; Guglielmino, Salvo L./H-3388-2012; Laurenza, Monica/HMD-8729-2023; Heilig, Balázs/A-3903-2012; Carbone, Vincenzo/AAD-8557-2020; Spogli, Luca/AAD-1980-2021; Cesaroni, Claudio/AAF-1075-2020; Di Matteo, Simone/AFT-3783-2022; Bemporad, Alessandro/D-1507-2018; Merge', Matteo/HTS-7380-2023; Martucci, Matteo/AAH-1925-2021; Lepreti, Fabio/C-4934-2016; Romano, Paolo/HZK-7905-2023; Piersanti, Mirko/ABE-5680-2021; Marcucci, Maria federica/HNJ-5276-2023; PIETROPAOLO, Ermanno/AAQ-7827-2021; Sparvoli, Roberta/H-8024-2018; Zuccarello, Francesca/HLP-5580-2023; Vecchio, Antonio/AAS-9232-2020; DEL MORO, DARIO/ABI-1445-2020; Giovannelli, Luca/P-9326-2019; Bruno, Roberto/AAF-1501-2020; Lichtenberger, Janos/K-1034-2018; bruno, roberto/P-6389-2015</t>
  </si>
  <si>
    <t>Piersanti, Mirko/0000-0001-5207-2944; Alberti, Tommaso/0000-0001-6096-0220; Guglielmino, Salvo L./0000-0002-1837-2262; Laurenza, Monica/0000-0001-5481-4534; Heilig, Balázs/0000-0002-7964-0048; Carbone, Vincenzo/0000-0002-3182-6679; Di Matteo, Simone/0000-0001-6407-7574; Bemporad, Alessandro/0000-0001-5796-5653; Merge', Matteo/0000-0002-2018-4236; Martucci, Matteo/0000-0002-3033-4824; Lepreti, Fabio/0000-0001-5196-2013; Romano, Paolo/0000-0001-7066-6674; PIETROPAOLO, Ermanno/0000-0002-6633-9846; Sparvoli, Roberta/0000-0002-6314-6117; Zuccarello, Francesca/0000-0003-1853-2550; DEL MORO, DARIO/0000-0003-2500-5054; Giovannelli, Luca/0000-0001-7369-8516; ermolli, ilaria/0000-0003-2596-9523; CONSOLINI, Giuseppe/0000-0002-3403-647X; /0000-0002-2789-816X; Marcucci, Maria Federica/0000-0002-5002-6060; Pezzopane, Michael/0000-0001-5800-2322; Lichtenberger, Janos/0000-0001-9175-9255; Vecchio, Antonio/0000-0002-2002-1701; VELLANTE, Massimo/0000-0003-4628-366X; SPOGLI, Luca/0000-0003-2310-0306; Reda, Jan/0000-0003-4580-6190; bruno, roberto/0000-0002-2152-0115; berrilli, francesco/0000-0002-2276-3733; Del Corpo, Alfredo/0000-0002-9690-4965; Stangalini, Marco/0000-0002-5365-7546</t>
  </si>
  <si>
    <t>Italian National Program for Antarctic Research (PNRA) [2013/AC3.08]; IAPS/INAF-UNIRoma3; Italian MIUR-PRIN [2012P2HRCR]; STFC [PP/D002907/1] Funding Source: UKRI</t>
  </si>
  <si>
    <t>Italian National Program for Antarctic Research (PNRA); IAPS/INAF-UNIRoma3; Italian MIUR-PRIN(Ministry of Education, Universities and Research (MIUR)Research Projects of National Relevance (PRIN)); STFC(UK Research &amp; Innovation (UKRI)Science &amp; Technology Facilities Council (STFC))</t>
  </si>
  <si>
    <t>The results presented in this paper rely on data collected at magnetic observatories. We thank the national institutes that support them and INTERMAGNET for promoting high standards of magnetic observatory practice (www.intermagnet.org). We thank the entire PAMELA Collaboration for the data used in this research. This work is supported by the Italian National Program for Antarctic Research (PNRA) Research Project 2013/AC3.08. We thank the national scientific funding agencies of Australia, Canada, China, France, Italy, Japan, South Africa, UK, and USA that funded the radars of the SuperDARN network. The authors also acknowledge the use of the SuperDARN software and web tools made available at Virginia Tech. The authors kindly acknowledge N. Papitashvili and J. King at the National Space Science Data Center of the Goddard Space Flight Center for the use permission of 1-minute OMNI data and the NASA CDAWeb team for making these data available. The Rome neutron monitor (SVIRCO Observatory) is supported by the IAPS/INAF-UNIRoma3 collaboration. This research work is supported by the Italian MIUR-PRIN grant 2012P2HRCR on The active Sun and its effects on Space and Earth climate</t>
  </si>
  <si>
    <t>0038-0938</t>
  </si>
  <si>
    <t>1573-093X</t>
  </si>
  <si>
    <t>SOL PHYS</t>
  </si>
  <si>
    <t>Sol. Phys.</t>
  </si>
  <si>
    <t>10.1007/s11207-017-1186-0</t>
  </si>
  <si>
    <t>FL4WS</t>
  </si>
  <si>
    <t>WOS:000414232800002</t>
  </si>
  <si>
    <t>Poluianov, SV; Usoskin, IG; Mishev, AL; Shea, MA; Smart, DF</t>
  </si>
  <si>
    <t>Poluianov, S. V.; Usoskin, I. G.; Mishev, A. L.; Shea, M. A.; Smart, D. F.</t>
  </si>
  <si>
    <t>GLE and Sub-GLE Redefinition in the Light of High-Altitude Polar Neutron Monitors</t>
  </si>
  <si>
    <t>Energetic particles</t>
  </si>
  <si>
    <t>The conventional definition of ground-level enhancement (GLE) events requires a detection of solar energetic particles (SEP) by at least two differently located neutron monitors. Some places are exceptionally well suitable for ground-based detection of SEP - high-elevation polar regions with negligible geomagnetic and reduced atmospheric energy/rigidity cutoffs. At present, there are two neutron-monitor stations in such locations on the Antarctic plateau: SOPO/SOPB (at Amundsen-Scott station, 2835 m elevation), and DOMC/DOMB (at Concordia station, 3233 m elevation). Since 2015, when the DOMC/DOMB station started continuous operation, a relatively weak SEP event that was not detected by sea-level neutron-monitor stations was registered by both SOPO/SOPB and DOMC/DOMB, and it was accordingly classified as a GLE. This would lead to a distortion of the homogeneity of the historic GLE list and the corresponding statistics. To address this issue, we propose to modify the GLE definition so that it maintains the homogeneity: A GLE event is registered when there are near-time coincident and statistically significant enhancements of the count rates of at least two differently located neutron monitors, including at least one neutron monitor near sea level and a corresponding enhancement in the proton flux measured by a space-borne instrument(s). Relatively weak SEP events registered only by high-altitude polar neutron monitors, but with no response from cosmic-ray stations at sea level, can be classified as sub-GLEs.</t>
  </si>
  <si>
    <t>[Poluianov, S. V.; Usoskin, I. G.; Mishev, A. L.] Univ Oulu, Space Climate Res Unit, Oulu, Finland; [Poluianov, S. V.; Usoskin, I. G.; Mishev, A. L.] Univ Oulu, Sodankyla Geophys Observ, Oulu, Finland; [Shea, M. A.; Smart, D. F.] SSSRC, 100 Tennyson Ave, Nashua, NH 03062 USA</t>
  </si>
  <si>
    <t>Poluianov, SV (corresponding author), Univ Oulu, Space Climate Res Unit, Oulu, Finland.;Poluianov, SV (corresponding author), Univ Oulu, Sodankyla Geophys Observ, Oulu, Finland.</t>
  </si>
  <si>
    <t>stepan.poluianov@oulu.fi</t>
  </si>
  <si>
    <t>Mishev, Alexander/0000-0002-7184-9664; Poluianov, Stepan/0000-0002-9119-4298; Usoskin, Ilya/0000-0001-8227-9081</t>
  </si>
  <si>
    <t>project of the Academy of Finland Centre of Excellence ReSoLVE [272157]; project of the CRIPA and CRIPA-X [304435]; Finnish Antarctic Research Program (FINNARP)</t>
  </si>
  <si>
    <t>project of the Academy of Finland Centre of Excellence ReSoLVE; project of the CRIPA and CRIPA-X; Finnish Antarctic Research Program (FINNARP)</t>
  </si>
  <si>
    <t>The work was supported by the projects of the Academy of Finland Centre of Excellence ReSoLVE (No. 272157), CRIPA and CRIPA-X (No. 304435), and by the Finnish Antarctic Research Program (FINNARP). We acknowledge Askar Ibragimov for the support of the International GLE database (gle.oulu.fi) and are grateful to the worldwide neutron-monitor database (nmdb.eu), which is a product of an EU Project. We thank Marc Duldig, Erwin Fluckiger, John Humble, and Roger Pyle for valuable discussions.</t>
  </si>
  <si>
    <t>10.1007/s11207-017-1202-4</t>
  </si>
  <si>
    <t>FN8WU</t>
  </si>
  <si>
    <t>WOS:000416308900005</t>
  </si>
  <si>
    <t>Wang, ZC; Becker, H</t>
  </si>
  <si>
    <t>Wang, Zaicong; Becker, Harry</t>
  </si>
  <si>
    <t>Silver contents and Cu/Ag ratios in Martian meteorites and the implications for planetary differentiation</t>
  </si>
  <si>
    <t>Mars; Shergottites; Cu/Ag ratio; Core formation; Planetary differentiation</t>
  </si>
  <si>
    <t>HIGHLY SIDEROPHILE ELEMENTS; SULFIDE SATURATION SCSS; PLATINUM-GROUP ELEMENTS; DEEP SULFUR CYCLE; CORE FORMATION; CHALCOPHILE ELEMENTS; ISOTOPIC COMPOSITION; OXYGEN FUGACITY; TRACE-ELEMENTS; H CHONDRITES</t>
  </si>
  <si>
    <t>Silver and Cu show very similar partitioning behavior in sulfide melt-silicate melt and metal-silicate systems at low and high pressure-temperature (P-T) experimental conditions, implying that mantle melting, fractional crystallization and coremantle differentiation have at most modest (within a factor of 3) effects on Cu/Ag ratios. For this reason, it is likely that Cu/Ag ratios in mantle-derived magmatic products of planetary bodies reflect that of the mantle and, in some circumstances, also the bulk planet composition. To test this hypothesis, new Ag mass fractions and Cu/Ag ratios in different groups of Martian meteorites are presented and compared with data from chondrites and samples from the Earth's mantle. Silver contents in lherzolitic, olivine-phyric and basaltic shergottites and nakhlites range between 1.9 and 12.3 ng/g. The data display a negative trend with MgO content and correlate positively with Cu contents. In spite of displaying variable initial. 143 Nd values and representing a diverse spectrum of magmatic evolution and physiochemical conditions, shergottites and nakhlites display limited variations of Cu/Ag ratios (1080 +/- 320, 1 s, n = 14). The relatively constant Cu/Ag suggests limited fractionation of Ag from Cu during the formation and evolution of the parent magmas, irrespectively of whether sulfide saturation was attained or not. The mean Cu/Ag ratio of Martian meteorites thus reflects that of the Martian mantle and constrains its Ag content to 1.9 +/- 0.7 ng/g (1 s). Carbonaceous and enstatite chondrites display a limited range of Cu/Ag ratios of mostly 500-2400. Ordinary chondrites show a larger scatter of Cu/Ag up to 4500, which may have been caused by Ag redistribution during parent body metamorphism. The majority of chondrites have Cu/Ag ratios indistinguishable from the Martian mantle value, indicating that Martian core formation strongly depleted Cu and Ag contents, but probably did not significantly change the Cu/Ag ratio of the mantle compared to bulk Mars. BulkMars is richer in moderately volatile elements than Earth, however, the Martian mantle displays a much stronger depletion of the moderately volatile elements Cu and Ag, e.g., by a factor of 15 for Cu. This observation is consistent with experimental studies suggesting that core formation at low P-T conditions on Mars led to more siderophile behavior of Cu and Ag than at high P-T conditions as proposed for Earth. In contrast, Cu/Ag ratios of the mantles of Mars and Earth (Cu/AgEarth = 3500 +/- 1000) display only a difference by a factor of 3, which implies restricted fractionation of Cu and Ag even at high P-T conditions. The concentration data support the notion that siderophile element partitioning during planetary core formation scales with the size of the planetary body, which is particularly important for the differentiation of large terrestrial planets such as Earth. Collectively, the Ag and Cu data on magmatic products from the mantles of Mars and Earth and the data on chondrites confirm experimental predictions and support the limited fractionation of Cu and Ag during planetary core formation and high-temperature magmatic evolution, and probably also in early solar nebular processes. (C) 2017 Elsevier Ltd. All rights reserved.</t>
  </si>
  <si>
    <t>[Wang, Zaicong; Becker, Harry] Free Univ Berlin, Inst Geol Wissensch, Malteserstr 74-100, D-12249 Berlin, Germany</t>
  </si>
  <si>
    <t>Free University of Berlin</t>
  </si>
  <si>
    <t>Wang, ZC (corresponding author), China Univ Geosci, State Key Lab Geol Proc &amp; Mineral Resources, Sch Earth Sci, 388 Lumo Rd, Wuhan 430074, Peoples R China.</t>
  </si>
  <si>
    <t>wzc231@163.com</t>
  </si>
  <si>
    <t>Wang, Zaicong/D-3434-2014</t>
  </si>
  <si>
    <t>Meteorite Working Group; ANSMET; National Museum of Natural History, Smithsonian Institution, USNM, USA; Antarctic Meteorite Research Center, NIPR, Japan; Natural History Museum London, UK; Senckenberg Institute, Frankfurt am Main, Germany; DFG [Be1820/12-1, SFB-TRR 170]</t>
  </si>
  <si>
    <t>Meteorite Working Group; ANSMET; National Museum of Natural History, Smithsonian Institution, USNM, USA; Antarctic Meteorite Research Center, NIPR, Japan; Natural History Museum London, UK; Senckenberg Institute, Frankfurt am Main, Germany; DFG(German Research Foundation (DFG))</t>
  </si>
  <si>
    <t>We acknowledge support by the providers of Martian meteorites and chondrites (Meteorite Working Group, ANSMET and the National Museum of Natural History, Smithsonian Institution, USNM, USA; Antarctic Meteorite Research Center, NIPR, Japan; C. Smith, Natural History Museum London, UK; J. Zipfel, Senckenberg Institute, Frankfurt am Main, Germany). We thank M. Feth, O. Jaeger and P. Gleissner for help and support in the laboratory and C. Li and E. Hoffmann for discussion. This work was supported by DFG funding (Be1820/12-1 and SFB-TRR 170 Subproject B1). This is SFB-TRR 170 Publication No. 9. We thank associate guest editor Marc-Alban Millet and Jung-Woo Park and Kate Kiseeva for constructive comments.</t>
  </si>
  <si>
    <t>10.1016/j.gca.2017.05.024</t>
  </si>
  <si>
    <t>FI3NN</t>
  </si>
  <si>
    <t>WOS:000411870500007</t>
  </si>
  <si>
    <t>Dhaliwal, JK; Day, JMD; Corder, CA; Tait, KT; Marti, K; Assayag, N; Cartigny, P; Rumble, D; Taylor, LA</t>
  </si>
  <si>
    <t>Dhaliwal, Jasmeet K.; Day, James M. D.; Corder, Christopher A.; Tait, Kim T.; Marti, Kurt; Assayag, Nelly; Cartigny, Pierre; Rumble, Doug, III; Taylor, Lawrence A.</t>
  </si>
  <si>
    <t>Early metal-silicate differentiation during planetesimal formation revealed by acapulcoite and lodranite meteorites</t>
  </si>
  <si>
    <t>Highly siderophile elements; Metal partitioning; Acapulcoites; Lodranites; Core formation; Planetesimals</t>
  </si>
  <si>
    <t>HIGHLY-SIDEROPHILE-ELEMENT; OSMIUM ISOTOPE; OXYGEN-ISOTOPE; CORE FORMATION; HIGH-PRECISION; PRIMITIVE ACHONDRITES; CHEMICAL-COMPOSITION; HIGH-TEMPERATURES; LIQUID-METAL; SYSTEMATICS</t>
  </si>
  <si>
    <t>In order to establish the role and expression of silicate-metal fractionation in early planetesimal bodies, we have conducted a highly siderophile element (HSE: Os, Ir, Ru, Pt, Pd, Re) abundance and Re-187-Os-187 study of acapulcoite-lodranite meteorites. These data are reported with new petrography, mineral chemistry, bulk-rock major and trace element geochemistry, and oxygen isotopes for Acapulco, Allan Hills (ALHA) 81187, Meteorite Hills (MET) 01195, Northwest Africa (NWA) 2871, NWA 4833, NWA 4875, NWA 7474 and two examples of transitional acapulcoite-lodranites, Elephant Moraine (EET) 84302 and Graves Nunataks (GRA) 95209. These data support previous studies that indicate that these meteorites are linked to the same parent body and exhibit limited degrees (&lt; 2-7%) of silicate melt removal. New HSE and osmium isotope data demonstrate broadly chondritic relative and absolute abundances of these elements in acapulcoites, lower absolute abundances in lodranites and elevated (&gt; 2 x CI chondrite) HSE abundances in transitional acapulcoite-lodranite meteorites (EET 84302, GRA 95209). All of the meteorites have chondritic Re/Os with measured Os-187/Os-188 ratios of 0.1271 +/- 0.0040 (2 St. Dev.). These geochemical characteristics imply that the precursor material of the acapulcoites and lodranites was broadly chondritic in composition, and were then heated and subject to melting of metal and sulfide in the Fe-Ni-S system. This resulted in metallic melt removal and accumulation to form lodranites and transitional acapulcoite-lodranites. There is considerable variation in the absolute abundances of the HSE, both among samples and between aliquots of the same sample, consistent with both inhomogeneous distribution of HSE-rich metal, and of heterogeneous melting and incomplete mixing of silicate material within the acapulcoite-lodranite parent body. Oxygen isotope data for acapulcoite-lodranites are also consistent with inhomogeneous melting and mixing of accreted components from different nebular sources, and do not form a welldefined mass-dependent fractionation line. Modeling of HSE inter-element fractionation suggests a continuum of melting in the Fe-Ni-S system and partitioning between solid metal and sulfur-bearing mineral melt, where lower S contents in the melt resulted in lower Pt/Os and Pd/Os ratios, as observed in lodranites. The transitional meteorites, EET 84302 and GRA 95209, exhibit the most elevated HSE abundances and do not follow modelled Pt/Os and Pd/Os solid metal-liquid metal partitioning trends. We interpret this to reflect metal melt pooling into domains that were sampled by these meteorites, suggesting that they may originate from deeper within the acapulcoite-lodranite parent body, perhaps close to a pooled metallic 'core' region. Petrographic examination of transitional samples reveals the most extensive melting, pooling and networking of metal among the acapulcoite-lodranite meteorites. Overall, our results show that solid metal-liquid metal partitioning in the Fe-Ni-S system in primitive achondrites follows a predictable sequence of limited partial melting and metal melt pooling that can lead to significant HSE inter-element fractionation effects in proto-planetary materials. (C) 2017 Elsevier Ltd. All rights reserved.</t>
  </si>
  <si>
    <t>[Dhaliwal, Jasmeet K.; Day, James M. D.; Corder, Christopher A.; Marti, Kurt] Univ Calif San Diego, Scripps Inst Oceanog, Geosci Res Div, La Jolla, CA 92093 USA; [Dhaliwal, Jasmeet K.] Penn State Univ, Dept Geosci, State Coll, PA 16803 USA; [Tait, Kim T.] Royal Ontario Museum, Dept Nat Hist, Toronto, ON M5S 2C6, Canada; [Assayag, Nelly; Cartigny, Pierre] Univ Paris Diderot, Inst Phys Globe Paris, Inst Univ France, Paris, France; [Rumble, Doug, III] Carnegie Inst Sci, Geophys Lab, Washington, DC 20015 USA; [Taylor, Lawrence A.] Univ Tennessee, Planetary Geosci Inst, Dept Earth &amp; Planetary Sci, Knoxville, TN 37996 USA</t>
  </si>
  <si>
    <t>University of California System; University of California San Diego; Scripps Institution of Oceanography; Pennsylvania Commonwealth System of Higher Education (PCSHE); Pennsylvania State University; Royal Ontario Museum; Universite Paris Cite; Institut Universitaire de France; Carnegie Institution for Science; University of Tennessee System; University of Tennessee Knoxville</t>
  </si>
  <si>
    <t>Dhaliwal, JK (corresponding author), Penn State Univ, Dept Geosci, University Pk, PA 16802 USA.</t>
  </si>
  <si>
    <t>jkdhaliwal@psu.edu</t>
  </si>
  <si>
    <t>Rumble, Douglas/AAU-3930-2020; Cartigny, Pierre/A-6251-2011; Day, James/A-5099-2010</t>
  </si>
  <si>
    <t>Rumble, Douglas/0000-0002-7440-9189; Day, James/0000-0001-9520-3465</t>
  </si>
  <si>
    <t>NSF; NASA; Department of Mineral Sciences at the Smithsonian Institution and Astromaterials Curation Office at NASA Johnson Space Center; NASA Cosmochemistry and Emerging Worlds [NNX12AH75G, NNX15AL74G, NNX11AG586]; NASA [19757, NNX12AH75G, 799648, NNX15AL74G] Funding Source: Federal RePORTER</t>
  </si>
  <si>
    <t>NSF(National Science Foundation (NSF)); NASA(National Aeronautics &amp; Space Administration (NASA)); Department of Mineral Sciences at the Smithsonian Institution and Astromaterials Curation Office at NASA Johnson Space Center; NASA Cosmochemistry and Emerging Worlds; NASA(National Aeronautics &amp; Space Administration (NASA))</t>
  </si>
  <si>
    <t>We thank the Meteorite Working Group and Royal Ontario Museum for provision of acapulcoite and lodranite samples. US Antarctic meteorite samples are recovered by the Antarctic Search for Meteorites (ANSMET) program which has been funded by NSF and NASA, and characterized and curated by the Department of Mineral Sciences at the Smithsonian Institution and Astromaterials Curation Office at NASA Johnson Space Center. We gratefully acknowledge reviews from G. Archer, C. Floss and D. Van Acken, editorial handling and advice from H. Becker, editorship from M. Norman and the management of A. Riches in including us in this special issue. Support for this work came from NASA Cosmochemistry and Emerging Worlds (NNX12AH75G &amp; NNX15AL74G to JMDD and NNX11AG586 to LAT).</t>
  </si>
  <si>
    <t>10.1016/j.gca.2017.06.042</t>
  </si>
  <si>
    <t>WOS:000411870500008</t>
  </si>
  <si>
    <t>Tkachenko, E</t>
  </si>
  <si>
    <t>Tkachenko, Ekaterina</t>
  </si>
  <si>
    <t>Possible role of electric forces in bromine activation during polar boundary layer ozone depletion and aerosol formation events</t>
  </si>
  <si>
    <t>POINT-DISCHARGE CURRENT; SEA-SALT AEROSOL; FROST FLOWERS; BLOWING SNOW; TROPOSPHERIC CHEMISTRY; ICE; ELECTROSPRAY; MERCURY; NITRATE; BRO</t>
  </si>
  <si>
    <t>This work presents a hypothesis about the mechanism of bromine activation during polar boundary layer ozone depletion events (ODEs) as well as the mechanism of aerosol formation from the frost flowers. The author suggests that ODEs may be initiated by the electric-field gradients created at the sharp tips of ice formations as a result of the combined effect of various environmental conditions. According to the author's estimates, these electric-field gradients may be sufficient for the onset of point or corona discharges followed by generation of high local concentrations of the reactive oxygen species and initiation of free-radical and redox reactions. This process may be responsible for the formation of seed bromine which then undergoes further amplification by HOBr-driven bromine explosion. The proposed hypothesis may explain a variety of environmental conditions and substrates as well as poor reproducibility of ODE initiation observed by researchers in the field. According to the author's estimates, high wind can generate sufficient conditions for overcoming the Rayleigh limit and thus can initiate spraying of charged aerosol nanoparticles. These charged aerosol nanoparticles can provoke formation of free radicals, turning the ODE on. One can also envision a possible emission of halogen ion as a result of the electrospray process analogous to that of electrospray ionization mass -spectrometry.</t>
  </si>
  <si>
    <t>[Tkachenko, Ekaterina] NAS Ukraine, Inst Geol Sci, Dept Antarctic Geoecol, Gonchara Str 55-B, UA-01054 Kiev, Ukraine</t>
  </si>
  <si>
    <t>National Academy of Sciences Ukraine; Institute of Geological Sciences, National Academy of Sciences of Ukraine</t>
  </si>
  <si>
    <t>Tkachenko, E (corresponding author), NAS Ukraine, Inst Geol Sci, Dept Antarctic Geoecol, Gonchara Str 55-B, UA-01054 Kiev, Ukraine.</t>
  </si>
  <si>
    <t>ktkachenko@igs-nas.org.ua</t>
  </si>
  <si>
    <t>Tkachenko, Ekaterina/T-1203-2017</t>
  </si>
  <si>
    <t>Tkachenko, Ekaterina/0000-0003-0334-2519</t>
  </si>
  <si>
    <t>National Academy of Science of Ukraine [0112U002100]</t>
  </si>
  <si>
    <t>National Academy of Science of Ukraine</t>
  </si>
  <si>
    <t>The author expresses her appreciation to Dr. Oleg Varzatskii for advices and discussions, and to Prof Petro Gozhyk for support. The study was supported by National Academy of Science of Ukraine, grant 0112U002100 Influence of atmospheric aerosols on the composition of Antarctic geosystem components and climate.</t>
  </si>
  <si>
    <t>10.1016/j.atmosres.2017.05.012</t>
  </si>
  <si>
    <t>WOS:000409290200001</t>
  </si>
  <si>
    <t>Knepper, R; Standish, M</t>
  </si>
  <si>
    <t>Knepper, Richard; Standish, Matthew</t>
  </si>
  <si>
    <t>Forward Observer system for radar data workflows: Big data management in the field</t>
  </si>
  <si>
    <t>FUTURE GENERATION COMPUTER SYSTEMS-THE INTERNATIONAL JOURNAL OF ESCIENCE</t>
  </si>
  <si>
    <t>Microcomputers; Information storage; Physical sciences and engineering</t>
  </si>
  <si>
    <t>There are unique challenges in managing data collection and management from instruments in the field in general. These issues become extreme when in the field means in a plane over the Antarctic. In this paper we present the design and function of the Forward Observer a computer cluster and data analysis system that flies in a plane in the Arctic and Antarctic to collect, analyze in real time, and store Synthetic Aperture Radar (SAR) data. SAR is used to analyze the thickness and structure of polar ice sheets. We also discuss the processing of data once it is returned to the continental US and made available via data grids. The needs for in-flight data analysis and storage in the Antarctic and Arctic are highly unusual, and we have developed a novel system to meet those needs. We describe the constraints and requirements that led to the creation of this system and the general functionality which it applies to any instrument. We discuss the main means for handling replication and creating checksum information to ensure that data collected in polar regions are returned safely to mainland US for analysis. So far, not a single byte of data collected in the field has failed to make it home to the US for analysis (although many particular data storage devices have failed or been damaged due to the challenges of the extreme environments in which this system is used). While the Forward Observer system is developed for the extreme situation of data management in the field in the Antarctic, the technology and solutions we have developed are applicable and potentially usable in many situations where researchers wish to do real time data management in the field in areas that are constrained in terms of electrical supply. (C) 2017 Elsevier B.V. All rights reserved.</t>
  </si>
  <si>
    <t>[Knepper, Richard; Standish, Matthew] Indiana Univ, Res Technol, 2709 E Tenth St, Bloomington, IN 47408 USA</t>
  </si>
  <si>
    <t>Knepper, R (corresponding author), Indiana Univ, Res Technol, 2709 E Tenth St, Bloomington, IN 47408 USA.</t>
  </si>
  <si>
    <t>rknepper@iu.edu; mstandis@iu.edu</t>
  </si>
  <si>
    <t>Knepper, Richard/0000-0002-4296-9421</t>
  </si>
  <si>
    <t>NASA [NNX10AT68G, NNX16AH54G]; NASA [122239, NNX10AT68G] Funding Source: Federal RePORTER</t>
  </si>
  <si>
    <t>NASA(National Aeronautics &amp; Space Administration (NASA)); NASA(National Aeronautics &amp; Space Administration (NASA))</t>
  </si>
  <si>
    <t>Support for the research that generated this article has been made as part of NASA Awards NNX10AT68G and NNX16AH54G. The authors would like to thank John Paden, Carson Gee, and Carl Leuschen of CReSIS for their contributions to workflow design, Art Mann of Silicon Mechanics for technical input, Drew Hoffman of Hoffman Design Works for fabrication of vibration-resistant materials, and Craig Stewart for comments on earlier versions of this report.</t>
  </si>
  <si>
    <t>0167-739X</t>
  </si>
  <si>
    <t>1872-7115</t>
  </si>
  <si>
    <t>FUTURE GENER COMP SY</t>
  </si>
  <si>
    <t>Futur. Gener. Comp. Syst.</t>
  </si>
  <si>
    <t>10.1016/j.future.2017.05.031</t>
  </si>
  <si>
    <t>Computer Science, Theory &amp; Methods</t>
  </si>
  <si>
    <t>FE1MU</t>
  </si>
  <si>
    <t>WOS:000407983100007</t>
  </si>
  <si>
    <t>Breivik, AJ; Faleide, JI; Mjelde, R; Flueh, ER; Murai, Y</t>
  </si>
  <si>
    <t>Breivik, Asbjorn Johan; Faleide, Jan Inge; Mjelde, Rolf; Flueh, Ernst R.; Murai, Yoshio</t>
  </si>
  <si>
    <t>A new tectono-magmatic model for the Lofoten/Vesteralen Margin at the outer limit of the Iceland Plume influence</t>
  </si>
  <si>
    <t>Ocean bottom seismometers; Large igneous provinces; Marine magnetics; Continental breakup</t>
  </si>
  <si>
    <t>VESTERALEN CONTINENTAL-MARGIN; MID-ATLANTIC RIDGE; LOFOTEN-VESTERALEN; NORTH-ATLANTIC; CRUSTAL STRUCTURE; VOLCANIC MARGIN; MAGNETIC-ANOMALIES; NORWEGIAN MARGIN; SOUTH-ATLANTIC; RIFTED MARGINS</t>
  </si>
  <si>
    <t>The Early Eocene continental breakup was magma-rich and formed part of the North Atlantic Igneous Province. Extrusive and intrusive magmatism was abundant on the continental side, and a thick oceanic crust was produced up to a few m.y. after breakup. However, the extensive magmatism at the Voring Plateau off mid-Norway died down rapidly northeastwards towards the Lofoten/Vesteralen Margin. In 2003 an Ocean Bottom Seismometer profile was collected from mainland Norway, across Lofoten, and into the deep ocean. Forward/inverse velocity modeling by raytracing reveals a continental margin transitional between magma-rich and magma-poor rifting. For the first time a distinct lower-crustal body typical for volcanic margins has been identified at this outer margin segment, up to 3.5 km thick and similar to 50 km wide. On the other hand, expected extrusive magmatism could not be clearly identified here. Strong reflections earlier interpreted as the top of extensive lavas may at least partly represent high-velocity sediments derived from the shelf, and/or fault surfaces. Early post-breakup oceanic crust is moderately thickened (similar to 8 km), but is reduced to 6 km after 1 m.y. The adjacent continental crystalline crust is extended down to a minimum of 4.5 km thickness. Early plate spreading rates derived from the Norway Basin and the northern Voring Plateau were used to calculate synthetic magnetic seafloor anomalies, and compared to our ship magnetic profile. It appears that continental breakup took place at similar to 53.1 Ma, similar to 1 m.y. later than on the Voring Plateau, consistent with late strong crustal extension. The low interaction between extension and magmatism indicates that mantle plume material was not present at the Lofoten Margin during initial rifting, and that the observed excess magmatism was created by late lateral transport from a nearby pool of plume material into the lithospheric rift zone at breakup time. (C) 2017 Elsevier B.V. All rights reserved.</t>
  </si>
  <si>
    <t>[Breivik, Asbjorn Johan; Faleide, Jan Inge] Univ Oslo, Dept Geosci, CEED, POB 1028, N-0315 Oslo, Norway; [Mjelde, Rolf] Univ Bergen, Dept Earth Sci, Bergen, Norway; [Flueh, Ernst R.] Leibniz Inst Marine Sci, IFM Geomar, Kiel, Germany; [Murai, Yoshio] Hokkaido Univ, Inst Seismol &amp; Volcanol, Sapporo, Hokkaido, Japan</t>
  </si>
  <si>
    <t>University of Oslo; University of Bergen; Helmholtz Association; GEOMAR Helmholtz Center for Ocean Research Kiel; Hokkaido University</t>
  </si>
  <si>
    <t>Breivik, AJ (corresponding author), Univ Oslo, Dept Geosci, CEED, POB 1028, N-0315 Oslo, Norway.</t>
  </si>
  <si>
    <t>a.j.breivik@geo.uio.no</t>
  </si>
  <si>
    <t>Murai, Yoshio/H-2484-2012</t>
  </si>
  <si>
    <t>European Science Foundation Euromargins program [CRP01]; Large Scale Facility at GEOMAR [HPRI-CT-2001-00154]; Research Council of Norway through its Centres of Excellence funding scheme [223272]</t>
  </si>
  <si>
    <t>European Science Foundation Euromargins program; Large Scale Facility at GEOMAR; Research Council of Norway through its Centres of Excellence funding scheme(Research Council of Norway)</t>
  </si>
  <si>
    <t>We thank H. Shimamura, O. Ritzmann, and A. Krabbenhoft for their invaluable participation in planning, executing, and initial processing of the OBS data, and C. Zelt for the forward/inversion seismic modeling software. Odleiv Olesen from the Geological Survey of Norway and Kajsa Hult from the Geological Survey of Sweden are thanked for providing gravity and magnetic grids. The first author would also like to thank Mike Coffin and Joanne Whittaker for organizing the stay at the Institute for Marine and Antarctic Studies (IMAS), University of Tasmania, Australia, where the main part of the paper was written. We would also like to thank the editor, an anonymous reviewer, and Bob White for their helpful reviews. The Research Council of Norway funded the wide-angle seismic survey under the European Science Foundation Euromargins program (CRP01). Additional funding was provided by the Large Scale Facility at GEOMAR, Project HPRI-CT-2001-00154. A.J. Breivik and J.I. Faleide acknowledge support from the Research Council of Norway through its Centres of Excellence funding scheme, project number 223272. The survey-specific data can be obtained by contacting authors A.J. Breivik or R. Mjelde. High-resolution topography/bathymetry is provided freely by the Norwegian Mapping Authority (www.kartverket.no).</t>
  </si>
  <si>
    <t>OCT 30</t>
  </si>
  <si>
    <t>10.1016/j.tecto.2017.07.002</t>
  </si>
  <si>
    <t>FM3DZ</t>
  </si>
  <si>
    <t>Green Accepted, Green Published, Green Submitted</t>
  </si>
  <si>
    <t>WOS:000414885800003</t>
  </si>
  <si>
    <t>Pauling, AG; Smith, IJ; Langhorne, PJ; Bitz, CM</t>
  </si>
  <si>
    <t>Pauling, Andrew G.; Smith, Inga J.; Langhorne, Patricia J.; Bitz, Cecilia M.</t>
  </si>
  <si>
    <t>Time-Dependent Freshwater Input From Ice Shelves: Impacts on Antarctic Sea Ice and the Southern Ocean in an Earth System Model</t>
  </si>
  <si>
    <t>CMIP5 MODELS; TRENDS; VARIABILITY; TRANSPORT; CLIMATE</t>
  </si>
  <si>
    <t>Earth System Models do not reproduce the observed increase in Antarctic sea ice extent which may be due to the unrealistic representation of ice shelves. Here we investigate the response of sea ice to increasing freshwater input from ice shelves using the Community Earth System Model with the Community Atmosphere Model version 5 [CESM1(CAM5)]. We have conducted model experiments adding fresh water as if from ice shelf melt with a linear increase in the rate of input over the period 1980-2013. Including the effect of heat loss from the ocean to melt ice shelves resulted in significantly more positive trends in sea ice area. We found that an increase in the rate of change of freshwater input of similar to 45 Gt yr(-2) was sufficient to offset the negative trend in sea ice area in CESM1(CAM5), although the freshwater input by the end of the experiment was larger than observed at that time.</t>
  </si>
  <si>
    <t>[Pauling, Andrew G.; Smith, Inga J.; Langhorne, Patricia J.] Univ Otago, Dept Phys, Dunedin, New Zealand; [Pauling, Andrew G.; Bitz, Cecilia M.] Univ Washington, Dept Atmospher Sci, Seattle, WA 98195 USA</t>
  </si>
  <si>
    <t>University of Otago; University of Washington; University of Washington Seattle</t>
  </si>
  <si>
    <t>Pauling, AG (corresponding author), Univ Otago, Dept Phys, Dunedin, New Zealand.;Pauling, AG (corresponding author), Univ Washington, Dept Atmospher Sci, Seattle, WA 98195 USA.</t>
  </si>
  <si>
    <t>andrewpauling109@gmail.com</t>
  </si>
  <si>
    <t>Bitz, Cecilia M/S-8423-2016; Langhorne, Pat/C-3539-2018</t>
  </si>
  <si>
    <t>Pauling, Andrew/0000-0003-4545-0809; Langhorne, Pat/0000-0003-0239-7657; Bitz, Cecilia/0000-0002-9477-7499</t>
  </si>
  <si>
    <t>Targeted observation and process-informed modelling of Antarctic sea ice part of the Deep South National Science Challenge; Kelly Tarlton's Antarctic Scholarship through the Antarctica New Zealand Postgraduate Research Scholarships Program; Fulbright U.S. Senior Scholar award; Fulbright New Zealand; National Science Foundation [PLR-1341497]; NeSI; Ministry of Business, Innovation and Employment's Research Infrastructure programme; U.S. National Science Foundation; Directorate For Geosciences; Office of Polar Programs (OPP) [1341497] Funding Source: National Science Foundation</t>
  </si>
  <si>
    <t>Targeted observation and process-informed modelling of Antarctic sea ice part of the Deep South National Science Challenge; Kelly Tarlton's Antarctic Scholarship through the Antarctica New Zealand Postgraduate Research Scholarships Program; Fulbright U.S. Senior Scholar award; Fulbright New Zealand; National Science Foundation(National Science Foundation (NSF)); NeSI; Ministry of Business, Innovation and Employment's Research Infrastructure programme(New Zealand Ministry of Business, Innovation and Employment (MBIE)); U.S. National Science Foundation(National Science Foundation (NSF)); Directorate For Geosciences; Office of Polar Programs (OPP)(National Science Foundation (NSF)NSF - Directorate for Geosciences (GEO))</t>
  </si>
  <si>
    <t>The authors thank Hannah Director and Andrew Rhines for help with the statistical analysis. The authors acknowledge support from Targeted observation and process-informed modelling of Antarctic sea ice which is part of the Deep South National Science Challenge and a subcontract to NIWA Core funding Antarctic and High Latitude Climate. A. G. P. gratefully acknowledges support from the Kelly Tarlton's Antarctic Scholarship (awarded through the Antarctica New Zealand Postgraduate Research Scholarships Program); C. M. B. gratefully acknowledges receiving a Fulbright U.S. Senior Scholar award as well as the support of Fulbright New Zealand, and funding from the National Science Foundation through grant PLR-1341497. The authors wish to acknowledge the contribution of NeSI high-performance computing facilities to the results of this research. NZ's national facilities are provided by the NZ eScience Infrastructure and funded jointly by NeSI's collaborator institutions and through the Ministry of Business, Innovation and Employment's Research Infrastructure programme. We thank Peter Maxwell in particular for his assistance in running CESM1(CAM5) on the cluster. A portion of our integrations were accomplished with high-performance computing support from Yellowstone (ark:/85065/d7wd3xhc) provided by NCAR's Computational and Information Systems Laboratory, sponsored by the U.S. National Science Foundation. We acknowledge the CESM1(CAM5) Large Ensemble Community Project. The model output from the LENS is freely available on the Earth System Grid gateway. The code modifications and input files necessary to reproduce the freshwater enhancement experiments with CESM1(CAM5) and the model output of our experiments are available from the authors upon request (andrewpauling109@gmail.com).</t>
  </si>
  <si>
    <t>OCT 28</t>
  </si>
  <si>
    <t>10.1002/2017GL075017</t>
  </si>
  <si>
    <t>FO3UW</t>
  </si>
  <si>
    <t>WOS:000416761600044</t>
  </si>
  <si>
    <t>Haas, C; Beckers, J; King, J; Silis, A; Stroeve, J; Wilkinson, J; Notenboom, B; Schweiger, A; Hendricks, S</t>
  </si>
  <si>
    <t>Haas, Christian; Beckers, Justin; King, Josh; Silis, Arvids; Stroeve, Julienne; Wilkinson, Jeremy; Notenboom, Bernice; Schweiger, Axel; Hendricks, Stefan</t>
  </si>
  <si>
    <t>Ice and Snow Thickness Variability and Change in the High Arctic Ocean Observed by In Situ Measurements</t>
  </si>
  <si>
    <t>SEA; DEPTH</t>
  </si>
  <si>
    <t>In April 2017, we collected unique, extensive in situ data of sea ice and snow thickness. At 10 sampling sites, located under a CryoSat-2 overpass, between Ellesmere Island and 87.1 degrees N mean and modal total ice thicknesses ranged between 2 to 3.4 m and 1.8 to 2.9 m, respectively. Coincident snow thicknesses ranged between 0.3 to 0.47 m (mean) and 0.1 to 0.5 m (mode). The profile spanned the complete multiyear ice zone in the Lincoln Sea, into the first-year ice zone farther north. Complementary snow thickness measurements near the North Pole showed a mean thickness of 0.31 m. Compared with scarce measurements from other years, multiyear ice was up to 0.75 m thinner than in 2004, but not significantly different from 2011 and 2014. We found excellent agreement with a commonly used snow climatology and with published long-term ice thinning rates. There was reasonable agreement with CryoSat-2 thickness retrievals.</t>
  </si>
  <si>
    <t>[Haas, Christian; Hendricks, Stefan] Alfred Wegener Inst Polar &amp; Marine Res, Bremerhaven, Germany; [Haas, Christian; Beckers, Justin] York Univ, Dept Earth &amp; Space Sci &amp; Engn, Toronto, ON, Canada; [Beckers, Justin] Univ Alberta, Dept Earth &amp; Atmospher Sci, Edmonton, AB, Canada; [King, Josh; Silis, Arvids] Environm &amp; Climate Change Canada, Climate Res Div, Toronto, ON, Canada; [Stroeve, Julienne] UCL, Ctr Polar Observat &amp; Modeling, London, England; [Wilkinson, Jeremy] British Antarctic Survey, Cambridge, England; [Schweiger, Axel] Univ Washington, Polar Sci Ctr, Seattle, WA USA</t>
  </si>
  <si>
    <t>Helmholtz Association; Alfred Wegener Institute, Helmholtz Centre for Polar &amp; Marine Research; York University - Canada; University of Alberta; Environment &amp; Climate Change Canada; University of London; University College London; UK Research &amp; Innovation (UKRI); Natural Environment Research Council (NERC); NERC British Antarctic Survey; University of Washington; University of Washington Seattle</t>
  </si>
  <si>
    <t>Haas, C (corresponding author), Alfred Wegener Inst Polar &amp; Marine Res, Bremerhaven, Germany.;Haas, C (corresponding author), York Univ, Dept Earth &amp; Space Sci &amp; Engn, Toronto, ON, Canada.</t>
  </si>
  <si>
    <t>chaas@awi.de</t>
  </si>
  <si>
    <t>Hendricks, Stefan/D-5168-2011; Stroeve, Julienne/ABE-7227-2020; Haas, Christian/L-5279-2016; Beckers, Justin/I-2806-2014</t>
  </si>
  <si>
    <t>Hendricks, Stefan/0000-0002-1412-3146; Haas, Christian/0000-0002-7674-3500; Stroeve, Julienne/0000-0001-7316-8320; King, Joshua/0000-0002-0353-8987; Schweiger, Axel J./0000-0002-8704-4123; Beckers, Justin/0000-0003-0751-3995</t>
  </si>
  <si>
    <t>European Space Agency's (ESA) [4000120131/17/NL/FF/mg]; Natural Sciences and Engineering Research Council (NSERC); Canada Research Chair (CRC) programs; Alfred Wegener Institute for Polar and Marine Research (AWI); EU; Environment and Climate Change Canada (ECCC); NASA; ONR; Natural Environment Research Council [bas0100032] Funding Source: researchfish; NERC [bas0100032] Funding Source: UKRI</t>
  </si>
  <si>
    <t>European Space Agency's (ESA)(European Space Agency); Natural Sciences and Engineering Research Council (NSERC)(Natural Sciences and Engineering Research Council of Canada (NSERC)); Canada Research Chair (CRC) programs; Alfred Wegener Institute for Polar and Marine Research (AWI); EU(European Union (EU)); Environment and Climate Change Canada (ECCC); NASA(National Aeronautics &amp; Space Administration (NASA)); ONR(Office of Naval Research); Natural Environment Research Council(UK Research &amp; Innovation (UKRI)Natural Environment Research Council (NERC)); NERC(UK Research &amp; Innovation (UKRI)Natural Environment Research Council (NERC))</t>
  </si>
  <si>
    <t>Summaries of data gathered for this study are available in Table S1 of this manuscript. Raw data will be provided by the European Space Agency's (ESA) Earth Observation Campaigns Data web portal at https://earth.esa.int/web/guest/campaigns. CryoSat data were obtained from http://www.meereisportal.de and http://www.cpom.ucl.ac.uk/csopr/seaice.html. We are grateful for financial support by the European Space Agency's (ESA) CryoVEx campaigns, contract 4000120131/17/NL/FF/mg, Natural Sciences and Engineering Research Council (NSERC) and Canada Research Chair (CRC) programs, Alfred Wegener Institute for Polar and Marine Research (AWI), EU-funded ICE-ARC program, Environment and Climate Change Canada (ECCC), and NASA and ONR. We thank Andrew Platt, Jim Milne, and Chris Brown for their invaluable help with access to and working at CFS Alert, and staff at CFS Alert for their hospitality and great support. This project would not have been possible without the enthusiasm and professionalism of one of the most experienced ice pilots in the world, Captain Troy McKerral, and his crew from Kenn Borek Air, Calgary AB. They were backed by a Twin Otter operated by British Antarctic Survey.</t>
  </si>
  <si>
    <t>10.1002/2017GL075434</t>
  </si>
  <si>
    <t>Green Published, hybrid, Green Accepted, Green Submitted</t>
  </si>
  <si>
    <t>WOS:000416761600045</t>
  </si>
  <si>
    <t>de Boer, B; Haywood, AM; Dolan, AM; Hunter, SJ; Prescott, CL</t>
  </si>
  <si>
    <t>de Boer, Bas; Haywood, Alan M.; Dolan, Aisling M.; Hunter, Stephen J.; Prescott, Caroline L.</t>
  </si>
  <si>
    <t>The Transient Response of Ice Volume to Orbital Forcing During the Warm Late Pliocene</t>
  </si>
  <si>
    <t>MODEL INTERCOMPARISON PROJECT; MID-PLIOCENE; CLIMATE SENSITIVITY; EXPERIMENTAL-DESIGN; SHEET; PERIOD; DEPENDENCY; ANTARCTICA; SIMULATION; SURFACE</t>
  </si>
  <si>
    <t>Examining the nature of ice sheet and sea level response to past episodes of enhanced greenhouse gas forcing may help constrain future sea level change. Here, for the first time, we present the transient nature of ice sheets and sea level during the late Pliocene. The transient ice sheet predictions are forced by multiple climate snapshots derived from a climate model set up with late Pliocene boundary conditions, forced with different orbital forcing scenarios appropriate to two Marine Isotope Stages (MISs), MIS KM5c, and K1. Our results indicate that during MIS KM5c both the Antarctic and Greenland ice sheets contributed to sea level rise relative to present and were relatively stable. Insolation forcing between the hemispheres was out of phase during MIS K1 and led to an asynchronous response of ice volume globally. Therefore, when variations of precession were high, inferring the behavior of ice sheets from benthic isotope or sea level records is complex.</t>
  </si>
  <si>
    <t>[de Boer, Bas] Univ Utrecht, Inst Marine &amp; Atmospher Res Utrecht, Utrecht, Netherlands; [de Boer, Bas; Haywood, Alan M.; Dolan, Aisling M.; Hunter, Stephen J.; Prescott, Caroline L.] Univ Leeds, Sch Earth &amp; Environm, Leeds, W Yorkshire, England</t>
  </si>
  <si>
    <t>Utrecht University; University of Leeds</t>
  </si>
  <si>
    <t>de Boer, B (corresponding author), Univ Utrecht, Inst Marine &amp; Atmospher Res Utrecht, Utrecht, Netherlands.;de Boer, B (corresponding author), Univ Leeds, Sch Earth &amp; Environm, Leeds, W Yorkshire, England.</t>
  </si>
  <si>
    <t>b.deboer@uu.nl</t>
  </si>
  <si>
    <t>Dolan, Aisling M/D-2625-2012</t>
  </si>
  <si>
    <t>de Boer, Bas/0000-0002-3696-6654; Dolan, Aisling/0000-0002-9585-9648; Prescott, Caroline/0000-0002-0327-0239</t>
  </si>
  <si>
    <t>European Union [660814]; NWO Earth and Life Sciences (ALW) [863.15.019]; European Research Council under the European Union/ERC [278636]; EPSRC; EPSRC [EP/M008363/1] Funding Source: UKRI; Engineering and Physical Sciences Research Council [EP/M008363/1] Funding Source: researchfish; Marie Curie Actions (MSCA) [660814] Funding Source: Marie Curie Actions (MSCA)</t>
  </si>
  <si>
    <t>European Union(European Union (EU)); NWO Earth and Life Sciences (ALW); European Research Council under the European Union/ERC(European Research Council (ERC)); EPSRC(UK Research &amp; Innovation (UKRI)Engineering &amp; Physical Sciences Research Council (EPSRC)); EPSRC(UK Research &amp; Innovation (UKRI)Engineering &amp; Physical Sciences Research Council (EPSRC)); Engineering and Physical Sciences Research Council(UK Research &amp; Innovation (UKRI)Engineering &amp; Physical Sciences Research Council (EPSRC)); Marie Curie Actions (MSCA)(Marie Curie Actions)</t>
  </si>
  <si>
    <t>This project has received funding from the European Union's Horizon 2020 research and innovation program under the Marie Sklodowska-Curie grant agreement 660814. B. de Boer is currently funded by NWO Earth and Life Sciences (ALW), project 863.15.019. A. M. Haywood, A. M. Dolan, S. J. Hunter, and C. L. Prescott acknowledge funding from the European Research Council under the European Union's Seventh Framework Programme (FP7/2007-2013)/ERC grant agreement 278636, as well as the EPSRC-supported Past Earth Network. All ice sheet model simulations were undertaken on ARC2, part of the High Performance Computing facilities at the University of Leeds, UK. Model data are available upon request. Ice sheet model output is available on the author's website and on the data repository Pangaea.</t>
  </si>
  <si>
    <t>10.1002/2017GL073535</t>
  </si>
  <si>
    <t>WOS:000416761600048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</si>
</sst>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89</v>
      </c>
      <c r="AE2" t="s">
        <v>90</v>
      </c>
      <c r="AF2" t="s">
        <v>74</v>
      </c>
      <c r="AG2">
        <v>56</v>
      </c>
      <c r="AH2">
        <v>22</v>
      </c>
      <c r="AI2">
        <v>23</v>
      </c>
      <c r="AJ2">
        <v>6</v>
      </c>
      <c r="AK2">
        <v>57</v>
      </c>
      <c r="AL2" t="s">
        <v>91</v>
      </c>
      <c r="AM2" t="s">
        <v>92</v>
      </c>
      <c r="AN2" t="s">
        <v>93</v>
      </c>
      <c r="AO2" t="s">
        <v>94</v>
      </c>
      <c r="AP2" t="s">
        <v>95</v>
      </c>
      <c r="AQ2" t="s">
        <v>74</v>
      </c>
      <c r="AR2" t="s">
        <v>96</v>
      </c>
      <c r="AS2" t="s">
        <v>97</v>
      </c>
      <c r="AT2" t="s">
        <v>98</v>
      </c>
      <c r="AU2">
        <v>2018</v>
      </c>
      <c r="AV2">
        <v>285</v>
      </c>
      <c r="AW2">
        <v>1871</v>
      </c>
      <c r="AX2" t="s">
        <v>74</v>
      </c>
      <c r="AY2" t="s">
        <v>74</v>
      </c>
      <c r="AZ2" t="s">
        <v>74</v>
      </c>
      <c r="BA2" t="s">
        <v>74</v>
      </c>
      <c r="BB2" t="s">
        <v>74</v>
      </c>
      <c r="BC2" t="s">
        <v>74</v>
      </c>
      <c r="BD2">
        <v>20171936</v>
      </c>
      <c r="BE2" t="s">
        <v>99</v>
      </c>
      <c r="BF2" t="str">
        <f>HYPERLINK("http://dx.doi.org/10.1098/rspb.2017.1936","http://dx.doi.org/10.1098/rspb.2017.1936")</f>
        <v>http://dx.doi.org/10.1098/rspb.2017.1936</v>
      </c>
      <c r="BG2" t="s">
        <v>74</v>
      </c>
      <c r="BH2" t="s">
        <v>74</v>
      </c>
      <c r="BI2">
        <v>9</v>
      </c>
      <c r="BJ2" t="s">
        <v>100</v>
      </c>
      <c r="BK2" t="s">
        <v>101</v>
      </c>
      <c r="BL2" t="s">
        <v>102</v>
      </c>
      <c r="BM2" t="s">
        <v>103</v>
      </c>
      <c r="BN2">
        <v>29367390</v>
      </c>
      <c r="BO2" t="s">
        <v>104</v>
      </c>
      <c r="BP2" t="s">
        <v>74</v>
      </c>
      <c r="BQ2" t="s">
        <v>74</v>
      </c>
      <c r="BR2" t="s">
        <v>105</v>
      </c>
      <c r="BS2" t="s">
        <v>106</v>
      </c>
      <c r="BT2" t="str">
        <f>HYPERLINK("https%3A%2F%2Fwww.webofscience.com%2Fwos%2Fwoscc%2Ffull-record%2FWOS:000423774700005","View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79</v>
      </c>
      <c r="O3" t="s">
        <v>74</v>
      </c>
      <c r="P3" t="s">
        <v>74</v>
      </c>
      <c r="Q3" t="s">
        <v>74</v>
      </c>
      <c r="R3" t="s">
        <v>74</v>
      </c>
      <c r="S3" t="s">
        <v>74</v>
      </c>
      <c r="T3" t="s">
        <v>74</v>
      </c>
      <c r="U3" t="s">
        <v>111</v>
      </c>
      <c r="V3" t="s">
        <v>112</v>
      </c>
      <c r="W3" t="s">
        <v>113</v>
      </c>
      <c r="X3" t="s">
        <v>114</v>
      </c>
      <c r="Y3" t="s">
        <v>115</v>
      </c>
      <c r="Z3" t="s">
        <v>116</v>
      </c>
      <c r="AA3" t="s">
        <v>117</v>
      </c>
      <c r="AB3" t="s">
        <v>118</v>
      </c>
      <c r="AC3" t="s">
        <v>119</v>
      </c>
      <c r="AD3" t="s">
        <v>120</v>
      </c>
      <c r="AE3" t="s">
        <v>121</v>
      </c>
      <c r="AF3" t="s">
        <v>74</v>
      </c>
      <c r="AG3">
        <v>46</v>
      </c>
      <c r="AH3">
        <v>63</v>
      </c>
      <c r="AI3">
        <v>69</v>
      </c>
      <c r="AJ3">
        <v>2</v>
      </c>
      <c r="AK3">
        <v>65</v>
      </c>
      <c r="AL3" t="s">
        <v>122</v>
      </c>
      <c r="AM3" t="s">
        <v>123</v>
      </c>
      <c r="AN3" t="s">
        <v>124</v>
      </c>
      <c r="AO3" t="s">
        <v>125</v>
      </c>
      <c r="AP3" t="s">
        <v>74</v>
      </c>
      <c r="AQ3" t="s">
        <v>74</v>
      </c>
      <c r="AR3" t="s">
        <v>110</v>
      </c>
      <c r="AS3" t="s">
        <v>126</v>
      </c>
      <c r="AT3" t="s">
        <v>98</v>
      </c>
      <c r="AU3">
        <v>2018</v>
      </c>
      <c r="AV3">
        <v>13</v>
      </c>
      <c r="AW3">
        <v>1</v>
      </c>
      <c r="AX3" t="s">
        <v>74</v>
      </c>
      <c r="AY3" t="s">
        <v>74</v>
      </c>
      <c r="AZ3" t="s">
        <v>74</v>
      </c>
      <c r="BA3" t="s">
        <v>74</v>
      </c>
      <c r="BB3" t="s">
        <v>74</v>
      </c>
      <c r="BC3" t="s">
        <v>74</v>
      </c>
      <c r="BD3" t="s">
        <v>127</v>
      </c>
      <c r="BE3" t="s">
        <v>128</v>
      </c>
      <c r="BF3" t="str">
        <f>HYPERLINK("http://dx.doi.org/10.1371/journal.pone.0191011","http://dx.doi.org/10.1371/journal.pone.0191011")</f>
        <v>http://dx.doi.org/10.1371/journal.pone.0191011</v>
      </c>
      <c r="BG3" t="s">
        <v>74</v>
      </c>
      <c r="BH3" t="s">
        <v>74</v>
      </c>
      <c r="BI3">
        <v>21</v>
      </c>
      <c r="BJ3" t="s">
        <v>129</v>
      </c>
      <c r="BK3" t="s">
        <v>101</v>
      </c>
      <c r="BL3" t="s">
        <v>130</v>
      </c>
      <c r="BM3" t="s">
        <v>131</v>
      </c>
      <c r="BN3">
        <v>29385153</v>
      </c>
      <c r="BO3" t="s">
        <v>132</v>
      </c>
      <c r="BP3" t="s">
        <v>74</v>
      </c>
      <c r="BQ3" t="s">
        <v>74</v>
      </c>
      <c r="BR3" t="s">
        <v>105</v>
      </c>
      <c r="BS3" t="s">
        <v>133</v>
      </c>
      <c r="BT3" t="str">
        <f>HYPERLINK("https%3A%2F%2Fwww.webofscience.com%2Fwos%2Fwoscc%2Ffull-record%2FWOS:000423668400032","View Full Record in Web of Science")</f>
        <v>View Full Record in Web of Science</v>
      </c>
    </row>
    <row r="4" spans="1:72" x14ac:dyDescent="0.15">
      <c r="A4" t="s">
        <v>72</v>
      </c>
      <c r="B4" t="s">
        <v>134</v>
      </c>
      <c r="C4" t="s">
        <v>74</v>
      </c>
      <c r="D4" t="s">
        <v>74</v>
      </c>
      <c r="E4" t="s">
        <v>74</v>
      </c>
      <c r="F4" t="s">
        <v>135</v>
      </c>
      <c r="G4" t="s">
        <v>74</v>
      </c>
      <c r="H4" t="s">
        <v>74</v>
      </c>
      <c r="I4" t="s">
        <v>136</v>
      </c>
      <c r="J4" t="s">
        <v>137</v>
      </c>
      <c r="K4" t="s">
        <v>74</v>
      </c>
      <c r="L4" t="s">
        <v>74</v>
      </c>
      <c r="M4" t="s">
        <v>78</v>
      </c>
      <c r="N4" t="s">
        <v>79</v>
      </c>
      <c r="O4" t="s">
        <v>74</v>
      </c>
      <c r="P4" t="s">
        <v>74</v>
      </c>
      <c r="Q4" t="s">
        <v>74</v>
      </c>
      <c r="R4" t="s">
        <v>74</v>
      </c>
      <c r="S4" t="s">
        <v>74</v>
      </c>
      <c r="T4" t="s">
        <v>74</v>
      </c>
      <c r="U4" t="s">
        <v>138</v>
      </c>
      <c r="V4" t="s">
        <v>139</v>
      </c>
      <c r="W4" t="s">
        <v>140</v>
      </c>
      <c r="X4" t="s">
        <v>141</v>
      </c>
      <c r="Y4" t="s">
        <v>142</v>
      </c>
      <c r="Z4" t="s">
        <v>143</v>
      </c>
      <c r="AA4" t="s">
        <v>144</v>
      </c>
      <c r="AB4" t="s">
        <v>145</v>
      </c>
      <c r="AC4" t="s">
        <v>146</v>
      </c>
      <c r="AD4" t="s">
        <v>147</v>
      </c>
      <c r="AE4" t="s">
        <v>148</v>
      </c>
      <c r="AF4" t="s">
        <v>74</v>
      </c>
      <c r="AG4">
        <v>84</v>
      </c>
      <c r="AH4">
        <v>12</v>
      </c>
      <c r="AI4">
        <v>16</v>
      </c>
      <c r="AJ4">
        <v>2</v>
      </c>
      <c r="AK4">
        <v>31</v>
      </c>
      <c r="AL4" t="s">
        <v>149</v>
      </c>
      <c r="AM4" t="s">
        <v>150</v>
      </c>
      <c r="AN4" t="s">
        <v>151</v>
      </c>
      <c r="AO4" t="s">
        <v>152</v>
      </c>
      <c r="AP4" t="s">
        <v>153</v>
      </c>
      <c r="AQ4" t="s">
        <v>74</v>
      </c>
      <c r="AR4" t="s">
        <v>137</v>
      </c>
      <c r="AS4" t="s">
        <v>154</v>
      </c>
      <c r="AT4" t="s">
        <v>155</v>
      </c>
      <c r="AU4">
        <v>2018</v>
      </c>
      <c r="AV4">
        <v>15</v>
      </c>
      <c r="AW4">
        <v>2</v>
      </c>
      <c r="AX4" t="s">
        <v>74</v>
      </c>
      <c r="AY4" t="s">
        <v>74</v>
      </c>
      <c r="AZ4" t="s">
        <v>74</v>
      </c>
      <c r="BA4" t="s">
        <v>74</v>
      </c>
      <c r="BB4">
        <v>581</v>
      </c>
      <c r="BC4">
        <v>595</v>
      </c>
      <c r="BD4" t="s">
        <v>74</v>
      </c>
      <c r="BE4" t="s">
        <v>156</v>
      </c>
      <c r="BF4" t="str">
        <f>HYPERLINK("http://dx.doi.org/10.5194/bg-15-581-2018","http://dx.doi.org/10.5194/bg-15-581-2018")</f>
        <v>http://dx.doi.org/10.5194/bg-15-581-2018</v>
      </c>
      <c r="BG4" t="s">
        <v>74</v>
      </c>
      <c r="BH4" t="s">
        <v>74</v>
      </c>
      <c r="BI4">
        <v>15</v>
      </c>
      <c r="BJ4" t="s">
        <v>157</v>
      </c>
      <c r="BK4" t="s">
        <v>101</v>
      </c>
      <c r="BL4" t="s">
        <v>158</v>
      </c>
      <c r="BM4" t="s">
        <v>159</v>
      </c>
      <c r="BN4" t="s">
        <v>74</v>
      </c>
      <c r="BO4" t="s">
        <v>160</v>
      </c>
      <c r="BP4" t="s">
        <v>74</v>
      </c>
      <c r="BQ4" t="s">
        <v>74</v>
      </c>
      <c r="BR4" t="s">
        <v>105</v>
      </c>
      <c r="BS4" t="s">
        <v>161</v>
      </c>
      <c r="BT4" t="str">
        <f>HYPERLINK("https%3A%2F%2Fwww.webofscience.com%2Fwos%2Fwoscc%2Ffull-record%2FWOS:000423725000001","View Full Record in Web of Science")</f>
        <v>View Full Record in Web of Science</v>
      </c>
    </row>
    <row r="5" spans="1:72" x14ac:dyDescent="0.15">
      <c r="A5" t="s">
        <v>72</v>
      </c>
      <c r="B5" t="s">
        <v>162</v>
      </c>
      <c r="C5" t="s">
        <v>74</v>
      </c>
      <c r="D5" t="s">
        <v>74</v>
      </c>
      <c r="E5" t="s">
        <v>74</v>
      </c>
      <c r="F5" t="s">
        <v>163</v>
      </c>
      <c r="G5" t="s">
        <v>74</v>
      </c>
      <c r="H5" t="s">
        <v>74</v>
      </c>
      <c r="I5" t="s">
        <v>164</v>
      </c>
      <c r="J5" t="s">
        <v>165</v>
      </c>
      <c r="K5" t="s">
        <v>74</v>
      </c>
      <c r="L5" t="s">
        <v>74</v>
      </c>
      <c r="M5" t="s">
        <v>78</v>
      </c>
      <c r="N5" t="s">
        <v>79</v>
      </c>
      <c r="O5" t="s">
        <v>74</v>
      </c>
      <c r="P5" t="s">
        <v>74</v>
      </c>
      <c r="Q5" t="s">
        <v>74</v>
      </c>
      <c r="R5" t="s">
        <v>74</v>
      </c>
      <c r="S5" t="s">
        <v>74</v>
      </c>
      <c r="T5" t="s">
        <v>74</v>
      </c>
      <c r="U5" t="s">
        <v>166</v>
      </c>
      <c r="V5" t="s">
        <v>167</v>
      </c>
      <c r="W5" t="s">
        <v>168</v>
      </c>
      <c r="X5" t="s">
        <v>169</v>
      </c>
      <c r="Y5" t="s">
        <v>170</v>
      </c>
      <c r="Z5" t="s">
        <v>171</v>
      </c>
      <c r="AA5" t="s">
        <v>172</v>
      </c>
      <c r="AB5" t="s">
        <v>173</v>
      </c>
      <c r="AC5" t="s">
        <v>174</v>
      </c>
      <c r="AD5" t="s">
        <v>175</v>
      </c>
      <c r="AE5" t="s">
        <v>176</v>
      </c>
      <c r="AF5" t="s">
        <v>74</v>
      </c>
      <c r="AG5">
        <v>57</v>
      </c>
      <c r="AH5">
        <v>47</v>
      </c>
      <c r="AI5">
        <v>50</v>
      </c>
      <c r="AJ5">
        <v>1</v>
      </c>
      <c r="AK5">
        <v>63</v>
      </c>
      <c r="AL5" t="s">
        <v>149</v>
      </c>
      <c r="AM5" t="s">
        <v>150</v>
      </c>
      <c r="AN5" t="s">
        <v>151</v>
      </c>
      <c r="AO5" t="s">
        <v>177</v>
      </c>
      <c r="AP5" t="s">
        <v>178</v>
      </c>
      <c r="AQ5" t="s">
        <v>74</v>
      </c>
      <c r="AR5" t="s">
        <v>179</v>
      </c>
      <c r="AS5" t="s">
        <v>180</v>
      </c>
      <c r="AT5" t="s">
        <v>181</v>
      </c>
      <c r="AU5">
        <v>2018</v>
      </c>
      <c r="AV5">
        <v>18</v>
      </c>
      <c r="AW5">
        <v>2</v>
      </c>
      <c r="AX5" t="s">
        <v>74</v>
      </c>
      <c r="AY5" t="s">
        <v>74</v>
      </c>
      <c r="AZ5" t="s">
        <v>74</v>
      </c>
      <c r="BA5" t="s">
        <v>74</v>
      </c>
      <c r="BB5">
        <v>1091</v>
      </c>
      <c r="BC5">
        <v>1114</v>
      </c>
      <c r="BD5" t="s">
        <v>74</v>
      </c>
      <c r="BE5" t="s">
        <v>182</v>
      </c>
      <c r="BF5" t="str">
        <f>HYPERLINK("http://dx.doi.org/10.5194/acp-18-1091-2018","http://dx.doi.org/10.5194/acp-18-1091-2018")</f>
        <v>http://dx.doi.org/10.5194/acp-18-1091-2018</v>
      </c>
      <c r="BG5" t="s">
        <v>74</v>
      </c>
      <c r="BH5" t="s">
        <v>74</v>
      </c>
      <c r="BI5">
        <v>24</v>
      </c>
      <c r="BJ5" t="s">
        <v>183</v>
      </c>
      <c r="BK5" t="s">
        <v>101</v>
      </c>
      <c r="BL5" t="s">
        <v>184</v>
      </c>
      <c r="BM5" t="s">
        <v>185</v>
      </c>
      <c r="BN5" t="s">
        <v>74</v>
      </c>
      <c r="BO5" t="s">
        <v>186</v>
      </c>
      <c r="BP5" t="s">
        <v>74</v>
      </c>
      <c r="BQ5" t="s">
        <v>74</v>
      </c>
      <c r="BR5" t="s">
        <v>105</v>
      </c>
      <c r="BS5" t="s">
        <v>187</v>
      </c>
      <c r="BT5" t="str">
        <f>HYPERLINK("https%3A%2F%2Fwww.webofscience.com%2Fwos%2Fwoscc%2Ffull-record%2FWOS:000423506100001","View Full Record in Web of Science")</f>
        <v>View Full Record in Web of Science</v>
      </c>
    </row>
    <row r="6" spans="1:72" x14ac:dyDescent="0.15">
      <c r="A6" t="s">
        <v>72</v>
      </c>
      <c r="B6" t="s">
        <v>188</v>
      </c>
      <c r="C6" t="s">
        <v>74</v>
      </c>
      <c r="D6" t="s">
        <v>74</v>
      </c>
      <c r="E6" t="s">
        <v>74</v>
      </c>
      <c r="F6" t="s">
        <v>189</v>
      </c>
      <c r="G6" t="s">
        <v>74</v>
      </c>
      <c r="H6" t="s">
        <v>74</v>
      </c>
      <c r="I6" t="s">
        <v>190</v>
      </c>
      <c r="J6" t="s">
        <v>191</v>
      </c>
      <c r="K6" t="s">
        <v>74</v>
      </c>
      <c r="L6" t="s">
        <v>74</v>
      </c>
      <c r="M6" t="s">
        <v>78</v>
      </c>
      <c r="N6" t="s">
        <v>79</v>
      </c>
      <c r="O6" t="s">
        <v>74</v>
      </c>
      <c r="P6" t="s">
        <v>74</v>
      </c>
      <c r="Q6" t="s">
        <v>74</v>
      </c>
      <c r="R6" t="s">
        <v>74</v>
      </c>
      <c r="S6" t="s">
        <v>74</v>
      </c>
      <c r="T6" t="s">
        <v>192</v>
      </c>
      <c r="U6" t="s">
        <v>193</v>
      </c>
      <c r="V6" t="s">
        <v>194</v>
      </c>
      <c r="W6" t="s">
        <v>195</v>
      </c>
      <c r="X6" t="s">
        <v>196</v>
      </c>
      <c r="Y6" t="s">
        <v>197</v>
      </c>
      <c r="Z6" t="s">
        <v>198</v>
      </c>
      <c r="AA6" t="s">
        <v>199</v>
      </c>
      <c r="AB6" t="s">
        <v>200</v>
      </c>
      <c r="AC6" t="s">
        <v>201</v>
      </c>
      <c r="AD6" t="s">
        <v>202</v>
      </c>
      <c r="AE6" t="s">
        <v>203</v>
      </c>
      <c r="AF6" t="s">
        <v>74</v>
      </c>
      <c r="AG6">
        <v>42</v>
      </c>
      <c r="AH6">
        <v>6</v>
      </c>
      <c r="AI6">
        <v>8</v>
      </c>
      <c r="AJ6">
        <v>0</v>
      </c>
      <c r="AK6">
        <v>9</v>
      </c>
      <c r="AL6" t="s">
        <v>149</v>
      </c>
      <c r="AM6" t="s">
        <v>150</v>
      </c>
      <c r="AN6" t="s">
        <v>151</v>
      </c>
      <c r="AO6" t="s">
        <v>204</v>
      </c>
      <c r="AP6" t="s">
        <v>205</v>
      </c>
      <c r="AQ6" t="s">
        <v>74</v>
      </c>
      <c r="AR6" t="s">
        <v>206</v>
      </c>
      <c r="AS6" t="s">
        <v>207</v>
      </c>
      <c r="AT6" t="s">
        <v>181</v>
      </c>
      <c r="AU6">
        <v>2018</v>
      </c>
      <c r="AV6">
        <v>36</v>
      </c>
      <c r="AW6">
        <v>1</v>
      </c>
      <c r="AX6" t="s">
        <v>74</v>
      </c>
      <c r="AY6" t="s">
        <v>74</v>
      </c>
      <c r="AZ6" t="s">
        <v>74</v>
      </c>
      <c r="BA6" t="s">
        <v>74</v>
      </c>
      <c r="BB6">
        <v>167</v>
      </c>
      <c r="BC6">
        <v>180</v>
      </c>
      <c r="BD6" t="s">
        <v>74</v>
      </c>
      <c r="BE6" t="s">
        <v>208</v>
      </c>
      <c r="BF6" t="str">
        <f>HYPERLINK("http://dx.doi.org/10.5194/angeo-36-167-2018","http://dx.doi.org/10.5194/angeo-36-167-2018")</f>
        <v>http://dx.doi.org/10.5194/angeo-36-167-2018</v>
      </c>
      <c r="BG6" t="s">
        <v>74</v>
      </c>
      <c r="BH6" t="s">
        <v>74</v>
      </c>
      <c r="BI6">
        <v>14</v>
      </c>
      <c r="BJ6" t="s">
        <v>209</v>
      </c>
      <c r="BK6" t="s">
        <v>101</v>
      </c>
      <c r="BL6" t="s">
        <v>210</v>
      </c>
      <c r="BM6" t="s">
        <v>211</v>
      </c>
      <c r="BN6" t="s">
        <v>74</v>
      </c>
      <c r="BO6" t="s">
        <v>212</v>
      </c>
      <c r="BP6" t="s">
        <v>74</v>
      </c>
      <c r="BQ6" t="s">
        <v>74</v>
      </c>
      <c r="BR6" t="s">
        <v>105</v>
      </c>
      <c r="BS6" t="s">
        <v>213</v>
      </c>
      <c r="BT6" t="str">
        <f>HYPERLINK("https%3A%2F%2Fwww.webofscience.com%2Fwos%2Fwoscc%2Ffull-record%2FWOS:000423804900002","View Full Record in Web of Science")</f>
        <v>View Full Record in Web of Science</v>
      </c>
    </row>
    <row r="7" spans="1:72" x14ac:dyDescent="0.15">
      <c r="A7" t="s">
        <v>72</v>
      </c>
      <c r="B7" t="s">
        <v>214</v>
      </c>
      <c r="C7" t="s">
        <v>74</v>
      </c>
      <c r="D7" t="s">
        <v>74</v>
      </c>
      <c r="E7" t="s">
        <v>74</v>
      </c>
      <c r="F7" t="s">
        <v>215</v>
      </c>
      <c r="G7" t="s">
        <v>74</v>
      </c>
      <c r="H7" t="s">
        <v>74</v>
      </c>
      <c r="I7" t="s">
        <v>216</v>
      </c>
      <c r="J7" t="s">
        <v>217</v>
      </c>
      <c r="K7" t="s">
        <v>74</v>
      </c>
      <c r="L7" t="s">
        <v>74</v>
      </c>
      <c r="M7" t="s">
        <v>78</v>
      </c>
      <c r="N7" t="s">
        <v>79</v>
      </c>
      <c r="O7" t="s">
        <v>74</v>
      </c>
      <c r="P7" t="s">
        <v>74</v>
      </c>
      <c r="Q7" t="s">
        <v>74</v>
      </c>
      <c r="R7" t="s">
        <v>74</v>
      </c>
      <c r="S7" t="s">
        <v>74</v>
      </c>
      <c r="T7" t="s">
        <v>74</v>
      </c>
      <c r="U7" t="s">
        <v>218</v>
      </c>
      <c r="V7" t="s">
        <v>219</v>
      </c>
      <c r="W7" t="s">
        <v>220</v>
      </c>
      <c r="X7" t="s">
        <v>221</v>
      </c>
      <c r="Y7" t="s">
        <v>222</v>
      </c>
      <c r="Z7" t="s">
        <v>223</v>
      </c>
      <c r="AA7" t="s">
        <v>224</v>
      </c>
      <c r="AB7" t="s">
        <v>225</v>
      </c>
      <c r="AC7" t="s">
        <v>226</v>
      </c>
      <c r="AD7" t="s">
        <v>227</v>
      </c>
      <c r="AE7" t="s">
        <v>228</v>
      </c>
      <c r="AF7" t="s">
        <v>74</v>
      </c>
      <c r="AG7">
        <v>65</v>
      </c>
      <c r="AH7">
        <v>29</v>
      </c>
      <c r="AI7">
        <v>30</v>
      </c>
      <c r="AJ7">
        <v>0</v>
      </c>
      <c r="AK7">
        <v>14</v>
      </c>
      <c r="AL7" t="s">
        <v>149</v>
      </c>
      <c r="AM7" t="s">
        <v>150</v>
      </c>
      <c r="AN7" t="s">
        <v>151</v>
      </c>
      <c r="AO7" t="s">
        <v>229</v>
      </c>
      <c r="AP7" t="s">
        <v>230</v>
      </c>
      <c r="AQ7" t="s">
        <v>74</v>
      </c>
      <c r="AR7" t="s">
        <v>217</v>
      </c>
      <c r="AS7" t="s">
        <v>231</v>
      </c>
      <c r="AT7" t="s">
        <v>181</v>
      </c>
      <c r="AU7">
        <v>2018</v>
      </c>
      <c r="AV7">
        <v>12</v>
      </c>
      <c r="AW7">
        <v>1</v>
      </c>
      <c r="AX7" t="s">
        <v>74</v>
      </c>
      <c r="AY7" t="s">
        <v>74</v>
      </c>
      <c r="AZ7" t="s">
        <v>74</v>
      </c>
      <c r="BA7" t="s">
        <v>74</v>
      </c>
      <c r="BB7">
        <v>365</v>
      </c>
      <c r="BC7">
        <v>383</v>
      </c>
      <c r="BD7" t="s">
        <v>74</v>
      </c>
      <c r="BE7" t="s">
        <v>232</v>
      </c>
      <c r="BF7" t="str">
        <f>HYPERLINK("http://dx.doi.org/10.5194/tc-12-365-2018","http://dx.doi.org/10.5194/tc-12-365-2018")</f>
        <v>http://dx.doi.org/10.5194/tc-12-365-2018</v>
      </c>
      <c r="BG7" t="s">
        <v>74</v>
      </c>
      <c r="BH7" t="s">
        <v>74</v>
      </c>
      <c r="BI7">
        <v>19</v>
      </c>
      <c r="BJ7" t="s">
        <v>233</v>
      </c>
      <c r="BK7" t="s">
        <v>101</v>
      </c>
      <c r="BL7" t="s">
        <v>234</v>
      </c>
      <c r="BM7" t="s">
        <v>235</v>
      </c>
      <c r="BN7" t="s">
        <v>74</v>
      </c>
      <c r="BO7" t="s">
        <v>236</v>
      </c>
      <c r="BP7" t="s">
        <v>74</v>
      </c>
      <c r="BQ7" t="s">
        <v>74</v>
      </c>
      <c r="BR7" t="s">
        <v>105</v>
      </c>
      <c r="BS7" t="s">
        <v>237</v>
      </c>
      <c r="BT7" t="str">
        <f>HYPERLINK("https%3A%2F%2Fwww.webofscience.com%2Fwos%2Fwoscc%2Ffull-record%2FWOS:000423813600001","View Full Record in Web of Science")</f>
        <v>View Full Record in Web of Science</v>
      </c>
    </row>
    <row r="8" spans="1:72" x14ac:dyDescent="0.15">
      <c r="A8" t="s">
        <v>72</v>
      </c>
      <c r="B8" t="s">
        <v>238</v>
      </c>
      <c r="C8" t="s">
        <v>74</v>
      </c>
      <c r="D8" t="s">
        <v>74</v>
      </c>
      <c r="E8" t="s">
        <v>74</v>
      </c>
      <c r="F8" t="s">
        <v>239</v>
      </c>
      <c r="G8" t="s">
        <v>74</v>
      </c>
      <c r="H8" t="s">
        <v>74</v>
      </c>
      <c r="I8" t="s">
        <v>240</v>
      </c>
      <c r="J8" t="s">
        <v>137</v>
      </c>
      <c r="K8" t="s">
        <v>74</v>
      </c>
      <c r="L8" t="s">
        <v>74</v>
      </c>
      <c r="M8" t="s">
        <v>78</v>
      </c>
      <c r="N8" t="s">
        <v>79</v>
      </c>
      <c r="O8" t="s">
        <v>74</v>
      </c>
      <c r="P8" t="s">
        <v>74</v>
      </c>
      <c r="Q8" t="s">
        <v>74</v>
      </c>
      <c r="R8" t="s">
        <v>74</v>
      </c>
      <c r="S8" t="s">
        <v>74</v>
      </c>
      <c r="T8" t="s">
        <v>74</v>
      </c>
      <c r="U8" t="s">
        <v>241</v>
      </c>
      <c r="V8" t="s">
        <v>242</v>
      </c>
      <c r="W8" t="s">
        <v>243</v>
      </c>
      <c r="X8" t="s">
        <v>244</v>
      </c>
      <c r="Y8" t="s">
        <v>245</v>
      </c>
      <c r="Z8" t="s">
        <v>246</v>
      </c>
      <c r="AA8" t="s">
        <v>247</v>
      </c>
      <c r="AB8" t="s">
        <v>248</v>
      </c>
      <c r="AC8" t="s">
        <v>249</v>
      </c>
      <c r="AD8" t="s">
        <v>250</v>
      </c>
      <c r="AE8" t="s">
        <v>251</v>
      </c>
      <c r="AF8" t="s">
        <v>74</v>
      </c>
      <c r="AG8">
        <v>85</v>
      </c>
      <c r="AH8">
        <v>11</v>
      </c>
      <c r="AI8">
        <v>15</v>
      </c>
      <c r="AJ8">
        <v>1</v>
      </c>
      <c r="AK8">
        <v>24</v>
      </c>
      <c r="AL8" t="s">
        <v>149</v>
      </c>
      <c r="AM8" t="s">
        <v>150</v>
      </c>
      <c r="AN8" t="s">
        <v>151</v>
      </c>
      <c r="AO8" t="s">
        <v>152</v>
      </c>
      <c r="AP8" t="s">
        <v>153</v>
      </c>
      <c r="AQ8" t="s">
        <v>74</v>
      </c>
      <c r="AR8" t="s">
        <v>137</v>
      </c>
      <c r="AS8" t="s">
        <v>154</v>
      </c>
      <c r="AT8" t="s">
        <v>181</v>
      </c>
      <c r="AU8">
        <v>2018</v>
      </c>
      <c r="AV8">
        <v>15</v>
      </c>
      <c r="AW8">
        <v>2</v>
      </c>
      <c r="AX8" t="s">
        <v>74</v>
      </c>
      <c r="AY8" t="s">
        <v>74</v>
      </c>
      <c r="AZ8" t="s">
        <v>74</v>
      </c>
      <c r="BA8" t="s">
        <v>74</v>
      </c>
      <c r="BB8">
        <v>529</v>
      </c>
      <c r="BC8">
        <v>550</v>
      </c>
      <c r="BD8" t="s">
        <v>74</v>
      </c>
      <c r="BE8" t="s">
        <v>252</v>
      </c>
      <c r="BF8" t="str">
        <f>HYPERLINK("http://dx.doi.org/10.5194/bg-15-529-2018","http://dx.doi.org/10.5194/bg-15-529-2018")</f>
        <v>http://dx.doi.org/10.5194/bg-15-529-2018</v>
      </c>
      <c r="BG8" t="s">
        <v>74</v>
      </c>
      <c r="BH8" t="s">
        <v>74</v>
      </c>
      <c r="BI8">
        <v>22</v>
      </c>
      <c r="BJ8" t="s">
        <v>157</v>
      </c>
      <c r="BK8" t="s">
        <v>101</v>
      </c>
      <c r="BL8" t="s">
        <v>158</v>
      </c>
      <c r="BM8" t="s">
        <v>253</v>
      </c>
      <c r="BN8" t="s">
        <v>74</v>
      </c>
      <c r="BO8" t="s">
        <v>254</v>
      </c>
      <c r="BP8" t="s">
        <v>74</v>
      </c>
      <c r="BQ8" t="s">
        <v>74</v>
      </c>
      <c r="BR8" t="s">
        <v>105</v>
      </c>
      <c r="BS8" t="s">
        <v>255</v>
      </c>
      <c r="BT8" t="str">
        <f>HYPERLINK("https%3A%2F%2Fwww.webofscience.com%2Fwos%2Fwoscc%2Ffull-record%2FWOS:000423506700001","View Full Record in Web of Science")</f>
        <v>View Full Record in Web of Science</v>
      </c>
    </row>
    <row r="9" spans="1:72" x14ac:dyDescent="0.15">
      <c r="A9" t="s">
        <v>72</v>
      </c>
      <c r="B9" t="s">
        <v>256</v>
      </c>
      <c r="C9" t="s">
        <v>74</v>
      </c>
      <c r="D9" t="s">
        <v>74</v>
      </c>
      <c r="E9" t="s">
        <v>74</v>
      </c>
      <c r="F9" t="s">
        <v>257</v>
      </c>
      <c r="G9" t="s">
        <v>74</v>
      </c>
      <c r="H9" t="s">
        <v>74</v>
      </c>
      <c r="I9" t="s">
        <v>258</v>
      </c>
      <c r="J9" t="s">
        <v>259</v>
      </c>
      <c r="K9" t="s">
        <v>74</v>
      </c>
      <c r="L9" t="s">
        <v>74</v>
      </c>
      <c r="M9" t="s">
        <v>78</v>
      </c>
      <c r="N9" t="s">
        <v>79</v>
      </c>
      <c r="O9" t="s">
        <v>74</v>
      </c>
      <c r="P9" t="s">
        <v>74</v>
      </c>
      <c r="Q9" t="s">
        <v>74</v>
      </c>
      <c r="R9" t="s">
        <v>74</v>
      </c>
      <c r="S9" t="s">
        <v>74</v>
      </c>
      <c r="T9" t="s">
        <v>74</v>
      </c>
      <c r="U9" t="s">
        <v>260</v>
      </c>
      <c r="V9" t="s">
        <v>261</v>
      </c>
      <c r="W9" t="s">
        <v>262</v>
      </c>
      <c r="X9" t="s">
        <v>263</v>
      </c>
      <c r="Y9" t="s">
        <v>264</v>
      </c>
      <c r="Z9" t="s">
        <v>265</v>
      </c>
      <c r="AA9" t="s">
        <v>266</v>
      </c>
      <c r="AB9" t="s">
        <v>267</v>
      </c>
      <c r="AC9" t="s">
        <v>268</v>
      </c>
      <c r="AD9" t="s">
        <v>269</v>
      </c>
      <c r="AE9" t="s">
        <v>270</v>
      </c>
      <c r="AF9" t="s">
        <v>74</v>
      </c>
      <c r="AG9">
        <v>20</v>
      </c>
      <c r="AH9">
        <v>22</v>
      </c>
      <c r="AI9">
        <v>25</v>
      </c>
      <c r="AJ9">
        <v>0</v>
      </c>
      <c r="AK9">
        <v>3</v>
      </c>
      <c r="AL9" t="s">
        <v>271</v>
      </c>
      <c r="AM9" t="s">
        <v>272</v>
      </c>
      <c r="AN9" t="s">
        <v>273</v>
      </c>
      <c r="AO9" t="s">
        <v>274</v>
      </c>
      <c r="AP9" t="s">
        <v>275</v>
      </c>
      <c r="AQ9" t="s">
        <v>74</v>
      </c>
      <c r="AR9" t="s">
        <v>276</v>
      </c>
      <c r="AS9" t="s">
        <v>277</v>
      </c>
      <c r="AT9" t="s">
        <v>278</v>
      </c>
      <c r="AU9">
        <v>2018</v>
      </c>
      <c r="AV9">
        <v>45</v>
      </c>
      <c r="AW9">
        <v>2</v>
      </c>
      <c r="AX9" t="s">
        <v>74</v>
      </c>
      <c r="AY9" t="s">
        <v>74</v>
      </c>
      <c r="AZ9" t="s">
        <v>74</v>
      </c>
      <c r="BA9" t="s">
        <v>74</v>
      </c>
      <c r="BB9">
        <v>789</v>
      </c>
      <c r="BC9">
        <v>796</v>
      </c>
      <c r="BD9" t="s">
        <v>74</v>
      </c>
      <c r="BE9" t="s">
        <v>279</v>
      </c>
      <c r="BF9" t="str">
        <f>HYPERLINK("http://dx.doi.org/10.1002/2017GL076056","http://dx.doi.org/10.1002/2017GL076056")</f>
        <v>http://dx.doi.org/10.1002/2017GL076056</v>
      </c>
      <c r="BG9" t="s">
        <v>74</v>
      </c>
      <c r="BH9" t="s">
        <v>74</v>
      </c>
      <c r="BI9">
        <v>8</v>
      </c>
      <c r="BJ9" t="s">
        <v>280</v>
      </c>
      <c r="BK9" t="s">
        <v>101</v>
      </c>
      <c r="BL9" t="s">
        <v>281</v>
      </c>
      <c r="BM9" t="s">
        <v>282</v>
      </c>
      <c r="BN9" t="s">
        <v>74</v>
      </c>
      <c r="BO9" t="s">
        <v>283</v>
      </c>
      <c r="BP9" t="s">
        <v>74</v>
      </c>
      <c r="BQ9" t="s">
        <v>74</v>
      </c>
      <c r="BR9" t="s">
        <v>105</v>
      </c>
      <c r="BS9" t="s">
        <v>284</v>
      </c>
      <c r="BT9" t="str">
        <f>HYPERLINK("https%3A%2F%2Fwww.webofscience.com%2Fwos%2Fwoscc%2Ffull-record%2FWOS:000425514300035","View Full Record in Web of Science")</f>
        <v>View Full Record in Web of Science</v>
      </c>
    </row>
    <row r="10" spans="1:72" x14ac:dyDescent="0.15">
      <c r="A10" t="s">
        <v>72</v>
      </c>
      <c r="B10" t="s">
        <v>285</v>
      </c>
      <c r="C10" t="s">
        <v>74</v>
      </c>
      <c r="D10" t="s">
        <v>74</v>
      </c>
      <c r="E10" t="s">
        <v>74</v>
      </c>
      <c r="F10" t="s">
        <v>286</v>
      </c>
      <c r="G10" t="s">
        <v>74</v>
      </c>
      <c r="H10" t="s">
        <v>74</v>
      </c>
      <c r="I10" t="s">
        <v>287</v>
      </c>
      <c r="J10" t="s">
        <v>288</v>
      </c>
      <c r="K10" t="s">
        <v>74</v>
      </c>
      <c r="L10" t="s">
        <v>74</v>
      </c>
      <c r="M10" t="s">
        <v>78</v>
      </c>
      <c r="N10" t="s">
        <v>289</v>
      </c>
      <c r="O10" t="s">
        <v>74</v>
      </c>
      <c r="P10" t="s">
        <v>74</v>
      </c>
      <c r="Q10" t="s">
        <v>74</v>
      </c>
      <c r="R10" t="s">
        <v>74</v>
      </c>
      <c r="S10" t="s">
        <v>74</v>
      </c>
      <c r="T10" t="s">
        <v>290</v>
      </c>
      <c r="U10" t="s">
        <v>291</v>
      </c>
      <c r="V10" t="s">
        <v>292</v>
      </c>
      <c r="W10" t="s">
        <v>293</v>
      </c>
      <c r="X10" t="s">
        <v>294</v>
      </c>
      <c r="Y10" t="s">
        <v>295</v>
      </c>
      <c r="Z10" t="s">
        <v>296</v>
      </c>
      <c r="AA10" t="s">
        <v>74</v>
      </c>
      <c r="AB10" t="s">
        <v>297</v>
      </c>
      <c r="AC10" t="s">
        <v>298</v>
      </c>
      <c r="AD10" t="s">
        <v>298</v>
      </c>
      <c r="AE10" t="s">
        <v>299</v>
      </c>
      <c r="AF10" t="s">
        <v>74</v>
      </c>
      <c r="AG10">
        <v>43</v>
      </c>
      <c r="AH10">
        <v>40</v>
      </c>
      <c r="AI10">
        <v>40</v>
      </c>
      <c r="AJ10">
        <v>0</v>
      </c>
      <c r="AK10">
        <v>18</v>
      </c>
      <c r="AL10" t="s">
        <v>91</v>
      </c>
      <c r="AM10" t="s">
        <v>92</v>
      </c>
      <c r="AN10" t="s">
        <v>93</v>
      </c>
      <c r="AO10" t="s">
        <v>300</v>
      </c>
      <c r="AP10" t="s">
        <v>301</v>
      </c>
      <c r="AQ10" t="s">
        <v>74</v>
      </c>
      <c r="AR10" t="s">
        <v>302</v>
      </c>
      <c r="AS10" t="s">
        <v>303</v>
      </c>
      <c r="AT10" t="s">
        <v>278</v>
      </c>
      <c r="AU10">
        <v>2018</v>
      </c>
      <c r="AV10">
        <v>376</v>
      </c>
      <c r="AW10">
        <v>2111</v>
      </c>
      <c r="AX10" t="s">
        <v>74</v>
      </c>
      <c r="AY10" t="s">
        <v>74</v>
      </c>
      <c r="AZ10" t="s">
        <v>74</v>
      </c>
      <c r="BA10" t="s">
        <v>74</v>
      </c>
      <c r="BB10" t="s">
        <v>74</v>
      </c>
      <c r="BC10" t="s">
        <v>74</v>
      </c>
      <c r="BD10">
        <v>20170092</v>
      </c>
      <c r="BE10" t="s">
        <v>304</v>
      </c>
      <c r="BF10" t="str">
        <f>HYPERLINK("http://dx.doi.org/10.1098/rsta.2017.0092","http://dx.doi.org/10.1098/rsta.2017.0092")</f>
        <v>http://dx.doi.org/10.1098/rsta.2017.0092</v>
      </c>
      <c r="BG10" t="s">
        <v>74</v>
      </c>
      <c r="BH10" t="s">
        <v>74</v>
      </c>
      <c r="BI10">
        <v>19</v>
      </c>
      <c r="BJ10" t="s">
        <v>129</v>
      </c>
      <c r="BK10" t="s">
        <v>101</v>
      </c>
      <c r="BL10" t="s">
        <v>130</v>
      </c>
      <c r="BM10" t="s">
        <v>305</v>
      </c>
      <c r="BN10">
        <v>29229792</v>
      </c>
      <c r="BO10" t="s">
        <v>306</v>
      </c>
      <c r="BP10" t="s">
        <v>74</v>
      </c>
      <c r="BQ10" t="s">
        <v>74</v>
      </c>
      <c r="BR10" t="s">
        <v>105</v>
      </c>
      <c r="BS10" t="s">
        <v>307</v>
      </c>
      <c r="BT10" t="str">
        <f>HYPERLINK("https%3A%2F%2Fwww.webofscience.com%2Fwos%2Fwoscc%2Ffull-record%2FWOS:000417922000006","View Full Record in Web of Science")</f>
        <v>View Full Record in Web of Science</v>
      </c>
    </row>
    <row r="11" spans="1:72" x14ac:dyDescent="0.15">
      <c r="A11" t="s">
        <v>72</v>
      </c>
      <c r="B11" t="s">
        <v>308</v>
      </c>
      <c r="C11" t="s">
        <v>74</v>
      </c>
      <c r="D11" t="s">
        <v>74</v>
      </c>
      <c r="E11" t="s">
        <v>74</v>
      </c>
      <c r="F11" t="s">
        <v>309</v>
      </c>
      <c r="G11" t="s">
        <v>74</v>
      </c>
      <c r="H11" t="s">
        <v>74</v>
      </c>
      <c r="I11" t="s">
        <v>310</v>
      </c>
      <c r="J11" t="s">
        <v>259</v>
      </c>
      <c r="K11" t="s">
        <v>74</v>
      </c>
      <c r="L11" t="s">
        <v>74</v>
      </c>
      <c r="M11" t="s">
        <v>78</v>
      </c>
      <c r="N11" t="s">
        <v>79</v>
      </c>
      <c r="O11" t="s">
        <v>74</v>
      </c>
      <c r="P11" t="s">
        <v>74</v>
      </c>
      <c r="Q11" t="s">
        <v>74</v>
      </c>
      <c r="R11" t="s">
        <v>74</v>
      </c>
      <c r="S11" t="s">
        <v>74</v>
      </c>
      <c r="T11" t="s">
        <v>74</v>
      </c>
      <c r="U11" t="s">
        <v>311</v>
      </c>
      <c r="V11" t="s">
        <v>312</v>
      </c>
      <c r="W11" t="s">
        <v>313</v>
      </c>
      <c r="X11" t="s">
        <v>314</v>
      </c>
      <c r="Y11" t="s">
        <v>315</v>
      </c>
      <c r="Z11" t="s">
        <v>316</v>
      </c>
      <c r="AA11" t="s">
        <v>317</v>
      </c>
      <c r="AB11" t="s">
        <v>318</v>
      </c>
      <c r="AC11" t="s">
        <v>319</v>
      </c>
      <c r="AD11" t="s">
        <v>320</v>
      </c>
      <c r="AE11" t="s">
        <v>321</v>
      </c>
      <c r="AF11" t="s">
        <v>74</v>
      </c>
      <c r="AG11">
        <v>40</v>
      </c>
      <c r="AH11">
        <v>17</v>
      </c>
      <c r="AI11">
        <v>18</v>
      </c>
      <c r="AJ11">
        <v>0</v>
      </c>
      <c r="AK11">
        <v>12</v>
      </c>
      <c r="AL11" t="s">
        <v>271</v>
      </c>
      <c r="AM11" t="s">
        <v>272</v>
      </c>
      <c r="AN11" t="s">
        <v>273</v>
      </c>
      <c r="AO11" t="s">
        <v>274</v>
      </c>
      <c r="AP11" t="s">
        <v>275</v>
      </c>
      <c r="AQ11" t="s">
        <v>74</v>
      </c>
      <c r="AR11" t="s">
        <v>276</v>
      </c>
      <c r="AS11" t="s">
        <v>277</v>
      </c>
      <c r="AT11" t="s">
        <v>278</v>
      </c>
      <c r="AU11">
        <v>2018</v>
      </c>
      <c r="AV11">
        <v>45</v>
      </c>
      <c r="AW11">
        <v>2</v>
      </c>
      <c r="AX11" t="s">
        <v>74</v>
      </c>
      <c r="AY11" t="s">
        <v>74</v>
      </c>
      <c r="AZ11" t="s">
        <v>74</v>
      </c>
      <c r="BA11" t="s">
        <v>74</v>
      </c>
      <c r="BB11">
        <v>809</v>
      </c>
      <c r="BC11">
        <v>816</v>
      </c>
      <c r="BD11" t="s">
        <v>74</v>
      </c>
      <c r="BE11" t="s">
        <v>322</v>
      </c>
      <c r="BF11" t="str">
        <f>HYPERLINK("http://dx.doi.org/10.1002/2017GL076470","http://dx.doi.org/10.1002/2017GL076470")</f>
        <v>http://dx.doi.org/10.1002/2017GL076470</v>
      </c>
      <c r="BG11" t="s">
        <v>74</v>
      </c>
      <c r="BH11" t="s">
        <v>74</v>
      </c>
      <c r="BI11">
        <v>8</v>
      </c>
      <c r="BJ11" t="s">
        <v>280</v>
      </c>
      <c r="BK11" t="s">
        <v>101</v>
      </c>
      <c r="BL11" t="s">
        <v>281</v>
      </c>
      <c r="BM11" t="s">
        <v>282</v>
      </c>
      <c r="BN11" t="s">
        <v>74</v>
      </c>
      <c r="BO11" t="s">
        <v>104</v>
      </c>
      <c r="BP11" t="s">
        <v>74</v>
      </c>
      <c r="BQ11" t="s">
        <v>74</v>
      </c>
      <c r="BR11" t="s">
        <v>105</v>
      </c>
      <c r="BS11" t="s">
        <v>323</v>
      </c>
      <c r="BT11" t="str">
        <f>HYPERLINK("https%3A%2F%2Fwww.webofscience.com%2Fwos%2Fwoscc%2Ffull-record%2FWOS:000425514300037","View Full Record in Web of Science")</f>
        <v>View Full Record in Web of Science</v>
      </c>
    </row>
    <row r="12" spans="1:72" x14ac:dyDescent="0.15">
      <c r="A12" t="s">
        <v>72</v>
      </c>
      <c r="B12" t="s">
        <v>324</v>
      </c>
      <c r="C12" t="s">
        <v>74</v>
      </c>
      <c r="D12" t="s">
        <v>74</v>
      </c>
      <c r="E12" t="s">
        <v>74</v>
      </c>
      <c r="F12" t="s">
        <v>325</v>
      </c>
      <c r="G12" t="s">
        <v>74</v>
      </c>
      <c r="H12" t="s">
        <v>74</v>
      </c>
      <c r="I12" t="s">
        <v>326</v>
      </c>
      <c r="J12" t="s">
        <v>259</v>
      </c>
      <c r="K12" t="s">
        <v>74</v>
      </c>
      <c r="L12" t="s">
        <v>74</v>
      </c>
      <c r="M12" t="s">
        <v>78</v>
      </c>
      <c r="N12" t="s">
        <v>79</v>
      </c>
      <c r="O12" t="s">
        <v>74</v>
      </c>
      <c r="P12" t="s">
        <v>74</v>
      </c>
      <c r="Q12" t="s">
        <v>74</v>
      </c>
      <c r="R12" t="s">
        <v>74</v>
      </c>
      <c r="S12" t="s">
        <v>74</v>
      </c>
      <c r="T12" t="s">
        <v>74</v>
      </c>
      <c r="U12" t="s">
        <v>327</v>
      </c>
      <c r="V12" t="s">
        <v>328</v>
      </c>
      <c r="W12" t="s">
        <v>329</v>
      </c>
      <c r="X12" t="s">
        <v>330</v>
      </c>
      <c r="Y12" t="s">
        <v>331</v>
      </c>
      <c r="Z12" t="s">
        <v>332</v>
      </c>
      <c r="AA12" t="s">
        <v>74</v>
      </c>
      <c r="AB12" t="s">
        <v>333</v>
      </c>
      <c r="AC12" t="s">
        <v>334</v>
      </c>
      <c r="AD12" t="s">
        <v>335</v>
      </c>
      <c r="AE12" t="s">
        <v>336</v>
      </c>
      <c r="AF12" t="s">
        <v>74</v>
      </c>
      <c r="AG12">
        <v>39</v>
      </c>
      <c r="AH12">
        <v>11</v>
      </c>
      <c r="AI12">
        <v>11</v>
      </c>
      <c r="AJ12">
        <v>0</v>
      </c>
      <c r="AK12">
        <v>16</v>
      </c>
      <c r="AL12" t="s">
        <v>271</v>
      </c>
      <c r="AM12" t="s">
        <v>272</v>
      </c>
      <c r="AN12" t="s">
        <v>273</v>
      </c>
      <c r="AO12" t="s">
        <v>274</v>
      </c>
      <c r="AP12" t="s">
        <v>275</v>
      </c>
      <c r="AQ12" t="s">
        <v>74</v>
      </c>
      <c r="AR12" t="s">
        <v>276</v>
      </c>
      <c r="AS12" t="s">
        <v>277</v>
      </c>
      <c r="AT12" t="s">
        <v>278</v>
      </c>
      <c r="AU12">
        <v>2018</v>
      </c>
      <c r="AV12">
        <v>45</v>
      </c>
      <c r="AW12">
        <v>2</v>
      </c>
      <c r="AX12" t="s">
        <v>74</v>
      </c>
      <c r="AY12" t="s">
        <v>74</v>
      </c>
      <c r="AZ12" t="s">
        <v>74</v>
      </c>
      <c r="BA12" t="s">
        <v>74</v>
      </c>
      <c r="BB12">
        <v>826</v>
      </c>
      <c r="BC12">
        <v>833</v>
      </c>
      <c r="BD12" t="s">
        <v>74</v>
      </c>
      <c r="BE12" t="s">
        <v>337</v>
      </c>
      <c r="BF12" t="str">
        <f>HYPERLINK("http://dx.doi.org/10.1002/2017GL075472","http://dx.doi.org/10.1002/2017GL075472")</f>
        <v>http://dx.doi.org/10.1002/2017GL075472</v>
      </c>
      <c r="BG12" t="s">
        <v>74</v>
      </c>
      <c r="BH12" t="s">
        <v>74</v>
      </c>
      <c r="BI12">
        <v>8</v>
      </c>
      <c r="BJ12" t="s">
        <v>280</v>
      </c>
      <c r="BK12" t="s">
        <v>101</v>
      </c>
      <c r="BL12" t="s">
        <v>281</v>
      </c>
      <c r="BM12" t="s">
        <v>282</v>
      </c>
      <c r="BN12" t="s">
        <v>74</v>
      </c>
      <c r="BO12" t="s">
        <v>74</v>
      </c>
      <c r="BP12" t="s">
        <v>74</v>
      </c>
      <c r="BQ12" t="s">
        <v>74</v>
      </c>
      <c r="BR12" t="s">
        <v>105</v>
      </c>
      <c r="BS12" t="s">
        <v>338</v>
      </c>
      <c r="BT12" t="str">
        <f>HYPERLINK("https%3A%2F%2Fwww.webofscience.com%2Fwos%2Fwoscc%2Ffull-record%2FWOS:000425514300039","View Full Record in Web of Science")</f>
        <v>View Full Record in Web of Science</v>
      </c>
    </row>
    <row r="13" spans="1:72" x14ac:dyDescent="0.15">
      <c r="A13" t="s">
        <v>72</v>
      </c>
      <c r="B13" t="s">
        <v>339</v>
      </c>
      <c r="C13" t="s">
        <v>74</v>
      </c>
      <c r="D13" t="s">
        <v>74</v>
      </c>
      <c r="E13" t="s">
        <v>74</v>
      </c>
      <c r="F13" t="s">
        <v>340</v>
      </c>
      <c r="G13" t="s">
        <v>74</v>
      </c>
      <c r="H13" t="s">
        <v>74</v>
      </c>
      <c r="I13" t="s">
        <v>341</v>
      </c>
      <c r="J13" t="s">
        <v>259</v>
      </c>
      <c r="K13" t="s">
        <v>74</v>
      </c>
      <c r="L13" t="s">
        <v>74</v>
      </c>
      <c r="M13" t="s">
        <v>78</v>
      </c>
      <c r="N13" t="s">
        <v>79</v>
      </c>
      <c r="O13" t="s">
        <v>74</v>
      </c>
      <c r="P13" t="s">
        <v>74</v>
      </c>
      <c r="Q13" t="s">
        <v>74</v>
      </c>
      <c r="R13" t="s">
        <v>74</v>
      </c>
      <c r="S13" t="s">
        <v>74</v>
      </c>
      <c r="T13" t="s">
        <v>74</v>
      </c>
      <c r="U13" t="s">
        <v>342</v>
      </c>
      <c r="V13" t="s">
        <v>343</v>
      </c>
      <c r="W13" t="s">
        <v>344</v>
      </c>
      <c r="X13" t="s">
        <v>345</v>
      </c>
      <c r="Y13" t="s">
        <v>346</v>
      </c>
      <c r="Z13" t="s">
        <v>347</v>
      </c>
      <c r="AA13" t="s">
        <v>348</v>
      </c>
      <c r="AB13" t="s">
        <v>349</v>
      </c>
      <c r="AC13" t="s">
        <v>350</v>
      </c>
      <c r="AD13" t="s">
        <v>351</v>
      </c>
      <c r="AE13" t="s">
        <v>352</v>
      </c>
      <c r="AF13" t="s">
        <v>74</v>
      </c>
      <c r="AG13">
        <v>50</v>
      </c>
      <c r="AH13">
        <v>52</v>
      </c>
      <c r="AI13">
        <v>57</v>
      </c>
      <c r="AJ13">
        <v>2</v>
      </c>
      <c r="AK13">
        <v>32</v>
      </c>
      <c r="AL13" t="s">
        <v>271</v>
      </c>
      <c r="AM13" t="s">
        <v>272</v>
      </c>
      <c r="AN13" t="s">
        <v>273</v>
      </c>
      <c r="AO13" t="s">
        <v>274</v>
      </c>
      <c r="AP13" t="s">
        <v>275</v>
      </c>
      <c r="AQ13" t="s">
        <v>74</v>
      </c>
      <c r="AR13" t="s">
        <v>276</v>
      </c>
      <c r="AS13" t="s">
        <v>277</v>
      </c>
      <c r="AT13" t="s">
        <v>278</v>
      </c>
      <c r="AU13">
        <v>2018</v>
      </c>
      <c r="AV13">
        <v>45</v>
      </c>
      <c r="AW13">
        <v>2</v>
      </c>
      <c r="AX13" t="s">
        <v>74</v>
      </c>
      <c r="AY13" t="s">
        <v>74</v>
      </c>
      <c r="AZ13" t="s">
        <v>74</v>
      </c>
      <c r="BA13" t="s">
        <v>74</v>
      </c>
      <c r="BB13">
        <v>945</v>
      </c>
      <c r="BC13">
        <v>954</v>
      </c>
      <c r="BD13" t="s">
        <v>74</v>
      </c>
      <c r="BE13" t="s">
        <v>353</v>
      </c>
      <c r="BF13" t="str">
        <f>HYPERLINK("http://dx.doi.org/10.1002/2017GL076433","http://dx.doi.org/10.1002/2017GL076433")</f>
        <v>http://dx.doi.org/10.1002/2017GL076433</v>
      </c>
      <c r="BG13" t="s">
        <v>74</v>
      </c>
      <c r="BH13" t="s">
        <v>74</v>
      </c>
      <c r="BI13">
        <v>10</v>
      </c>
      <c r="BJ13" t="s">
        <v>280</v>
      </c>
      <c r="BK13" t="s">
        <v>101</v>
      </c>
      <c r="BL13" t="s">
        <v>281</v>
      </c>
      <c r="BM13" t="s">
        <v>282</v>
      </c>
      <c r="BN13" t="s">
        <v>74</v>
      </c>
      <c r="BO13" t="s">
        <v>354</v>
      </c>
      <c r="BP13" t="s">
        <v>74</v>
      </c>
      <c r="BQ13" t="s">
        <v>74</v>
      </c>
      <c r="BR13" t="s">
        <v>105</v>
      </c>
      <c r="BS13" t="s">
        <v>355</v>
      </c>
      <c r="BT13" t="str">
        <f>HYPERLINK("https%3A%2F%2Fwww.webofscience.com%2Fwos%2Fwoscc%2Ffull-record%2FWOS:000425514300052","View Full Record in Web of Science")</f>
        <v>View Full Record in Web of Science</v>
      </c>
    </row>
    <row r="14" spans="1:72" x14ac:dyDescent="0.15">
      <c r="A14" t="s">
        <v>72</v>
      </c>
      <c r="B14" t="s">
        <v>356</v>
      </c>
      <c r="C14" t="s">
        <v>74</v>
      </c>
      <c r="D14" t="s">
        <v>74</v>
      </c>
      <c r="E14" t="s">
        <v>74</v>
      </c>
      <c r="F14" t="s">
        <v>357</v>
      </c>
      <c r="G14" t="s">
        <v>74</v>
      </c>
      <c r="H14" t="s">
        <v>74</v>
      </c>
      <c r="I14" t="s">
        <v>358</v>
      </c>
      <c r="J14" t="s">
        <v>259</v>
      </c>
      <c r="K14" t="s">
        <v>74</v>
      </c>
      <c r="L14" t="s">
        <v>74</v>
      </c>
      <c r="M14" t="s">
        <v>78</v>
      </c>
      <c r="N14" t="s">
        <v>79</v>
      </c>
      <c r="O14" t="s">
        <v>74</v>
      </c>
      <c r="P14" t="s">
        <v>74</v>
      </c>
      <c r="Q14" t="s">
        <v>74</v>
      </c>
      <c r="R14" t="s">
        <v>74</v>
      </c>
      <c r="S14" t="s">
        <v>74</v>
      </c>
      <c r="T14" t="s">
        <v>359</v>
      </c>
      <c r="U14" t="s">
        <v>360</v>
      </c>
      <c r="V14" t="s">
        <v>361</v>
      </c>
      <c r="W14" t="s">
        <v>362</v>
      </c>
      <c r="X14" t="s">
        <v>363</v>
      </c>
      <c r="Y14" t="s">
        <v>364</v>
      </c>
      <c r="Z14" t="s">
        <v>365</v>
      </c>
      <c r="AA14" t="s">
        <v>366</v>
      </c>
      <c r="AB14" t="s">
        <v>367</v>
      </c>
      <c r="AC14" t="s">
        <v>368</v>
      </c>
      <c r="AD14" t="s">
        <v>369</v>
      </c>
      <c r="AE14" t="s">
        <v>370</v>
      </c>
      <c r="AF14" t="s">
        <v>74</v>
      </c>
      <c r="AG14">
        <v>62</v>
      </c>
      <c r="AH14">
        <v>34</v>
      </c>
      <c r="AI14">
        <v>36</v>
      </c>
      <c r="AJ14">
        <v>1</v>
      </c>
      <c r="AK14">
        <v>18</v>
      </c>
      <c r="AL14" t="s">
        <v>271</v>
      </c>
      <c r="AM14" t="s">
        <v>272</v>
      </c>
      <c r="AN14" t="s">
        <v>273</v>
      </c>
      <c r="AO14" t="s">
        <v>274</v>
      </c>
      <c r="AP14" t="s">
        <v>275</v>
      </c>
      <c r="AQ14" t="s">
        <v>74</v>
      </c>
      <c r="AR14" t="s">
        <v>276</v>
      </c>
      <c r="AS14" t="s">
        <v>277</v>
      </c>
      <c r="AT14" t="s">
        <v>278</v>
      </c>
      <c r="AU14">
        <v>2018</v>
      </c>
      <c r="AV14">
        <v>45</v>
      </c>
      <c r="AW14">
        <v>2</v>
      </c>
      <c r="AX14" t="s">
        <v>74</v>
      </c>
      <c r="AY14" t="s">
        <v>74</v>
      </c>
      <c r="AZ14" t="s">
        <v>74</v>
      </c>
      <c r="BA14" t="s">
        <v>74</v>
      </c>
      <c r="BB14">
        <v>1086</v>
      </c>
      <c r="BC14">
        <v>1097</v>
      </c>
      <c r="BD14" t="s">
        <v>74</v>
      </c>
      <c r="BE14" t="s">
        <v>371</v>
      </c>
      <c r="BF14" t="str">
        <f>HYPERLINK("http://dx.doi.org/10.1002/2017GL074964","http://dx.doi.org/10.1002/2017GL074964")</f>
        <v>http://dx.doi.org/10.1002/2017GL074964</v>
      </c>
      <c r="BG14" t="s">
        <v>74</v>
      </c>
      <c r="BH14" t="s">
        <v>74</v>
      </c>
      <c r="BI14">
        <v>12</v>
      </c>
      <c r="BJ14" t="s">
        <v>280</v>
      </c>
      <c r="BK14" t="s">
        <v>101</v>
      </c>
      <c r="BL14" t="s">
        <v>281</v>
      </c>
      <c r="BM14" t="s">
        <v>282</v>
      </c>
      <c r="BN14" t="s">
        <v>74</v>
      </c>
      <c r="BO14" t="s">
        <v>372</v>
      </c>
      <c r="BP14" t="s">
        <v>74</v>
      </c>
      <c r="BQ14" t="s">
        <v>74</v>
      </c>
      <c r="BR14" t="s">
        <v>105</v>
      </c>
      <c r="BS14" t="s">
        <v>373</v>
      </c>
      <c r="BT14" t="str">
        <f>HYPERLINK("https%3A%2F%2Fwww.webofscience.com%2Fwos%2Fwoscc%2Ffull-record%2FWOS:000425514300067","View Full Record in Web of Science")</f>
        <v>View Full Record in Web of Science</v>
      </c>
    </row>
    <row r="15" spans="1:72" x14ac:dyDescent="0.15">
      <c r="A15" t="s">
        <v>72</v>
      </c>
      <c r="B15" t="s">
        <v>374</v>
      </c>
      <c r="C15" t="s">
        <v>74</v>
      </c>
      <c r="D15" t="s">
        <v>74</v>
      </c>
      <c r="E15" t="s">
        <v>74</v>
      </c>
      <c r="F15" t="s">
        <v>375</v>
      </c>
      <c r="G15" t="s">
        <v>74</v>
      </c>
      <c r="H15" t="s">
        <v>74</v>
      </c>
      <c r="I15" t="s">
        <v>376</v>
      </c>
      <c r="J15" t="s">
        <v>259</v>
      </c>
      <c r="K15" t="s">
        <v>74</v>
      </c>
      <c r="L15" t="s">
        <v>74</v>
      </c>
      <c r="M15" t="s">
        <v>78</v>
      </c>
      <c r="N15" t="s">
        <v>79</v>
      </c>
      <c r="O15" t="s">
        <v>74</v>
      </c>
      <c r="P15" t="s">
        <v>74</v>
      </c>
      <c r="Q15" t="s">
        <v>74</v>
      </c>
      <c r="R15" t="s">
        <v>74</v>
      </c>
      <c r="S15" t="s">
        <v>74</v>
      </c>
      <c r="T15" t="s">
        <v>74</v>
      </c>
      <c r="U15" t="s">
        <v>377</v>
      </c>
      <c r="V15" t="s">
        <v>378</v>
      </c>
      <c r="W15" t="s">
        <v>379</v>
      </c>
      <c r="X15" t="s">
        <v>380</v>
      </c>
      <c r="Y15" t="s">
        <v>381</v>
      </c>
      <c r="Z15" t="s">
        <v>382</v>
      </c>
      <c r="AA15" t="s">
        <v>383</v>
      </c>
      <c r="AB15" t="s">
        <v>384</v>
      </c>
      <c r="AC15" t="s">
        <v>385</v>
      </c>
      <c r="AD15" t="s">
        <v>386</v>
      </c>
      <c r="AE15" t="s">
        <v>387</v>
      </c>
      <c r="AF15" t="s">
        <v>74</v>
      </c>
      <c r="AG15">
        <v>27</v>
      </c>
      <c r="AH15">
        <v>22</v>
      </c>
      <c r="AI15">
        <v>26</v>
      </c>
      <c r="AJ15">
        <v>0</v>
      </c>
      <c r="AK15">
        <v>16</v>
      </c>
      <c r="AL15" t="s">
        <v>271</v>
      </c>
      <c r="AM15" t="s">
        <v>272</v>
      </c>
      <c r="AN15" t="s">
        <v>273</v>
      </c>
      <c r="AO15" t="s">
        <v>274</v>
      </c>
      <c r="AP15" t="s">
        <v>275</v>
      </c>
      <c r="AQ15" t="s">
        <v>74</v>
      </c>
      <c r="AR15" t="s">
        <v>276</v>
      </c>
      <c r="AS15" t="s">
        <v>277</v>
      </c>
      <c r="AT15" t="s">
        <v>278</v>
      </c>
      <c r="AU15">
        <v>2018</v>
      </c>
      <c r="AV15">
        <v>45</v>
      </c>
      <c r="AW15">
        <v>2</v>
      </c>
      <c r="AX15" t="s">
        <v>74</v>
      </c>
      <c r="AY15" t="s">
        <v>74</v>
      </c>
      <c r="AZ15" t="s">
        <v>74</v>
      </c>
      <c r="BA15" t="s">
        <v>74</v>
      </c>
      <c r="BB15">
        <v>1141</v>
      </c>
      <c r="BC15">
        <v>1147</v>
      </c>
      <c r="BD15" t="s">
        <v>74</v>
      </c>
      <c r="BE15" t="s">
        <v>388</v>
      </c>
      <c r="BF15" t="str">
        <f>HYPERLINK("http://dx.doi.org/10.1002/2017GL075949","http://dx.doi.org/10.1002/2017GL075949")</f>
        <v>http://dx.doi.org/10.1002/2017GL075949</v>
      </c>
      <c r="BG15" t="s">
        <v>74</v>
      </c>
      <c r="BH15" t="s">
        <v>74</v>
      </c>
      <c r="BI15">
        <v>7</v>
      </c>
      <c r="BJ15" t="s">
        <v>280</v>
      </c>
      <c r="BK15" t="s">
        <v>101</v>
      </c>
      <c r="BL15" t="s">
        <v>281</v>
      </c>
      <c r="BM15" t="s">
        <v>282</v>
      </c>
      <c r="BN15" t="s">
        <v>74</v>
      </c>
      <c r="BO15" t="s">
        <v>389</v>
      </c>
      <c r="BP15" t="s">
        <v>74</v>
      </c>
      <c r="BQ15" t="s">
        <v>74</v>
      </c>
      <c r="BR15" t="s">
        <v>105</v>
      </c>
      <c r="BS15" t="s">
        <v>390</v>
      </c>
      <c r="BT15" t="str">
        <f>HYPERLINK("https%3A%2F%2Fwww.webofscience.com%2Fwos%2Fwoscc%2Ffull-record%2FWOS:000425514300073","View Full Record in Web of Science")</f>
        <v>View Full Record in Web of Science</v>
      </c>
    </row>
    <row r="16" spans="1:72" x14ac:dyDescent="0.15">
      <c r="A16" t="s">
        <v>72</v>
      </c>
      <c r="B16" t="s">
        <v>391</v>
      </c>
      <c r="C16" t="s">
        <v>74</v>
      </c>
      <c r="D16" t="s">
        <v>74</v>
      </c>
      <c r="E16" t="s">
        <v>74</v>
      </c>
      <c r="F16" t="s">
        <v>392</v>
      </c>
      <c r="G16" t="s">
        <v>74</v>
      </c>
      <c r="H16" t="s">
        <v>74</v>
      </c>
      <c r="I16" t="s">
        <v>393</v>
      </c>
      <c r="J16" t="s">
        <v>259</v>
      </c>
      <c r="K16" t="s">
        <v>74</v>
      </c>
      <c r="L16" t="s">
        <v>74</v>
      </c>
      <c r="M16" t="s">
        <v>78</v>
      </c>
      <c r="N16" t="s">
        <v>79</v>
      </c>
      <c r="O16" t="s">
        <v>74</v>
      </c>
      <c r="P16" t="s">
        <v>74</v>
      </c>
      <c r="Q16" t="s">
        <v>74</v>
      </c>
      <c r="R16" t="s">
        <v>74</v>
      </c>
      <c r="S16" t="s">
        <v>74</v>
      </c>
      <c r="T16" t="s">
        <v>74</v>
      </c>
      <c r="U16" t="s">
        <v>394</v>
      </c>
      <c r="V16" t="s">
        <v>395</v>
      </c>
      <c r="W16" t="s">
        <v>396</v>
      </c>
      <c r="X16" t="s">
        <v>397</v>
      </c>
      <c r="Y16" t="s">
        <v>398</v>
      </c>
      <c r="Z16" t="s">
        <v>399</v>
      </c>
      <c r="AA16" t="s">
        <v>400</v>
      </c>
      <c r="AB16" t="s">
        <v>401</v>
      </c>
      <c r="AC16" t="s">
        <v>402</v>
      </c>
      <c r="AD16" t="s">
        <v>403</v>
      </c>
      <c r="AE16" t="s">
        <v>404</v>
      </c>
      <c r="AF16" t="s">
        <v>74</v>
      </c>
      <c r="AG16">
        <v>77</v>
      </c>
      <c r="AH16">
        <v>79</v>
      </c>
      <c r="AI16">
        <v>85</v>
      </c>
      <c r="AJ16">
        <v>0</v>
      </c>
      <c r="AK16">
        <v>16</v>
      </c>
      <c r="AL16" t="s">
        <v>271</v>
      </c>
      <c r="AM16" t="s">
        <v>272</v>
      </c>
      <c r="AN16" t="s">
        <v>273</v>
      </c>
      <c r="AO16" t="s">
        <v>274</v>
      </c>
      <c r="AP16" t="s">
        <v>275</v>
      </c>
      <c r="AQ16" t="s">
        <v>74</v>
      </c>
      <c r="AR16" t="s">
        <v>276</v>
      </c>
      <c r="AS16" t="s">
        <v>277</v>
      </c>
      <c r="AT16" t="s">
        <v>278</v>
      </c>
      <c r="AU16">
        <v>2018</v>
      </c>
      <c r="AV16">
        <v>45</v>
      </c>
      <c r="AW16">
        <v>2</v>
      </c>
      <c r="AX16" t="s">
        <v>74</v>
      </c>
      <c r="AY16" t="s">
        <v>74</v>
      </c>
      <c r="AZ16" t="s">
        <v>74</v>
      </c>
      <c r="BA16" t="s">
        <v>74</v>
      </c>
      <c r="BB16">
        <v>834</v>
      </c>
      <c r="BC16">
        <v>845</v>
      </c>
      <c r="BD16" t="s">
        <v>74</v>
      </c>
      <c r="BE16" t="s">
        <v>405</v>
      </c>
      <c r="BF16" t="str">
        <f>HYPERLINK("http://dx.doi.org/10.1002/2017GL075677","http://dx.doi.org/10.1002/2017GL075677")</f>
        <v>http://dx.doi.org/10.1002/2017GL075677</v>
      </c>
      <c r="BG16" t="s">
        <v>74</v>
      </c>
      <c r="BH16" t="s">
        <v>74</v>
      </c>
      <c r="BI16">
        <v>12</v>
      </c>
      <c r="BJ16" t="s">
        <v>280</v>
      </c>
      <c r="BK16" t="s">
        <v>101</v>
      </c>
      <c r="BL16" t="s">
        <v>281</v>
      </c>
      <c r="BM16" t="s">
        <v>282</v>
      </c>
      <c r="BN16" t="s">
        <v>74</v>
      </c>
      <c r="BO16" t="s">
        <v>406</v>
      </c>
      <c r="BP16" t="s">
        <v>74</v>
      </c>
      <c r="BQ16" t="s">
        <v>74</v>
      </c>
      <c r="BR16" t="s">
        <v>105</v>
      </c>
      <c r="BS16" t="s">
        <v>407</v>
      </c>
      <c r="BT16" t="str">
        <f>HYPERLINK("https%3A%2F%2Fwww.webofscience.com%2Fwos%2Fwoscc%2Ffull-record%2FWOS:000425514300040","View Full Record in Web of Science")</f>
        <v>View Full Record in Web of Science</v>
      </c>
    </row>
    <row r="17" spans="1:72" x14ac:dyDescent="0.15">
      <c r="A17" t="s">
        <v>72</v>
      </c>
      <c r="B17" t="s">
        <v>408</v>
      </c>
      <c r="C17" t="s">
        <v>74</v>
      </c>
      <c r="D17" t="s">
        <v>74</v>
      </c>
      <c r="E17" t="s">
        <v>74</v>
      </c>
      <c r="F17" t="s">
        <v>409</v>
      </c>
      <c r="G17" t="s">
        <v>74</v>
      </c>
      <c r="H17" t="s">
        <v>74</v>
      </c>
      <c r="I17" t="s">
        <v>410</v>
      </c>
      <c r="J17" t="s">
        <v>411</v>
      </c>
      <c r="K17" t="s">
        <v>74</v>
      </c>
      <c r="L17" t="s">
        <v>74</v>
      </c>
      <c r="M17" t="s">
        <v>78</v>
      </c>
      <c r="N17" t="s">
        <v>79</v>
      </c>
      <c r="O17" t="s">
        <v>74</v>
      </c>
      <c r="P17" t="s">
        <v>74</v>
      </c>
      <c r="Q17" t="s">
        <v>74</v>
      </c>
      <c r="R17" t="s">
        <v>74</v>
      </c>
      <c r="S17" t="s">
        <v>74</v>
      </c>
      <c r="T17" t="s">
        <v>412</v>
      </c>
      <c r="U17" t="s">
        <v>413</v>
      </c>
      <c r="V17" t="s">
        <v>414</v>
      </c>
      <c r="W17" t="s">
        <v>415</v>
      </c>
      <c r="X17" t="s">
        <v>416</v>
      </c>
      <c r="Y17" t="s">
        <v>417</v>
      </c>
      <c r="Z17" t="s">
        <v>418</v>
      </c>
      <c r="AA17" t="s">
        <v>419</v>
      </c>
      <c r="AB17" t="s">
        <v>420</v>
      </c>
      <c r="AC17" t="s">
        <v>421</v>
      </c>
      <c r="AD17" t="s">
        <v>422</v>
      </c>
      <c r="AE17" t="s">
        <v>423</v>
      </c>
      <c r="AF17" t="s">
        <v>74</v>
      </c>
      <c r="AG17">
        <v>86</v>
      </c>
      <c r="AH17">
        <v>14</v>
      </c>
      <c r="AI17">
        <v>16</v>
      </c>
      <c r="AJ17">
        <v>0</v>
      </c>
      <c r="AK17">
        <v>20</v>
      </c>
      <c r="AL17" t="s">
        <v>271</v>
      </c>
      <c r="AM17" t="s">
        <v>272</v>
      </c>
      <c r="AN17" t="s">
        <v>273</v>
      </c>
      <c r="AO17" t="s">
        <v>424</v>
      </c>
      <c r="AP17" t="s">
        <v>425</v>
      </c>
      <c r="AQ17" t="s">
        <v>74</v>
      </c>
      <c r="AR17" t="s">
        <v>426</v>
      </c>
      <c r="AS17" t="s">
        <v>427</v>
      </c>
      <c r="AT17" t="s">
        <v>428</v>
      </c>
      <c r="AU17">
        <v>2018</v>
      </c>
      <c r="AV17">
        <v>123</v>
      </c>
      <c r="AW17">
        <v>2</v>
      </c>
      <c r="AX17" t="s">
        <v>74</v>
      </c>
      <c r="AY17" t="s">
        <v>74</v>
      </c>
      <c r="AZ17" t="s">
        <v>74</v>
      </c>
      <c r="BA17" t="s">
        <v>74</v>
      </c>
      <c r="BB17">
        <v>1132</v>
      </c>
      <c r="BC17">
        <v>1154</v>
      </c>
      <c r="BD17" t="s">
        <v>74</v>
      </c>
      <c r="BE17" t="s">
        <v>429</v>
      </c>
      <c r="BF17" t="str">
        <f>HYPERLINK("http://dx.doi.org/10.1002/2017JD027213","http://dx.doi.org/10.1002/2017JD027213")</f>
        <v>http://dx.doi.org/10.1002/2017JD027213</v>
      </c>
      <c r="BG17" t="s">
        <v>74</v>
      </c>
      <c r="BH17" t="s">
        <v>74</v>
      </c>
      <c r="BI17">
        <v>23</v>
      </c>
      <c r="BJ17" t="s">
        <v>430</v>
      </c>
      <c r="BK17" t="s">
        <v>101</v>
      </c>
      <c r="BL17" t="s">
        <v>430</v>
      </c>
      <c r="BM17" t="s">
        <v>431</v>
      </c>
      <c r="BN17" t="s">
        <v>74</v>
      </c>
      <c r="BO17" t="s">
        <v>432</v>
      </c>
      <c r="BP17" t="s">
        <v>74</v>
      </c>
      <c r="BQ17" t="s">
        <v>74</v>
      </c>
      <c r="BR17" t="s">
        <v>105</v>
      </c>
      <c r="BS17" t="s">
        <v>433</v>
      </c>
      <c r="BT17" t="str">
        <f>HYPERLINK("https%3A%2F%2Fwww.webofscience.com%2Fwos%2Fwoscc%2Ffull-record%2FWOS:000425520200030","View Full Record in Web of Science")</f>
        <v>View Full Record in Web of Science</v>
      </c>
    </row>
    <row r="18" spans="1:72" x14ac:dyDescent="0.15">
      <c r="A18" t="s">
        <v>72</v>
      </c>
      <c r="B18" t="s">
        <v>434</v>
      </c>
      <c r="C18" t="s">
        <v>74</v>
      </c>
      <c r="D18" t="s">
        <v>74</v>
      </c>
      <c r="E18" t="s">
        <v>74</v>
      </c>
      <c r="F18" t="s">
        <v>435</v>
      </c>
      <c r="G18" t="s">
        <v>74</v>
      </c>
      <c r="H18" t="s">
        <v>74</v>
      </c>
      <c r="I18" t="s">
        <v>436</v>
      </c>
      <c r="J18" t="s">
        <v>137</v>
      </c>
      <c r="K18" t="s">
        <v>74</v>
      </c>
      <c r="L18" t="s">
        <v>74</v>
      </c>
      <c r="M18" t="s">
        <v>78</v>
      </c>
      <c r="N18" t="s">
        <v>79</v>
      </c>
      <c r="O18" t="s">
        <v>74</v>
      </c>
      <c r="P18" t="s">
        <v>74</v>
      </c>
      <c r="Q18" t="s">
        <v>74</v>
      </c>
      <c r="R18" t="s">
        <v>74</v>
      </c>
      <c r="S18" t="s">
        <v>74</v>
      </c>
      <c r="T18" t="s">
        <v>74</v>
      </c>
      <c r="U18" t="s">
        <v>437</v>
      </c>
      <c r="V18" t="s">
        <v>438</v>
      </c>
      <c r="W18" t="s">
        <v>439</v>
      </c>
      <c r="X18" t="s">
        <v>440</v>
      </c>
      <c r="Y18" t="s">
        <v>441</v>
      </c>
      <c r="Z18" t="s">
        <v>442</v>
      </c>
      <c r="AA18" t="s">
        <v>443</v>
      </c>
      <c r="AB18" t="s">
        <v>444</v>
      </c>
      <c r="AC18" t="s">
        <v>445</v>
      </c>
      <c r="AD18" t="s">
        <v>446</v>
      </c>
      <c r="AE18" t="s">
        <v>447</v>
      </c>
      <c r="AF18" t="s">
        <v>74</v>
      </c>
      <c r="AG18">
        <v>180</v>
      </c>
      <c r="AH18">
        <v>33</v>
      </c>
      <c r="AI18">
        <v>34</v>
      </c>
      <c r="AJ18">
        <v>1</v>
      </c>
      <c r="AK18">
        <v>29</v>
      </c>
      <c r="AL18" t="s">
        <v>149</v>
      </c>
      <c r="AM18" t="s">
        <v>150</v>
      </c>
      <c r="AN18" t="s">
        <v>151</v>
      </c>
      <c r="AO18" t="s">
        <v>152</v>
      </c>
      <c r="AP18" t="s">
        <v>153</v>
      </c>
      <c r="AQ18" t="s">
        <v>74</v>
      </c>
      <c r="AR18" t="s">
        <v>137</v>
      </c>
      <c r="AS18" t="s">
        <v>154</v>
      </c>
      <c r="AT18" t="s">
        <v>448</v>
      </c>
      <c r="AU18">
        <v>2018</v>
      </c>
      <c r="AV18">
        <v>15</v>
      </c>
      <c r="AW18">
        <v>2</v>
      </c>
      <c r="AX18" t="s">
        <v>74</v>
      </c>
      <c r="AY18" t="s">
        <v>74</v>
      </c>
      <c r="AZ18" t="s">
        <v>74</v>
      </c>
      <c r="BA18" t="s">
        <v>74</v>
      </c>
      <c r="BB18">
        <v>507</v>
      </c>
      <c r="BC18">
        <v>527</v>
      </c>
      <c r="BD18" t="s">
        <v>74</v>
      </c>
      <c r="BE18" t="s">
        <v>449</v>
      </c>
      <c r="BF18" t="str">
        <f>HYPERLINK("http://dx.doi.org/10.5194/bg-15-507-2018","http://dx.doi.org/10.5194/bg-15-507-2018")</f>
        <v>http://dx.doi.org/10.5194/bg-15-507-2018</v>
      </c>
      <c r="BG18" t="s">
        <v>74</v>
      </c>
      <c r="BH18" t="s">
        <v>74</v>
      </c>
      <c r="BI18">
        <v>21</v>
      </c>
      <c r="BJ18" t="s">
        <v>157</v>
      </c>
      <c r="BK18" t="s">
        <v>101</v>
      </c>
      <c r="BL18" t="s">
        <v>158</v>
      </c>
      <c r="BM18" t="s">
        <v>450</v>
      </c>
      <c r="BN18" t="s">
        <v>74</v>
      </c>
      <c r="BO18" t="s">
        <v>236</v>
      </c>
      <c r="BP18" t="s">
        <v>74</v>
      </c>
      <c r="BQ18" t="s">
        <v>74</v>
      </c>
      <c r="BR18" t="s">
        <v>105</v>
      </c>
      <c r="BS18" t="s">
        <v>451</v>
      </c>
      <c r="BT18" t="str">
        <f>HYPERLINK("https%3A%2F%2Fwww.webofscience.com%2Fwos%2Fwoscc%2Ffull-record%2FWOS:000423404400002","View Full Record in Web of Science")</f>
        <v>View Full Record in Web of Science</v>
      </c>
    </row>
    <row r="19" spans="1:72" x14ac:dyDescent="0.15">
      <c r="A19" t="s">
        <v>72</v>
      </c>
      <c r="B19" t="s">
        <v>452</v>
      </c>
      <c r="C19" t="s">
        <v>74</v>
      </c>
      <c r="D19" t="s">
        <v>74</v>
      </c>
      <c r="E19" t="s">
        <v>74</v>
      </c>
      <c r="F19" t="s">
        <v>453</v>
      </c>
      <c r="G19" t="s">
        <v>74</v>
      </c>
      <c r="H19" t="s">
        <v>74</v>
      </c>
      <c r="I19" t="s">
        <v>454</v>
      </c>
      <c r="J19" t="s">
        <v>217</v>
      </c>
      <c r="K19" t="s">
        <v>74</v>
      </c>
      <c r="L19" t="s">
        <v>74</v>
      </c>
      <c r="M19" t="s">
        <v>78</v>
      </c>
      <c r="N19" t="s">
        <v>79</v>
      </c>
      <c r="O19" t="s">
        <v>74</v>
      </c>
      <c r="P19" t="s">
        <v>74</v>
      </c>
      <c r="Q19" t="s">
        <v>74</v>
      </c>
      <c r="R19" t="s">
        <v>74</v>
      </c>
      <c r="S19" t="s">
        <v>74</v>
      </c>
      <c r="T19" t="s">
        <v>74</v>
      </c>
      <c r="U19" t="s">
        <v>455</v>
      </c>
      <c r="V19" t="s">
        <v>456</v>
      </c>
      <c r="W19" t="s">
        <v>457</v>
      </c>
      <c r="X19" t="s">
        <v>458</v>
      </c>
      <c r="Y19" t="s">
        <v>459</v>
      </c>
      <c r="Z19" t="s">
        <v>460</v>
      </c>
      <c r="AA19" t="s">
        <v>461</v>
      </c>
      <c r="AB19" t="s">
        <v>462</v>
      </c>
      <c r="AC19" t="s">
        <v>463</v>
      </c>
      <c r="AD19" t="s">
        <v>464</v>
      </c>
      <c r="AE19" t="s">
        <v>465</v>
      </c>
      <c r="AF19" t="s">
        <v>74</v>
      </c>
      <c r="AG19">
        <v>48</v>
      </c>
      <c r="AH19">
        <v>10</v>
      </c>
      <c r="AI19">
        <v>11</v>
      </c>
      <c r="AJ19">
        <v>1</v>
      </c>
      <c r="AK19">
        <v>7</v>
      </c>
      <c r="AL19" t="s">
        <v>149</v>
      </c>
      <c r="AM19" t="s">
        <v>150</v>
      </c>
      <c r="AN19" t="s">
        <v>151</v>
      </c>
      <c r="AO19" t="s">
        <v>229</v>
      </c>
      <c r="AP19" t="s">
        <v>230</v>
      </c>
      <c r="AQ19" t="s">
        <v>74</v>
      </c>
      <c r="AR19" t="s">
        <v>217</v>
      </c>
      <c r="AS19" t="s">
        <v>231</v>
      </c>
      <c r="AT19" t="s">
        <v>448</v>
      </c>
      <c r="AU19">
        <v>2018</v>
      </c>
      <c r="AV19">
        <v>12</v>
      </c>
      <c r="AW19">
        <v>1</v>
      </c>
      <c r="AX19" t="s">
        <v>74</v>
      </c>
      <c r="AY19" t="s">
        <v>74</v>
      </c>
      <c r="AZ19" t="s">
        <v>74</v>
      </c>
      <c r="BA19" t="s">
        <v>74</v>
      </c>
      <c r="BB19">
        <v>325</v>
      </c>
      <c r="BC19">
        <v>341</v>
      </c>
      <c r="BD19" t="s">
        <v>74</v>
      </c>
      <c r="BE19" t="s">
        <v>466</v>
      </c>
      <c r="BF19" t="str">
        <f>HYPERLINK("http://dx.doi.org/10.5194/tc-12-325-2018","http://dx.doi.org/10.5194/tc-12-325-2018")</f>
        <v>http://dx.doi.org/10.5194/tc-12-325-2018</v>
      </c>
      <c r="BG19" t="s">
        <v>74</v>
      </c>
      <c r="BH19" t="s">
        <v>74</v>
      </c>
      <c r="BI19">
        <v>17</v>
      </c>
      <c r="BJ19" t="s">
        <v>233</v>
      </c>
      <c r="BK19" t="s">
        <v>101</v>
      </c>
      <c r="BL19" t="s">
        <v>234</v>
      </c>
      <c r="BM19" t="s">
        <v>467</v>
      </c>
      <c r="BN19" t="s">
        <v>74</v>
      </c>
      <c r="BO19" t="s">
        <v>236</v>
      </c>
      <c r="BP19" t="s">
        <v>74</v>
      </c>
      <c r="BQ19" t="s">
        <v>74</v>
      </c>
      <c r="BR19" t="s">
        <v>105</v>
      </c>
      <c r="BS19" t="s">
        <v>468</v>
      </c>
      <c r="BT19" t="str">
        <f>HYPERLINK("https%3A%2F%2Fwww.webofscience.com%2Fwos%2Fwoscc%2Ffull-record%2FWOS:000423457000002","View Full Record in Web of Science")</f>
        <v>View Full Record in Web of Science</v>
      </c>
    </row>
    <row r="20" spans="1:72" x14ac:dyDescent="0.15">
      <c r="A20" t="s">
        <v>72</v>
      </c>
      <c r="B20" t="s">
        <v>469</v>
      </c>
      <c r="C20" t="s">
        <v>74</v>
      </c>
      <c r="D20" t="s">
        <v>74</v>
      </c>
      <c r="E20" t="s">
        <v>74</v>
      </c>
      <c r="F20" t="s">
        <v>470</v>
      </c>
      <c r="G20" t="s">
        <v>74</v>
      </c>
      <c r="H20" t="s">
        <v>74</v>
      </c>
      <c r="I20" t="s">
        <v>471</v>
      </c>
      <c r="J20" t="s">
        <v>472</v>
      </c>
      <c r="K20" t="s">
        <v>74</v>
      </c>
      <c r="L20" t="s">
        <v>74</v>
      </c>
      <c r="M20" t="s">
        <v>78</v>
      </c>
      <c r="N20" t="s">
        <v>289</v>
      </c>
      <c r="O20" t="s">
        <v>74</v>
      </c>
      <c r="P20" t="s">
        <v>74</v>
      </c>
      <c r="Q20" t="s">
        <v>74</v>
      </c>
      <c r="R20" t="s">
        <v>74</v>
      </c>
      <c r="S20" t="s">
        <v>74</v>
      </c>
      <c r="T20" t="s">
        <v>473</v>
      </c>
      <c r="U20" t="s">
        <v>474</v>
      </c>
      <c r="V20" t="s">
        <v>475</v>
      </c>
      <c r="W20" t="s">
        <v>476</v>
      </c>
      <c r="X20" t="s">
        <v>477</v>
      </c>
      <c r="Y20" t="s">
        <v>478</v>
      </c>
      <c r="Z20" t="s">
        <v>479</v>
      </c>
      <c r="AA20" t="s">
        <v>480</v>
      </c>
      <c r="AB20" t="s">
        <v>481</v>
      </c>
      <c r="AC20" t="s">
        <v>482</v>
      </c>
      <c r="AD20" t="s">
        <v>483</v>
      </c>
      <c r="AE20" t="s">
        <v>484</v>
      </c>
      <c r="AF20" t="s">
        <v>74</v>
      </c>
      <c r="AG20">
        <v>155</v>
      </c>
      <c r="AH20">
        <v>24</v>
      </c>
      <c r="AI20">
        <v>24</v>
      </c>
      <c r="AJ20">
        <v>2</v>
      </c>
      <c r="AK20">
        <v>21</v>
      </c>
      <c r="AL20" t="s">
        <v>485</v>
      </c>
      <c r="AM20" t="s">
        <v>486</v>
      </c>
      <c r="AN20" t="s">
        <v>487</v>
      </c>
      <c r="AO20" t="s">
        <v>488</v>
      </c>
      <c r="AP20" t="s">
        <v>74</v>
      </c>
      <c r="AQ20" t="s">
        <v>74</v>
      </c>
      <c r="AR20" t="s">
        <v>489</v>
      </c>
      <c r="AS20" t="s">
        <v>490</v>
      </c>
      <c r="AT20" t="s">
        <v>448</v>
      </c>
      <c r="AU20">
        <v>2018</v>
      </c>
      <c r="AV20">
        <v>9</v>
      </c>
      <c r="AW20" t="s">
        <v>74</v>
      </c>
      <c r="AX20" t="s">
        <v>74</v>
      </c>
      <c r="AY20" t="s">
        <v>74</v>
      </c>
      <c r="AZ20" t="s">
        <v>74</v>
      </c>
      <c r="BA20" t="s">
        <v>74</v>
      </c>
      <c r="BB20" t="s">
        <v>74</v>
      </c>
      <c r="BC20" t="s">
        <v>74</v>
      </c>
      <c r="BD20">
        <v>38</v>
      </c>
      <c r="BE20" t="s">
        <v>491</v>
      </c>
      <c r="BF20" t="str">
        <f>HYPERLINK("http://dx.doi.org/10.3389/fpls.2018.00038","http://dx.doi.org/10.3389/fpls.2018.00038")</f>
        <v>http://dx.doi.org/10.3389/fpls.2018.00038</v>
      </c>
      <c r="BG20" t="s">
        <v>74</v>
      </c>
      <c r="BH20" t="s">
        <v>74</v>
      </c>
      <c r="BI20">
        <v>24</v>
      </c>
      <c r="BJ20" t="s">
        <v>492</v>
      </c>
      <c r="BK20" t="s">
        <v>101</v>
      </c>
      <c r="BL20" t="s">
        <v>492</v>
      </c>
      <c r="BM20" t="s">
        <v>493</v>
      </c>
      <c r="BN20" t="s">
        <v>74</v>
      </c>
      <c r="BO20" t="s">
        <v>494</v>
      </c>
      <c r="BP20" t="s">
        <v>74</v>
      </c>
      <c r="BQ20" t="s">
        <v>74</v>
      </c>
      <c r="BR20" t="s">
        <v>105</v>
      </c>
      <c r="BS20" t="s">
        <v>495</v>
      </c>
      <c r="BT20" t="str">
        <f>HYPERLINK("https%3A%2F%2Fwww.webofscience.com%2Fwos%2Fwoscc%2Ffull-record%2FWOS:000423355000001","View Full Record in Web of Science")</f>
        <v>View Full Record in Web of Science</v>
      </c>
    </row>
    <row r="21" spans="1:72" x14ac:dyDescent="0.15">
      <c r="A21" t="s">
        <v>72</v>
      </c>
      <c r="B21" t="s">
        <v>496</v>
      </c>
      <c r="C21" t="s">
        <v>74</v>
      </c>
      <c r="D21" t="s">
        <v>74</v>
      </c>
      <c r="E21" t="s">
        <v>74</v>
      </c>
      <c r="F21" t="s">
        <v>497</v>
      </c>
      <c r="G21" t="s">
        <v>74</v>
      </c>
      <c r="H21" t="s">
        <v>74</v>
      </c>
      <c r="I21" t="s">
        <v>498</v>
      </c>
      <c r="J21" t="s">
        <v>499</v>
      </c>
      <c r="K21" t="s">
        <v>74</v>
      </c>
      <c r="L21" t="s">
        <v>74</v>
      </c>
      <c r="M21" t="s">
        <v>78</v>
      </c>
      <c r="N21" t="s">
        <v>79</v>
      </c>
      <c r="O21" t="s">
        <v>74</v>
      </c>
      <c r="P21" t="s">
        <v>74</v>
      </c>
      <c r="Q21" t="s">
        <v>74</v>
      </c>
      <c r="R21" t="s">
        <v>74</v>
      </c>
      <c r="S21" t="s">
        <v>74</v>
      </c>
      <c r="T21" t="s">
        <v>500</v>
      </c>
      <c r="U21" t="s">
        <v>501</v>
      </c>
      <c r="V21" t="s">
        <v>502</v>
      </c>
      <c r="W21" t="s">
        <v>503</v>
      </c>
      <c r="X21" t="s">
        <v>504</v>
      </c>
      <c r="Y21" t="s">
        <v>505</v>
      </c>
      <c r="Z21" t="s">
        <v>506</v>
      </c>
      <c r="AA21" t="s">
        <v>507</v>
      </c>
      <c r="AB21" t="s">
        <v>508</v>
      </c>
      <c r="AC21" t="s">
        <v>509</v>
      </c>
      <c r="AD21" t="s">
        <v>510</v>
      </c>
      <c r="AE21" t="s">
        <v>511</v>
      </c>
      <c r="AF21" t="s">
        <v>74</v>
      </c>
      <c r="AG21">
        <v>50</v>
      </c>
      <c r="AH21">
        <v>5</v>
      </c>
      <c r="AI21">
        <v>5</v>
      </c>
      <c r="AJ21">
        <v>0</v>
      </c>
      <c r="AK21">
        <v>17</v>
      </c>
      <c r="AL21" t="s">
        <v>512</v>
      </c>
      <c r="AM21" t="s">
        <v>513</v>
      </c>
      <c r="AN21" t="s">
        <v>514</v>
      </c>
      <c r="AO21" t="s">
        <v>515</v>
      </c>
      <c r="AP21" t="s">
        <v>516</v>
      </c>
      <c r="AQ21" t="s">
        <v>74</v>
      </c>
      <c r="AR21" t="s">
        <v>517</v>
      </c>
      <c r="AS21" t="s">
        <v>518</v>
      </c>
      <c r="AT21" t="s">
        <v>519</v>
      </c>
      <c r="AU21">
        <v>2018</v>
      </c>
      <c r="AV21">
        <v>587</v>
      </c>
      <c r="AW21" t="s">
        <v>74</v>
      </c>
      <c r="AX21" t="s">
        <v>74</v>
      </c>
      <c r="AY21" t="s">
        <v>74</v>
      </c>
      <c r="AZ21" t="s">
        <v>74</v>
      </c>
      <c r="BA21" t="s">
        <v>74</v>
      </c>
      <c r="BB21">
        <v>175</v>
      </c>
      <c r="BC21">
        <v>186</v>
      </c>
      <c r="BD21" t="s">
        <v>74</v>
      </c>
      <c r="BE21" t="s">
        <v>520</v>
      </c>
      <c r="BF21" t="str">
        <f>HYPERLINK("http://dx.doi.org/10.3354/meps12433","http://dx.doi.org/10.3354/meps12433")</f>
        <v>http://dx.doi.org/10.3354/meps12433</v>
      </c>
      <c r="BG21" t="s">
        <v>74</v>
      </c>
      <c r="BH21" t="s">
        <v>74</v>
      </c>
      <c r="BI21">
        <v>12</v>
      </c>
      <c r="BJ21" t="s">
        <v>521</v>
      </c>
      <c r="BK21" t="s">
        <v>101</v>
      </c>
      <c r="BL21" t="s">
        <v>522</v>
      </c>
      <c r="BM21" t="s">
        <v>523</v>
      </c>
      <c r="BN21" t="s">
        <v>74</v>
      </c>
      <c r="BO21" t="s">
        <v>524</v>
      </c>
      <c r="BP21" t="s">
        <v>74</v>
      </c>
      <c r="BQ21" t="s">
        <v>74</v>
      </c>
      <c r="BR21" t="s">
        <v>105</v>
      </c>
      <c r="BS21" t="s">
        <v>525</v>
      </c>
      <c r="BT21" t="str">
        <f>HYPERLINK("https%3A%2F%2Fwww.webofscience.com%2Fwos%2Fwoscc%2Ffull-record%2FWOS:000426256700014","View Full Record in Web of Science")</f>
        <v>View Full Record in Web of Science</v>
      </c>
    </row>
    <row r="22" spans="1:72" x14ac:dyDescent="0.15">
      <c r="A22" t="s">
        <v>72</v>
      </c>
      <c r="B22" t="s">
        <v>526</v>
      </c>
      <c r="C22" t="s">
        <v>74</v>
      </c>
      <c r="D22" t="s">
        <v>74</v>
      </c>
      <c r="E22" t="s">
        <v>74</v>
      </c>
      <c r="F22" t="s">
        <v>527</v>
      </c>
      <c r="G22" t="s">
        <v>74</v>
      </c>
      <c r="H22" t="s">
        <v>74</v>
      </c>
      <c r="I22" t="s">
        <v>528</v>
      </c>
      <c r="J22" t="s">
        <v>499</v>
      </c>
      <c r="K22" t="s">
        <v>74</v>
      </c>
      <c r="L22" t="s">
        <v>74</v>
      </c>
      <c r="M22" t="s">
        <v>78</v>
      </c>
      <c r="N22" t="s">
        <v>79</v>
      </c>
      <c r="O22" t="s">
        <v>74</v>
      </c>
      <c r="P22" t="s">
        <v>74</v>
      </c>
      <c r="Q22" t="s">
        <v>74</v>
      </c>
      <c r="R22" t="s">
        <v>74</v>
      </c>
      <c r="S22" t="s">
        <v>74</v>
      </c>
      <c r="T22" t="s">
        <v>529</v>
      </c>
      <c r="U22" t="s">
        <v>530</v>
      </c>
      <c r="V22" t="s">
        <v>531</v>
      </c>
      <c r="W22" t="s">
        <v>532</v>
      </c>
      <c r="X22" t="s">
        <v>533</v>
      </c>
      <c r="Y22" t="s">
        <v>534</v>
      </c>
      <c r="Z22" t="s">
        <v>535</v>
      </c>
      <c r="AA22" t="s">
        <v>536</v>
      </c>
      <c r="AB22" t="s">
        <v>537</v>
      </c>
      <c r="AC22" t="s">
        <v>538</v>
      </c>
      <c r="AD22" t="s">
        <v>539</v>
      </c>
      <c r="AE22" t="s">
        <v>540</v>
      </c>
      <c r="AF22" t="s">
        <v>74</v>
      </c>
      <c r="AG22">
        <v>84</v>
      </c>
      <c r="AH22">
        <v>23</v>
      </c>
      <c r="AI22">
        <v>24</v>
      </c>
      <c r="AJ22">
        <v>2</v>
      </c>
      <c r="AK22">
        <v>42</v>
      </c>
      <c r="AL22" t="s">
        <v>512</v>
      </c>
      <c r="AM22" t="s">
        <v>513</v>
      </c>
      <c r="AN22" t="s">
        <v>514</v>
      </c>
      <c r="AO22" t="s">
        <v>515</v>
      </c>
      <c r="AP22" t="s">
        <v>516</v>
      </c>
      <c r="AQ22" t="s">
        <v>74</v>
      </c>
      <c r="AR22" t="s">
        <v>517</v>
      </c>
      <c r="AS22" t="s">
        <v>518</v>
      </c>
      <c r="AT22" t="s">
        <v>519</v>
      </c>
      <c r="AU22">
        <v>2018</v>
      </c>
      <c r="AV22">
        <v>587</v>
      </c>
      <c r="AW22" t="s">
        <v>74</v>
      </c>
      <c r="AX22" t="s">
        <v>74</v>
      </c>
      <c r="AY22" t="s">
        <v>74</v>
      </c>
      <c r="AZ22" t="s">
        <v>74</v>
      </c>
      <c r="BA22" t="s">
        <v>74</v>
      </c>
      <c r="BB22">
        <v>81</v>
      </c>
      <c r="BC22">
        <v>92</v>
      </c>
      <c r="BD22" t="s">
        <v>74</v>
      </c>
      <c r="BE22" t="s">
        <v>541</v>
      </c>
      <c r="BF22" t="str">
        <f>HYPERLINK("http://dx.doi.org/10.3354/meps12447","http://dx.doi.org/10.3354/meps12447")</f>
        <v>http://dx.doi.org/10.3354/meps12447</v>
      </c>
      <c r="BG22" t="s">
        <v>74</v>
      </c>
      <c r="BH22" t="s">
        <v>74</v>
      </c>
      <c r="BI22">
        <v>12</v>
      </c>
      <c r="BJ22" t="s">
        <v>521</v>
      </c>
      <c r="BK22" t="s">
        <v>101</v>
      </c>
      <c r="BL22" t="s">
        <v>522</v>
      </c>
      <c r="BM22" t="s">
        <v>523</v>
      </c>
      <c r="BN22" t="s">
        <v>74</v>
      </c>
      <c r="BO22" t="s">
        <v>542</v>
      </c>
      <c r="BP22" t="s">
        <v>74</v>
      </c>
      <c r="BQ22" t="s">
        <v>74</v>
      </c>
      <c r="BR22" t="s">
        <v>105</v>
      </c>
      <c r="BS22" t="s">
        <v>543</v>
      </c>
      <c r="BT22" t="str">
        <f>HYPERLINK("https%3A%2F%2Fwww.webofscience.com%2Fwos%2Fwoscc%2Ffull-record%2FWOS:000426256700007","View Full Record in Web of Science")</f>
        <v>View Full Record in Web of Science</v>
      </c>
    </row>
    <row r="23" spans="1:72" x14ac:dyDescent="0.15">
      <c r="A23" t="s">
        <v>72</v>
      </c>
      <c r="B23" t="s">
        <v>544</v>
      </c>
      <c r="C23" t="s">
        <v>74</v>
      </c>
      <c r="D23" t="s">
        <v>74</v>
      </c>
      <c r="E23" t="s">
        <v>74</v>
      </c>
      <c r="F23" t="s">
        <v>545</v>
      </c>
      <c r="G23" t="s">
        <v>74</v>
      </c>
      <c r="H23" t="s">
        <v>74</v>
      </c>
      <c r="I23" t="s">
        <v>546</v>
      </c>
      <c r="J23" t="s">
        <v>165</v>
      </c>
      <c r="K23" t="s">
        <v>74</v>
      </c>
      <c r="L23" t="s">
        <v>74</v>
      </c>
      <c r="M23" t="s">
        <v>78</v>
      </c>
      <c r="N23" t="s">
        <v>79</v>
      </c>
      <c r="O23" t="s">
        <v>74</v>
      </c>
      <c r="P23" t="s">
        <v>74</v>
      </c>
      <c r="Q23" t="s">
        <v>74</v>
      </c>
      <c r="R23" t="s">
        <v>74</v>
      </c>
      <c r="S23" t="s">
        <v>74</v>
      </c>
      <c r="T23" t="s">
        <v>74</v>
      </c>
      <c r="U23" t="s">
        <v>547</v>
      </c>
      <c r="V23" t="s">
        <v>548</v>
      </c>
      <c r="W23" t="s">
        <v>549</v>
      </c>
      <c r="X23" t="s">
        <v>550</v>
      </c>
      <c r="Y23" t="s">
        <v>551</v>
      </c>
      <c r="Z23" t="s">
        <v>552</v>
      </c>
      <c r="AA23" t="s">
        <v>553</v>
      </c>
      <c r="AB23" t="s">
        <v>554</v>
      </c>
      <c r="AC23" t="s">
        <v>555</v>
      </c>
      <c r="AD23" t="s">
        <v>556</v>
      </c>
      <c r="AE23" t="s">
        <v>557</v>
      </c>
      <c r="AF23" t="s">
        <v>74</v>
      </c>
      <c r="AG23">
        <v>96</v>
      </c>
      <c r="AH23">
        <v>31</v>
      </c>
      <c r="AI23">
        <v>33</v>
      </c>
      <c r="AJ23">
        <v>2</v>
      </c>
      <c r="AK23">
        <v>63</v>
      </c>
      <c r="AL23" t="s">
        <v>149</v>
      </c>
      <c r="AM23" t="s">
        <v>150</v>
      </c>
      <c r="AN23" t="s">
        <v>151</v>
      </c>
      <c r="AO23" t="s">
        <v>177</v>
      </c>
      <c r="AP23" t="s">
        <v>178</v>
      </c>
      <c r="AQ23" t="s">
        <v>74</v>
      </c>
      <c r="AR23" t="s">
        <v>179</v>
      </c>
      <c r="AS23" t="s">
        <v>180</v>
      </c>
      <c r="AT23" t="s">
        <v>519</v>
      </c>
      <c r="AU23">
        <v>2018</v>
      </c>
      <c r="AV23">
        <v>18</v>
      </c>
      <c r="AW23">
        <v>2</v>
      </c>
      <c r="AX23" t="s">
        <v>74</v>
      </c>
      <c r="AY23" t="s">
        <v>74</v>
      </c>
      <c r="AZ23" t="s">
        <v>74</v>
      </c>
      <c r="BA23" t="s">
        <v>74</v>
      </c>
      <c r="BB23">
        <v>979</v>
      </c>
      <c r="BC23">
        <v>1002</v>
      </c>
      <c r="BD23" t="s">
        <v>74</v>
      </c>
      <c r="BE23" t="s">
        <v>558</v>
      </c>
      <c r="BF23" t="str">
        <f>HYPERLINK("http://dx.doi.org/10.5194/acp-18-979-2018","http://dx.doi.org/10.5194/acp-18-979-2018")</f>
        <v>http://dx.doi.org/10.5194/acp-18-979-2018</v>
      </c>
      <c r="BG23" t="s">
        <v>74</v>
      </c>
      <c r="BH23" t="s">
        <v>74</v>
      </c>
      <c r="BI23">
        <v>24</v>
      </c>
      <c r="BJ23" t="s">
        <v>183</v>
      </c>
      <c r="BK23" t="s">
        <v>101</v>
      </c>
      <c r="BL23" t="s">
        <v>184</v>
      </c>
      <c r="BM23" t="s">
        <v>559</v>
      </c>
      <c r="BN23" t="s">
        <v>74</v>
      </c>
      <c r="BO23" t="s">
        <v>560</v>
      </c>
      <c r="BP23" t="s">
        <v>74</v>
      </c>
      <c r="BQ23" t="s">
        <v>74</v>
      </c>
      <c r="BR23" t="s">
        <v>105</v>
      </c>
      <c r="BS23" t="s">
        <v>561</v>
      </c>
      <c r="BT23" t="str">
        <f>HYPERLINK("https%3A%2F%2Fwww.webofscience.com%2Fwos%2Fwoscc%2Ffull-record%2FWOS:000423349900004","View Full Record in Web of Science")</f>
        <v>View Full Record in Web of Science</v>
      </c>
    </row>
    <row r="24" spans="1:72" x14ac:dyDescent="0.15">
      <c r="A24" t="s">
        <v>72</v>
      </c>
      <c r="B24" t="s">
        <v>562</v>
      </c>
      <c r="C24" t="s">
        <v>74</v>
      </c>
      <c r="D24" t="s">
        <v>74</v>
      </c>
      <c r="E24" t="s">
        <v>74</v>
      </c>
      <c r="F24" t="s">
        <v>563</v>
      </c>
      <c r="G24" t="s">
        <v>74</v>
      </c>
      <c r="H24" t="s">
        <v>74</v>
      </c>
      <c r="I24" t="s">
        <v>564</v>
      </c>
      <c r="J24" t="s">
        <v>565</v>
      </c>
      <c r="K24" t="s">
        <v>74</v>
      </c>
      <c r="L24" t="s">
        <v>74</v>
      </c>
      <c r="M24" t="s">
        <v>78</v>
      </c>
      <c r="N24" t="s">
        <v>79</v>
      </c>
      <c r="O24" t="s">
        <v>74</v>
      </c>
      <c r="P24" t="s">
        <v>74</v>
      </c>
      <c r="Q24" t="s">
        <v>74</v>
      </c>
      <c r="R24" t="s">
        <v>74</v>
      </c>
      <c r="S24" t="s">
        <v>74</v>
      </c>
      <c r="T24" t="s">
        <v>566</v>
      </c>
      <c r="U24" t="s">
        <v>567</v>
      </c>
      <c r="V24" t="s">
        <v>568</v>
      </c>
      <c r="W24" t="s">
        <v>569</v>
      </c>
      <c r="X24" t="s">
        <v>570</v>
      </c>
      <c r="Y24" t="s">
        <v>571</v>
      </c>
      <c r="Z24" t="s">
        <v>572</v>
      </c>
      <c r="AA24" t="s">
        <v>573</v>
      </c>
      <c r="AB24" t="s">
        <v>574</v>
      </c>
      <c r="AC24" t="s">
        <v>575</v>
      </c>
      <c r="AD24" t="s">
        <v>576</v>
      </c>
      <c r="AE24" t="s">
        <v>577</v>
      </c>
      <c r="AF24" t="s">
        <v>74</v>
      </c>
      <c r="AG24">
        <v>48</v>
      </c>
      <c r="AH24">
        <v>29</v>
      </c>
      <c r="AI24">
        <v>31</v>
      </c>
      <c r="AJ24">
        <v>1</v>
      </c>
      <c r="AK24">
        <v>17</v>
      </c>
      <c r="AL24" t="s">
        <v>578</v>
      </c>
      <c r="AM24" t="s">
        <v>92</v>
      </c>
      <c r="AN24" t="s">
        <v>579</v>
      </c>
      <c r="AO24" t="s">
        <v>580</v>
      </c>
      <c r="AP24" t="s">
        <v>74</v>
      </c>
      <c r="AQ24" t="s">
        <v>74</v>
      </c>
      <c r="AR24" t="s">
        <v>581</v>
      </c>
      <c r="AS24" t="s">
        <v>582</v>
      </c>
      <c r="AT24" t="s">
        <v>583</v>
      </c>
      <c r="AU24">
        <v>2018</v>
      </c>
      <c r="AV24">
        <v>15</v>
      </c>
      <c r="AW24" t="s">
        <v>74</v>
      </c>
      <c r="AX24" t="s">
        <v>74</v>
      </c>
      <c r="AY24" t="s">
        <v>74</v>
      </c>
      <c r="AZ24" t="s">
        <v>74</v>
      </c>
      <c r="BA24" t="s">
        <v>74</v>
      </c>
      <c r="BB24" t="s">
        <v>74</v>
      </c>
      <c r="BC24" t="s">
        <v>74</v>
      </c>
      <c r="BD24">
        <v>22</v>
      </c>
      <c r="BE24" t="s">
        <v>584</v>
      </c>
      <c r="BF24" t="str">
        <f>HYPERLINK("http://dx.doi.org/10.1186/s12985-018-0930-x","http://dx.doi.org/10.1186/s12985-018-0930-x")</f>
        <v>http://dx.doi.org/10.1186/s12985-018-0930-x</v>
      </c>
      <c r="BG24" t="s">
        <v>74</v>
      </c>
      <c r="BH24" t="s">
        <v>74</v>
      </c>
      <c r="BI24">
        <v>10</v>
      </c>
      <c r="BJ24" t="s">
        <v>585</v>
      </c>
      <c r="BK24" t="s">
        <v>101</v>
      </c>
      <c r="BL24" t="s">
        <v>585</v>
      </c>
      <c r="BM24" t="s">
        <v>586</v>
      </c>
      <c r="BN24">
        <v>29368617</v>
      </c>
      <c r="BO24" t="s">
        <v>494</v>
      </c>
      <c r="BP24" t="s">
        <v>74</v>
      </c>
      <c r="BQ24" t="s">
        <v>74</v>
      </c>
      <c r="BR24" t="s">
        <v>105</v>
      </c>
      <c r="BS24" t="s">
        <v>587</v>
      </c>
      <c r="BT24" t="str">
        <f>HYPERLINK("https%3A%2F%2Fwww.webofscience.com%2Fwos%2Fwoscc%2Ffull-record%2FWOS:000423682700001","View Full Record in Web of Science")</f>
        <v>View Full Record in Web of Science</v>
      </c>
    </row>
    <row r="25" spans="1:72" x14ac:dyDescent="0.15">
      <c r="A25" t="s">
        <v>72</v>
      </c>
      <c r="B25" t="s">
        <v>588</v>
      </c>
      <c r="C25" t="s">
        <v>74</v>
      </c>
      <c r="D25" t="s">
        <v>74</v>
      </c>
      <c r="E25" t="s">
        <v>74</v>
      </c>
      <c r="F25" t="s">
        <v>589</v>
      </c>
      <c r="G25" t="s">
        <v>74</v>
      </c>
      <c r="H25" t="s">
        <v>74</v>
      </c>
      <c r="I25" t="s">
        <v>590</v>
      </c>
      <c r="J25" t="s">
        <v>591</v>
      </c>
      <c r="K25" t="s">
        <v>74</v>
      </c>
      <c r="L25" t="s">
        <v>74</v>
      </c>
      <c r="M25" t="s">
        <v>78</v>
      </c>
      <c r="N25" t="s">
        <v>79</v>
      </c>
      <c r="O25" t="s">
        <v>74</v>
      </c>
      <c r="P25" t="s">
        <v>74</v>
      </c>
      <c r="Q25" t="s">
        <v>74</v>
      </c>
      <c r="R25" t="s">
        <v>74</v>
      </c>
      <c r="S25" t="s">
        <v>74</v>
      </c>
      <c r="T25" t="s">
        <v>592</v>
      </c>
      <c r="U25" t="s">
        <v>593</v>
      </c>
      <c r="V25" t="s">
        <v>594</v>
      </c>
      <c r="W25" t="s">
        <v>595</v>
      </c>
      <c r="X25" t="s">
        <v>596</v>
      </c>
      <c r="Y25" t="s">
        <v>597</v>
      </c>
      <c r="Z25" t="s">
        <v>598</v>
      </c>
      <c r="AA25" t="s">
        <v>599</v>
      </c>
      <c r="AB25" t="s">
        <v>600</v>
      </c>
      <c r="AC25" t="s">
        <v>601</v>
      </c>
      <c r="AD25" t="s">
        <v>602</v>
      </c>
      <c r="AE25" t="s">
        <v>603</v>
      </c>
      <c r="AF25" t="s">
        <v>74</v>
      </c>
      <c r="AG25">
        <v>49</v>
      </c>
      <c r="AH25">
        <v>102</v>
      </c>
      <c r="AI25">
        <v>111</v>
      </c>
      <c r="AJ25">
        <v>3</v>
      </c>
      <c r="AK25">
        <v>43</v>
      </c>
      <c r="AL25" t="s">
        <v>485</v>
      </c>
      <c r="AM25" t="s">
        <v>486</v>
      </c>
      <c r="AN25" t="s">
        <v>604</v>
      </c>
      <c r="AO25" t="s">
        <v>74</v>
      </c>
      <c r="AP25" t="s">
        <v>605</v>
      </c>
      <c r="AQ25" t="s">
        <v>74</v>
      </c>
      <c r="AR25" t="s">
        <v>606</v>
      </c>
      <c r="AS25" t="s">
        <v>607</v>
      </c>
      <c r="AT25" t="s">
        <v>583</v>
      </c>
      <c r="AU25">
        <v>2018</v>
      </c>
      <c r="AV25">
        <v>4</v>
      </c>
      <c r="AW25" t="s">
        <v>74</v>
      </c>
      <c r="AX25" t="s">
        <v>74</v>
      </c>
      <c r="AY25" t="s">
        <v>74</v>
      </c>
      <c r="AZ25" t="s">
        <v>74</v>
      </c>
      <c r="BA25" t="s">
        <v>74</v>
      </c>
      <c r="BB25" t="s">
        <v>74</v>
      </c>
      <c r="BC25" t="s">
        <v>74</v>
      </c>
      <c r="BD25">
        <v>429</v>
      </c>
      <c r="BE25" t="s">
        <v>608</v>
      </c>
      <c r="BF25" t="str">
        <f>HYPERLINK("http://dx.doi.org/10.3389/fmars.2017.00429","http://dx.doi.org/10.3389/fmars.2017.00429")</f>
        <v>http://dx.doi.org/10.3389/fmars.2017.00429</v>
      </c>
      <c r="BG25" t="s">
        <v>74</v>
      </c>
      <c r="BH25" t="s">
        <v>74</v>
      </c>
      <c r="BI25">
        <v>25</v>
      </c>
      <c r="BJ25" t="s">
        <v>609</v>
      </c>
      <c r="BK25" t="s">
        <v>101</v>
      </c>
      <c r="BL25" t="s">
        <v>610</v>
      </c>
      <c r="BM25" t="s">
        <v>611</v>
      </c>
      <c r="BN25" t="s">
        <v>74</v>
      </c>
      <c r="BO25" t="s">
        <v>612</v>
      </c>
      <c r="BP25" t="s">
        <v>74</v>
      </c>
      <c r="BQ25" t="s">
        <v>74</v>
      </c>
      <c r="BR25" t="s">
        <v>105</v>
      </c>
      <c r="BS25" t="s">
        <v>613</v>
      </c>
      <c r="BT25" t="str">
        <f>HYPERLINK("https%3A%2F%2Fwww.webofscience.com%2Fwos%2Fwoscc%2Ffull-record%2FWOS:000456914600001","View Full Record in Web of Science")</f>
        <v>View Full Record in Web of Science</v>
      </c>
    </row>
    <row r="26" spans="1:72" x14ac:dyDescent="0.15">
      <c r="A26" t="s">
        <v>72</v>
      </c>
      <c r="B26" t="s">
        <v>614</v>
      </c>
      <c r="C26" t="s">
        <v>74</v>
      </c>
      <c r="D26" t="s">
        <v>74</v>
      </c>
      <c r="E26" t="s">
        <v>74</v>
      </c>
      <c r="F26" t="s">
        <v>615</v>
      </c>
      <c r="G26" t="s">
        <v>74</v>
      </c>
      <c r="H26" t="s">
        <v>74</v>
      </c>
      <c r="I26" t="s">
        <v>616</v>
      </c>
      <c r="J26" t="s">
        <v>110</v>
      </c>
      <c r="K26" t="s">
        <v>74</v>
      </c>
      <c r="L26" t="s">
        <v>74</v>
      </c>
      <c r="M26" t="s">
        <v>78</v>
      </c>
      <c r="N26" t="s">
        <v>79</v>
      </c>
      <c r="O26" t="s">
        <v>74</v>
      </c>
      <c r="P26" t="s">
        <v>74</v>
      </c>
      <c r="Q26" t="s">
        <v>74</v>
      </c>
      <c r="R26" t="s">
        <v>74</v>
      </c>
      <c r="S26" t="s">
        <v>74</v>
      </c>
      <c r="T26" t="s">
        <v>74</v>
      </c>
      <c r="U26" t="s">
        <v>617</v>
      </c>
      <c r="V26" t="s">
        <v>618</v>
      </c>
      <c r="W26" t="s">
        <v>619</v>
      </c>
      <c r="X26" t="s">
        <v>620</v>
      </c>
      <c r="Y26" t="s">
        <v>621</v>
      </c>
      <c r="Z26" t="s">
        <v>622</v>
      </c>
      <c r="AA26" t="s">
        <v>623</v>
      </c>
      <c r="AB26" t="s">
        <v>74</v>
      </c>
      <c r="AC26" t="s">
        <v>624</v>
      </c>
      <c r="AD26" t="s">
        <v>625</v>
      </c>
      <c r="AE26" t="s">
        <v>626</v>
      </c>
      <c r="AF26" t="s">
        <v>74</v>
      </c>
      <c r="AG26">
        <v>108</v>
      </c>
      <c r="AH26">
        <v>28</v>
      </c>
      <c r="AI26">
        <v>29</v>
      </c>
      <c r="AJ26">
        <v>1</v>
      </c>
      <c r="AK26">
        <v>21</v>
      </c>
      <c r="AL26" t="s">
        <v>122</v>
      </c>
      <c r="AM26" t="s">
        <v>123</v>
      </c>
      <c r="AN26" t="s">
        <v>124</v>
      </c>
      <c r="AO26" t="s">
        <v>125</v>
      </c>
      <c r="AP26" t="s">
        <v>74</v>
      </c>
      <c r="AQ26" t="s">
        <v>74</v>
      </c>
      <c r="AR26" t="s">
        <v>110</v>
      </c>
      <c r="AS26" t="s">
        <v>126</v>
      </c>
      <c r="AT26" t="s">
        <v>583</v>
      </c>
      <c r="AU26">
        <v>2018</v>
      </c>
      <c r="AV26">
        <v>13</v>
      </c>
      <c r="AW26">
        <v>1</v>
      </c>
      <c r="AX26" t="s">
        <v>74</v>
      </c>
      <c r="AY26" t="s">
        <v>74</v>
      </c>
      <c r="AZ26" t="s">
        <v>74</v>
      </c>
      <c r="BA26" t="s">
        <v>74</v>
      </c>
      <c r="BB26" t="s">
        <v>74</v>
      </c>
      <c r="BC26" t="s">
        <v>74</v>
      </c>
      <c r="BD26" t="s">
        <v>627</v>
      </c>
      <c r="BE26" t="s">
        <v>628</v>
      </c>
      <c r="BF26" t="str">
        <f>HYPERLINK("http://dx.doi.org/10.1371/journal.pone.0189930","http://dx.doi.org/10.1371/journal.pone.0189930")</f>
        <v>http://dx.doi.org/10.1371/journal.pone.0189930</v>
      </c>
      <c r="BG26" t="s">
        <v>74</v>
      </c>
      <c r="BH26" t="s">
        <v>74</v>
      </c>
      <c r="BI26">
        <v>25</v>
      </c>
      <c r="BJ26" t="s">
        <v>129</v>
      </c>
      <c r="BK26" t="s">
        <v>101</v>
      </c>
      <c r="BL26" t="s">
        <v>130</v>
      </c>
      <c r="BM26" t="s">
        <v>629</v>
      </c>
      <c r="BN26">
        <v>29364902</v>
      </c>
      <c r="BO26" t="s">
        <v>630</v>
      </c>
      <c r="BP26" t="s">
        <v>74</v>
      </c>
      <c r="BQ26" t="s">
        <v>74</v>
      </c>
      <c r="BR26" t="s">
        <v>105</v>
      </c>
      <c r="BS26" t="s">
        <v>631</v>
      </c>
      <c r="BT26" t="str">
        <f>HYPERLINK("https%3A%2F%2Fwww.webofscience.com%2Fwos%2Fwoscc%2Ffull-record%2FWOS:000423412500007","View Full Record in Web of Science")</f>
        <v>View Full Record in Web of Science</v>
      </c>
    </row>
    <row r="27" spans="1:72" x14ac:dyDescent="0.15">
      <c r="A27" t="s">
        <v>72</v>
      </c>
      <c r="B27" t="s">
        <v>632</v>
      </c>
      <c r="C27" t="s">
        <v>74</v>
      </c>
      <c r="D27" t="s">
        <v>74</v>
      </c>
      <c r="E27" t="s">
        <v>74</v>
      </c>
      <c r="F27" t="s">
        <v>633</v>
      </c>
      <c r="G27" t="s">
        <v>74</v>
      </c>
      <c r="H27" t="s">
        <v>74</v>
      </c>
      <c r="I27" t="s">
        <v>634</v>
      </c>
      <c r="J27" t="s">
        <v>635</v>
      </c>
      <c r="K27" t="s">
        <v>74</v>
      </c>
      <c r="L27" t="s">
        <v>74</v>
      </c>
      <c r="M27" t="s">
        <v>78</v>
      </c>
      <c r="N27" t="s">
        <v>79</v>
      </c>
      <c r="O27" t="s">
        <v>74</v>
      </c>
      <c r="P27" t="s">
        <v>74</v>
      </c>
      <c r="Q27" t="s">
        <v>74</v>
      </c>
      <c r="R27" t="s">
        <v>74</v>
      </c>
      <c r="S27" t="s">
        <v>74</v>
      </c>
      <c r="T27" t="s">
        <v>636</v>
      </c>
      <c r="U27" t="s">
        <v>637</v>
      </c>
      <c r="V27" t="s">
        <v>638</v>
      </c>
      <c r="W27" t="s">
        <v>639</v>
      </c>
      <c r="X27" t="s">
        <v>640</v>
      </c>
      <c r="Y27" t="s">
        <v>641</v>
      </c>
      <c r="Z27" t="s">
        <v>642</v>
      </c>
      <c r="AA27" t="s">
        <v>643</v>
      </c>
      <c r="AB27" t="s">
        <v>644</v>
      </c>
      <c r="AC27" t="s">
        <v>645</v>
      </c>
      <c r="AD27" t="s">
        <v>646</v>
      </c>
      <c r="AE27" t="s">
        <v>647</v>
      </c>
      <c r="AF27" t="s">
        <v>74</v>
      </c>
      <c r="AG27">
        <v>57</v>
      </c>
      <c r="AH27">
        <v>16</v>
      </c>
      <c r="AI27">
        <v>16</v>
      </c>
      <c r="AJ27">
        <v>0</v>
      </c>
      <c r="AK27">
        <v>7</v>
      </c>
      <c r="AL27" t="s">
        <v>648</v>
      </c>
      <c r="AM27" t="s">
        <v>649</v>
      </c>
      <c r="AN27" t="s">
        <v>650</v>
      </c>
      <c r="AO27" t="s">
        <v>651</v>
      </c>
      <c r="AP27" t="s">
        <v>652</v>
      </c>
      <c r="AQ27" t="s">
        <v>74</v>
      </c>
      <c r="AR27" t="s">
        <v>635</v>
      </c>
      <c r="AS27" t="s">
        <v>653</v>
      </c>
      <c r="AT27" t="s">
        <v>583</v>
      </c>
      <c r="AU27">
        <v>2018</v>
      </c>
      <c r="AV27">
        <v>4375</v>
      </c>
      <c r="AW27">
        <v>2</v>
      </c>
      <c r="AX27" t="s">
        <v>74</v>
      </c>
      <c r="AY27" t="s">
        <v>74</v>
      </c>
      <c r="AZ27" t="s">
        <v>74</v>
      </c>
      <c r="BA27" t="s">
        <v>74</v>
      </c>
      <c r="BB27">
        <v>211</v>
      </c>
      <c r="BC27">
        <v>249</v>
      </c>
      <c r="BD27" t="s">
        <v>74</v>
      </c>
      <c r="BE27" t="s">
        <v>654</v>
      </c>
      <c r="BF27" t="str">
        <f>HYPERLINK("http://dx.doi.org/10.11646/zootaxa.4375.2.3","http://dx.doi.org/10.11646/zootaxa.4375.2.3")</f>
        <v>http://dx.doi.org/10.11646/zootaxa.4375.2.3</v>
      </c>
      <c r="BG27" t="s">
        <v>74</v>
      </c>
      <c r="BH27" t="s">
        <v>74</v>
      </c>
      <c r="BI27">
        <v>39</v>
      </c>
      <c r="BJ27" t="s">
        <v>655</v>
      </c>
      <c r="BK27" t="s">
        <v>101</v>
      </c>
      <c r="BL27" t="s">
        <v>655</v>
      </c>
      <c r="BM27" t="s">
        <v>656</v>
      </c>
      <c r="BN27">
        <v>29689770</v>
      </c>
      <c r="BO27" t="s">
        <v>74</v>
      </c>
      <c r="BP27" t="s">
        <v>74</v>
      </c>
      <c r="BQ27" t="s">
        <v>74</v>
      </c>
      <c r="BR27" t="s">
        <v>105</v>
      </c>
      <c r="BS27" t="s">
        <v>657</v>
      </c>
      <c r="BT27" t="str">
        <f>HYPERLINK("https%3A%2F%2Fwww.webofscience.com%2Fwos%2Fwoscc%2Ffull-record%2FWOS:000423114500003","View Full Record in Web of Science")</f>
        <v>View Full Record in Web of Science</v>
      </c>
    </row>
    <row r="28" spans="1:72" x14ac:dyDescent="0.15">
      <c r="A28" t="s">
        <v>72</v>
      </c>
      <c r="B28" t="s">
        <v>658</v>
      </c>
      <c r="C28" t="s">
        <v>74</v>
      </c>
      <c r="D28" t="s">
        <v>74</v>
      </c>
      <c r="E28" t="s">
        <v>74</v>
      </c>
      <c r="F28" t="s">
        <v>659</v>
      </c>
      <c r="G28" t="s">
        <v>74</v>
      </c>
      <c r="H28" t="s">
        <v>74</v>
      </c>
      <c r="I28" t="s">
        <v>660</v>
      </c>
      <c r="J28" t="s">
        <v>661</v>
      </c>
      <c r="K28" t="s">
        <v>74</v>
      </c>
      <c r="L28" t="s">
        <v>74</v>
      </c>
      <c r="M28" t="s">
        <v>78</v>
      </c>
      <c r="N28" t="s">
        <v>79</v>
      </c>
      <c r="O28" t="s">
        <v>74</v>
      </c>
      <c r="P28" t="s">
        <v>74</v>
      </c>
      <c r="Q28" t="s">
        <v>74</v>
      </c>
      <c r="R28" t="s">
        <v>74</v>
      </c>
      <c r="S28" t="s">
        <v>74</v>
      </c>
      <c r="T28" t="s">
        <v>74</v>
      </c>
      <c r="U28" t="s">
        <v>662</v>
      </c>
      <c r="V28" t="s">
        <v>663</v>
      </c>
      <c r="W28" t="s">
        <v>664</v>
      </c>
      <c r="X28" t="s">
        <v>665</v>
      </c>
      <c r="Y28" t="s">
        <v>666</v>
      </c>
      <c r="Z28" t="s">
        <v>667</v>
      </c>
      <c r="AA28" t="s">
        <v>668</v>
      </c>
      <c r="AB28" t="s">
        <v>669</v>
      </c>
      <c r="AC28" t="s">
        <v>670</v>
      </c>
      <c r="AD28" t="s">
        <v>671</v>
      </c>
      <c r="AE28" t="s">
        <v>672</v>
      </c>
      <c r="AF28" t="s">
        <v>74</v>
      </c>
      <c r="AG28">
        <v>59</v>
      </c>
      <c r="AH28">
        <v>124</v>
      </c>
      <c r="AI28">
        <v>137</v>
      </c>
      <c r="AJ28">
        <v>5</v>
      </c>
      <c r="AK28">
        <v>59</v>
      </c>
      <c r="AL28" t="s">
        <v>673</v>
      </c>
      <c r="AM28" t="s">
        <v>92</v>
      </c>
      <c r="AN28" t="s">
        <v>674</v>
      </c>
      <c r="AO28" t="s">
        <v>675</v>
      </c>
      <c r="AP28" t="s">
        <v>74</v>
      </c>
      <c r="AQ28" t="s">
        <v>74</v>
      </c>
      <c r="AR28" t="s">
        <v>676</v>
      </c>
      <c r="AS28" t="s">
        <v>677</v>
      </c>
      <c r="AT28" t="s">
        <v>678</v>
      </c>
      <c r="AU28">
        <v>2018</v>
      </c>
      <c r="AV28">
        <v>9</v>
      </c>
      <c r="AW28" t="s">
        <v>74</v>
      </c>
      <c r="AX28" t="s">
        <v>74</v>
      </c>
      <c r="AY28" t="s">
        <v>74</v>
      </c>
      <c r="AZ28" t="s">
        <v>74</v>
      </c>
      <c r="BA28" t="s">
        <v>74</v>
      </c>
      <c r="BB28" t="s">
        <v>74</v>
      </c>
      <c r="BC28" t="s">
        <v>74</v>
      </c>
      <c r="BD28">
        <v>246</v>
      </c>
      <c r="BE28" t="s">
        <v>679</v>
      </c>
      <c r="BF28" t="str">
        <f>HYPERLINK("http://dx.doi.org/10.1038/s41467-017-02446-8","http://dx.doi.org/10.1038/s41467-017-02446-8")</f>
        <v>http://dx.doi.org/10.1038/s41467-017-02446-8</v>
      </c>
      <c r="BG28" t="s">
        <v>74</v>
      </c>
      <c r="BH28" t="s">
        <v>74</v>
      </c>
      <c r="BI28">
        <v>8</v>
      </c>
      <c r="BJ28" t="s">
        <v>129</v>
      </c>
      <c r="BK28" t="s">
        <v>101</v>
      </c>
      <c r="BL28" t="s">
        <v>130</v>
      </c>
      <c r="BM28" t="s">
        <v>680</v>
      </c>
      <c r="BN28">
        <v>29362437</v>
      </c>
      <c r="BO28" t="s">
        <v>681</v>
      </c>
      <c r="BP28" t="s">
        <v>74</v>
      </c>
      <c r="BQ28" t="s">
        <v>74</v>
      </c>
      <c r="BR28" t="s">
        <v>105</v>
      </c>
      <c r="BS28" t="s">
        <v>682</v>
      </c>
      <c r="BT28" t="str">
        <f>HYPERLINK("https%3A%2F%2Fwww.webofscience.com%2Fwos%2Fwoscc%2Ffull-record%2FWOS:000423055100001","View Full Record in Web of Science")</f>
        <v>View Full Record in Web of Science</v>
      </c>
    </row>
    <row r="29" spans="1:72" x14ac:dyDescent="0.15">
      <c r="A29" t="s">
        <v>72</v>
      </c>
      <c r="B29" t="s">
        <v>683</v>
      </c>
      <c r="C29" t="s">
        <v>74</v>
      </c>
      <c r="D29" t="s">
        <v>74</v>
      </c>
      <c r="E29" t="s">
        <v>74</v>
      </c>
      <c r="F29" t="s">
        <v>684</v>
      </c>
      <c r="G29" t="s">
        <v>74</v>
      </c>
      <c r="H29" t="s">
        <v>74</v>
      </c>
      <c r="I29" t="s">
        <v>685</v>
      </c>
      <c r="J29" t="s">
        <v>661</v>
      </c>
      <c r="K29" t="s">
        <v>74</v>
      </c>
      <c r="L29" t="s">
        <v>74</v>
      </c>
      <c r="M29" t="s">
        <v>78</v>
      </c>
      <c r="N29" t="s">
        <v>79</v>
      </c>
      <c r="O29" t="s">
        <v>74</v>
      </c>
      <c r="P29" t="s">
        <v>74</v>
      </c>
      <c r="Q29" t="s">
        <v>74</v>
      </c>
      <c r="R29" t="s">
        <v>74</v>
      </c>
      <c r="S29" t="s">
        <v>74</v>
      </c>
      <c r="T29" t="s">
        <v>74</v>
      </c>
      <c r="U29" t="s">
        <v>686</v>
      </c>
      <c r="V29" t="s">
        <v>687</v>
      </c>
      <c r="W29" t="s">
        <v>688</v>
      </c>
      <c r="X29" t="s">
        <v>689</v>
      </c>
      <c r="Y29" t="s">
        <v>690</v>
      </c>
      <c r="Z29" t="s">
        <v>691</v>
      </c>
      <c r="AA29" t="s">
        <v>692</v>
      </c>
      <c r="AB29" t="s">
        <v>693</v>
      </c>
      <c r="AC29" t="s">
        <v>694</v>
      </c>
      <c r="AD29" t="s">
        <v>695</v>
      </c>
      <c r="AE29" t="s">
        <v>696</v>
      </c>
      <c r="AF29" t="s">
        <v>74</v>
      </c>
      <c r="AG29">
        <v>93</v>
      </c>
      <c r="AH29">
        <v>78</v>
      </c>
      <c r="AI29">
        <v>79</v>
      </c>
      <c r="AJ29">
        <v>1</v>
      </c>
      <c r="AK29">
        <v>42</v>
      </c>
      <c r="AL29" t="s">
        <v>697</v>
      </c>
      <c r="AM29" t="s">
        <v>698</v>
      </c>
      <c r="AN29" t="s">
        <v>699</v>
      </c>
      <c r="AO29" t="s">
        <v>675</v>
      </c>
      <c r="AP29" t="s">
        <v>74</v>
      </c>
      <c r="AQ29" t="s">
        <v>74</v>
      </c>
      <c r="AR29" t="s">
        <v>676</v>
      </c>
      <c r="AS29" t="s">
        <v>677</v>
      </c>
      <c r="AT29" t="s">
        <v>700</v>
      </c>
      <c r="AU29">
        <v>2018</v>
      </c>
      <c r="AV29">
        <v>9</v>
      </c>
      <c r="AW29" t="s">
        <v>74</v>
      </c>
      <c r="AX29" t="s">
        <v>74</v>
      </c>
      <c r="AY29" t="s">
        <v>74</v>
      </c>
      <c r="AZ29" t="s">
        <v>74</v>
      </c>
      <c r="BA29" t="s">
        <v>74</v>
      </c>
      <c r="BB29" t="s">
        <v>74</v>
      </c>
      <c r="BC29" t="s">
        <v>74</v>
      </c>
      <c r="BD29">
        <v>317</v>
      </c>
      <c r="BE29" t="s">
        <v>701</v>
      </c>
      <c r="BF29" t="str">
        <f>HYPERLINK("http://dx.doi.org/10.1038/s41467-017-02609-7","http://dx.doi.org/10.1038/s41467-017-02609-7")</f>
        <v>http://dx.doi.org/10.1038/s41467-017-02609-7</v>
      </c>
      <c r="BG29" t="s">
        <v>74</v>
      </c>
      <c r="BH29" t="s">
        <v>74</v>
      </c>
      <c r="BI29">
        <v>11</v>
      </c>
      <c r="BJ29" t="s">
        <v>129</v>
      </c>
      <c r="BK29" t="s">
        <v>101</v>
      </c>
      <c r="BL29" t="s">
        <v>130</v>
      </c>
      <c r="BM29" t="s">
        <v>702</v>
      </c>
      <c r="BN29">
        <v>29358604</v>
      </c>
      <c r="BO29" t="s">
        <v>703</v>
      </c>
      <c r="BP29" t="s">
        <v>74</v>
      </c>
      <c r="BQ29" t="s">
        <v>74</v>
      </c>
      <c r="BR29" t="s">
        <v>105</v>
      </c>
      <c r="BS29" t="s">
        <v>704</v>
      </c>
      <c r="BT29" t="str">
        <f>HYPERLINK("https%3A%2F%2Fwww.webofscience.com%2Fwos%2Fwoscc%2Ffull-record%2FWOS:000422915700012","View Full Record in Web of Science")</f>
        <v>View Full Record in Web of Science</v>
      </c>
    </row>
    <row r="30" spans="1:72" x14ac:dyDescent="0.15">
      <c r="A30" t="s">
        <v>72</v>
      </c>
      <c r="B30" t="s">
        <v>705</v>
      </c>
      <c r="C30" t="s">
        <v>74</v>
      </c>
      <c r="D30" t="s">
        <v>74</v>
      </c>
      <c r="E30" t="s">
        <v>74</v>
      </c>
      <c r="F30" t="s">
        <v>706</v>
      </c>
      <c r="G30" t="s">
        <v>74</v>
      </c>
      <c r="H30" t="s">
        <v>74</v>
      </c>
      <c r="I30" t="s">
        <v>707</v>
      </c>
      <c r="J30" t="s">
        <v>217</v>
      </c>
      <c r="K30" t="s">
        <v>74</v>
      </c>
      <c r="L30" t="s">
        <v>74</v>
      </c>
      <c r="M30" t="s">
        <v>78</v>
      </c>
      <c r="N30" t="s">
        <v>79</v>
      </c>
      <c r="O30" t="s">
        <v>74</v>
      </c>
      <c r="P30" t="s">
        <v>74</v>
      </c>
      <c r="Q30" t="s">
        <v>74</v>
      </c>
      <c r="R30" t="s">
        <v>74</v>
      </c>
      <c r="S30" t="s">
        <v>74</v>
      </c>
      <c r="T30" t="s">
        <v>74</v>
      </c>
      <c r="U30" t="s">
        <v>708</v>
      </c>
      <c r="V30" t="s">
        <v>709</v>
      </c>
      <c r="W30" t="s">
        <v>710</v>
      </c>
      <c r="X30" t="s">
        <v>711</v>
      </c>
      <c r="Y30" t="s">
        <v>712</v>
      </c>
      <c r="Z30" t="s">
        <v>713</v>
      </c>
      <c r="AA30" t="s">
        <v>74</v>
      </c>
      <c r="AB30" t="s">
        <v>714</v>
      </c>
      <c r="AC30" t="s">
        <v>715</v>
      </c>
      <c r="AD30" t="s">
        <v>716</v>
      </c>
      <c r="AE30" t="s">
        <v>717</v>
      </c>
      <c r="AF30" t="s">
        <v>74</v>
      </c>
      <c r="AG30">
        <v>87</v>
      </c>
      <c r="AH30">
        <v>11</v>
      </c>
      <c r="AI30">
        <v>14</v>
      </c>
      <c r="AJ30">
        <v>0</v>
      </c>
      <c r="AK30">
        <v>5</v>
      </c>
      <c r="AL30" t="s">
        <v>149</v>
      </c>
      <c r="AM30" t="s">
        <v>150</v>
      </c>
      <c r="AN30" t="s">
        <v>151</v>
      </c>
      <c r="AO30" t="s">
        <v>229</v>
      </c>
      <c r="AP30" t="s">
        <v>230</v>
      </c>
      <c r="AQ30" t="s">
        <v>74</v>
      </c>
      <c r="AR30" t="s">
        <v>217</v>
      </c>
      <c r="AS30" t="s">
        <v>231</v>
      </c>
      <c r="AT30" t="s">
        <v>700</v>
      </c>
      <c r="AU30">
        <v>2018</v>
      </c>
      <c r="AV30">
        <v>12</v>
      </c>
      <c r="AW30">
        <v>1</v>
      </c>
      <c r="AX30" t="s">
        <v>74</v>
      </c>
      <c r="AY30" t="s">
        <v>74</v>
      </c>
      <c r="AZ30" t="s">
        <v>74</v>
      </c>
      <c r="BA30" t="s">
        <v>74</v>
      </c>
      <c r="BB30">
        <v>205</v>
      </c>
      <c r="BC30">
        <v>225</v>
      </c>
      <c r="BD30" t="s">
        <v>74</v>
      </c>
      <c r="BE30" t="s">
        <v>718</v>
      </c>
      <c r="BF30" t="str">
        <f>HYPERLINK("http://dx.doi.org/10.5194/tc-12-205-2018","http://dx.doi.org/10.5194/tc-12-205-2018")</f>
        <v>http://dx.doi.org/10.5194/tc-12-205-2018</v>
      </c>
      <c r="BG30" t="s">
        <v>74</v>
      </c>
      <c r="BH30" t="s">
        <v>74</v>
      </c>
      <c r="BI30">
        <v>21</v>
      </c>
      <c r="BJ30" t="s">
        <v>233</v>
      </c>
      <c r="BK30" t="s">
        <v>101</v>
      </c>
      <c r="BL30" t="s">
        <v>234</v>
      </c>
      <c r="BM30" t="s">
        <v>719</v>
      </c>
      <c r="BN30" t="s">
        <v>74</v>
      </c>
      <c r="BO30" t="s">
        <v>212</v>
      </c>
      <c r="BP30" t="s">
        <v>74</v>
      </c>
      <c r="BQ30" t="s">
        <v>74</v>
      </c>
      <c r="BR30" t="s">
        <v>105</v>
      </c>
      <c r="BS30" t="s">
        <v>720</v>
      </c>
      <c r="BT30" t="str">
        <f>HYPERLINK("https%3A%2F%2Fwww.webofscience.com%2Fwos%2Fwoscc%2Ffull-record%2FWOS:000423119200001","View Full Record in Web of Science")</f>
        <v>View Full Record in Web of Science</v>
      </c>
    </row>
    <row r="31" spans="1:72" x14ac:dyDescent="0.15">
      <c r="A31" t="s">
        <v>72</v>
      </c>
      <c r="B31" t="s">
        <v>721</v>
      </c>
      <c r="C31" t="s">
        <v>74</v>
      </c>
      <c r="D31" t="s">
        <v>74</v>
      </c>
      <c r="E31" t="s">
        <v>74</v>
      </c>
      <c r="F31" t="s">
        <v>722</v>
      </c>
      <c r="G31" t="s">
        <v>74</v>
      </c>
      <c r="H31" t="s">
        <v>74</v>
      </c>
      <c r="I31" t="s">
        <v>723</v>
      </c>
      <c r="J31" t="s">
        <v>217</v>
      </c>
      <c r="K31" t="s">
        <v>74</v>
      </c>
      <c r="L31" t="s">
        <v>74</v>
      </c>
      <c r="M31" t="s">
        <v>78</v>
      </c>
      <c r="N31" t="s">
        <v>79</v>
      </c>
      <c r="O31" t="s">
        <v>74</v>
      </c>
      <c r="P31" t="s">
        <v>74</v>
      </c>
      <c r="Q31" t="s">
        <v>74</v>
      </c>
      <c r="R31" t="s">
        <v>74</v>
      </c>
      <c r="S31" t="s">
        <v>74</v>
      </c>
      <c r="T31" t="s">
        <v>74</v>
      </c>
      <c r="U31" t="s">
        <v>724</v>
      </c>
      <c r="V31" t="s">
        <v>725</v>
      </c>
      <c r="W31" t="s">
        <v>726</v>
      </c>
      <c r="X31" t="s">
        <v>727</v>
      </c>
      <c r="Y31" t="s">
        <v>728</v>
      </c>
      <c r="Z31" t="s">
        <v>729</v>
      </c>
      <c r="AA31" t="s">
        <v>730</v>
      </c>
      <c r="AB31" t="s">
        <v>731</v>
      </c>
      <c r="AC31" t="s">
        <v>732</v>
      </c>
      <c r="AD31" t="s">
        <v>733</v>
      </c>
      <c r="AE31" t="s">
        <v>734</v>
      </c>
      <c r="AF31" t="s">
        <v>74</v>
      </c>
      <c r="AG31">
        <v>74</v>
      </c>
      <c r="AH31">
        <v>53</v>
      </c>
      <c r="AI31">
        <v>60</v>
      </c>
      <c r="AJ31">
        <v>1</v>
      </c>
      <c r="AK31">
        <v>35</v>
      </c>
      <c r="AL31" t="s">
        <v>149</v>
      </c>
      <c r="AM31" t="s">
        <v>150</v>
      </c>
      <c r="AN31" t="s">
        <v>151</v>
      </c>
      <c r="AO31" t="s">
        <v>229</v>
      </c>
      <c r="AP31" t="s">
        <v>230</v>
      </c>
      <c r="AQ31" t="s">
        <v>74</v>
      </c>
      <c r="AR31" t="s">
        <v>217</v>
      </c>
      <c r="AS31" t="s">
        <v>231</v>
      </c>
      <c r="AT31" t="s">
        <v>700</v>
      </c>
      <c r="AU31">
        <v>2018</v>
      </c>
      <c r="AV31">
        <v>12</v>
      </c>
      <c r="AW31">
        <v>1</v>
      </c>
      <c r="AX31" t="s">
        <v>74</v>
      </c>
      <c r="AY31" t="s">
        <v>74</v>
      </c>
      <c r="AZ31" t="s">
        <v>74</v>
      </c>
      <c r="BA31" t="s">
        <v>74</v>
      </c>
      <c r="BB31">
        <v>227</v>
      </c>
      <c r="BC31">
        <v>245</v>
      </c>
      <c r="BD31" t="s">
        <v>74</v>
      </c>
      <c r="BE31" t="s">
        <v>735</v>
      </c>
      <c r="BF31" t="str">
        <f>HYPERLINK("http://dx.doi.org/10.5194/tc-12-227-2018","http://dx.doi.org/10.5194/tc-12-227-2018")</f>
        <v>http://dx.doi.org/10.5194/tc-12-227-2018</v>
      </c>
      <c r="BG31" t="s">
        <v>74</v>
      </c>
      <c r="BH31" t="s">
        <v>74</v>
      </c>
      <c r="BI31">
        <v>19</v>
      </c>
      <c r="BJ31" t="s">
        <v>233</v>
      </c>
      <c r="BK31" t="s">
        <v>101</v>
      </c>
      <c r="BL31" t="s">
        <v>234</v>
      </c>
      <c r="BM31" t="s">
        <v>736</v>
      </c>
      <c r="BN31" t="s">
        <v>74</v>
      </c>
      <c r="BO31" t="s">
        <v>212</v>
      </c>
      <c r="BP31" t="s">
        <v>74</v>
      </c>
      <c r="BQ31" t="s">
        <v>74</v>
      </c>
      <c r="BR31" t="s">
        <v>105</v>
      </c>
      <c r="BS31" t="s">
        <v>737</v>
      </c>
      <c r="BT31" t="str">
        <f>HYPERLINK("https%3A%2F%2Fwww.webofscience.com%2Fwos%2Fwoscc%2Ffull-record%2FWOS:000423119800001","View Full Record in Web of Science")</f>
        <v>View Full Record in Web of Science</v>
      </c>
    </row>
    <row r="32" spans="1:72" x14ac:dyDescent="0.15">
      <c r="A32" t="s">
        <v>72</v>
      </c>
      <c r="B32" t="s">
        <v>738</v>
      </c>
      <c r="C32" t="s">
        <v>74</v>
      </c>
      <c r="D32" t="s">
        <v>74</v>
      </c>
      <c r="E32" t="s">
        <v>74</v>
      </c>
      <c r="F32" t="s">
        <v>739</v>
      </c>
      <c r="G32" t="s">
        <v>74</v>
      </c>
      <c r="H32" t="s">
        <v>74</v>
      </c>
      <c r="I32" t="s">
        <v>740</v>
      </c>
      <c r="J32" t="s">
        <v>741</v>
      </c>
      <c r="K32" t="s">
        <v>74</v>
      </c>
      <c r="L32" t="s">
        <v>74</v>
      </c>
      <c r="M32" t="s">
        <v>78</v>
      </c>
      <c r="N32" t="s">
        <v>79</v>
      </c>
      <c r="O32" t="s">
        <v>74</v>
      </c>
      <c r="P32" t="s">
        <v>74</v>
      </c>
      <c r="Q32" t="s">
        <v>74</v>
      </c>
      <c r="R32" t="s">
        <v>74</v>
      </c>
      <c r="S32" t="s">
        <v>74</v>
      </c>
      <c r="T32" t="s">
        <v>742</v>
      </c>
      <c r="U32" t="s">
        <v>743</v>
      </c>
      <c r="V32" t="s">
        <v>744</v>
      </c>
      <c r="W32" t="s">
        <v>745</v>
      </c>
      <c r="X32" t="s">
        <v>746</v>
      </c>
      <c r="Y32" t="s">
        <v>747</v>
      </c>
      <c r="Z32" t="s">
        <v>748</v>
      </c>
      <c r="AA32" t="s">
        <v>749</v>
      </c>
      <c r="AB32" t="s">
        <v>750</v>
      </c>
      <c r="AC32" t="s">
        <v>751</v>
      </c>
      <c r="AD32" t="s">
        <v>752</v>
      </c>
      <c r="AE32" t="s">
        <v>753</v>
      </c>
      <c r="AF32" t="s">
        <v>74</v>
      </c>
      <c r="AG32">
        <v>51</v>
      </c>
      <c r="AH32">
        <v>86</v>
      </c>
      <c r="AI32">
        <v>93</v>
      </c>
      <c r="AJ32">
        <v>3</v>
      </c>
      <c r="AK32">
        <v>56</v>
      </c>
      <c r="AL32" t="s">
        <v>754</v>
      </c>
      <c r="AM32" t="s">
        <v>92</v>
      </c>
      <c r="AN32" t="s">
        <v>755</v>
      </c>
      <c r="AO32" t="s">
        <v>756</v>
      </c>
      <c r="AP32" t="s">
        <v>74</v>
      </c>
      <c r="AQ32" t="s">
        <v>74</v>
      </c>
      <c r="AR32" t="s">
        <v>757</v>
      </c>
      <c r="AS32" t="s">
        <v>758</v>
      </c>
      <c r="AT32" t="s">
        <v>700</v>
      </c>
      <c r="AU32">
        <v>2018</v>
      </c>
      <c r="AV32">
        <v>5</v>
      </c>
      <c r="AW32" t="s">
        <v>74</v>
      </c>
      <c r="AX32" t="s">
        <v>74</v>
      </c>
      <c r="AY32" t="s">
        <v>74</v>
      </c>
      <c r="AZ32" t="s">
        <v>74</v>
      </c>
      <c r="BA32" t="s">
        <v>74</v>
      </c>
      <c r="BB32" t="s">
        <v>74</v>
      </c>
      <c r="BC32" t="s">
        <v>74</v>
      </c>
      <c r="BD32">
        <v>5</v>
      </c>
      <c r="BE32" t="s">
        <v>759</v>
      </c>
      <c r="BF32" t="str">
        <f>HYPERLINK("http://dx.doi.org/10.1186/s40645-018-0165-x","http://dx.doi.org/10.1186/s40645-018-0165-x")</f>
        <v>http://dx.doi.org/10.1186/s40645-018-0165-x</v>
      </c>
      <c r="BG32" t="s">
        <v>74</v>
      </c>
      <c r="BH32" t="s">
        <v>74</v>
      </c>
      <c r="BI32">
        <v>18</v>
      </c>
      <c r="BJ32" t="s">
        <v>280</v>
      </c>
      <c r="BK32" t="s">
        <v>101</v>
      </c>
      <c r="BL32" t="s">
        <v>281</v>
      </c>
      <c r="BM32" t="s">
        <v>760</v>
      </c>
      <c r="BN32" t="s">
        <v>74</v>
      </c>
      <c r="BO32" t="s">
        <v>494</v>
      </c>
      <c r="BP32" t="s">
        <v>74</v>
      </c>
      <c r="BQ32" t="s">
        <v>74</v>
      </c>
      <c r="BR32" t="s">
        <v>105</v>
      </c>
      <c r="BS32" t="s">
        <v>761</v>
      </c>
      <c r="BT32" t="str">
        <f>HYPERLINK("https%3A%2F%2Fwww.webofscience.com%2Fwos%2Fwoscc%2Ffull-record%2FWOS:000423226400001","View Full Record in Web of Science")</f>
        <v>View Full Record in Web of Science</v>
      </c>
    </row>
    <row r="33" spans="1:72" x14ac:dyDescent="0.15">
      <c r="A33" t="s">
        <v>72</v>
      </c>
      <c r="B33" t="s">
        <v>762</v>
      </c>
      <c r="C33" t="s">
        <v>74</v>
      </c>
      <c r="D33" t="s">
        <v>74</v>
      </c>
      <c r="E33" t="s">
        <v>74</v>
      </c>
      <c r="F33" t="s">
        <v>763</v>
      </c>
      <c r="G33" t="s">
        <v>74</v>
      </c>
      <c r="H33" t="s">
        <v>74</v>
      </c>
      <c r="I33" t="s">
        <v>764</v>
      </c>
      <c r="J33" t="s">
        <v>765</v>
      </c>
      <c r="K33" t="s">
        <v>74</v>
      </c>
      <c r="L33" t="s">
        <v>74</v>
      </c>
      <c r="M33" t="s">
        <v>78</v>
      </c>
      <c r="N33" t="s">
        <v>79</v>
      </c>
      <c r="O33" t="s">
        <v>74</v>
      </c>
      <c r="P33" t="s">
        <v>74</v>
      </c>
      <c r="Q33" t="s">
        <v>74</v>
      </c>
      <c r="R33" t="s">
        <v>74</v>
      </c>
      <c r="S33" t="s">
        <v>74</v>
      </c>
      <c r="T33" t="s">
        <v>766</v>
      </c>
      <c r="U33" t="s">
        <v>767</v>
      </c>
      <c r="V33" t="s">
        <v>768</v>
      </c>
      <c r="W33" t="s">
        <v>769</v>
      </c>
      <c r="X33" t="s">
        <v>770</v>
      </c>
      <c r="Y33" t="s">
        <v>771</v>
      </c>
      <c r="Z33" t="s">
        <v>772</v>
      </c>
      <c r="AA33" t="s">
        <v>773</v>
      </c>
      <c r="AB33" t="s">
        <v>774</v>
      </c>
      <c r="AC33" t="s">
        <v>775</v>
      </c>
      <c r="AD33" t="s">
        <v>776</v>
      </c>
      <c r="AE33" t="s">
        <v>777</v>
      </c>
      <c r="AF33" t="s">
        <v>74</v>
      </c>
      <c r="AG33">
        <v>60</v>
      </c>
      <c r="AH33">
        <v>10</v>
      </c>
      <c r="AI33">
        <v>10</v>
      </c>
      <c r="AJ33">
        <v>0</v>
      </c>
      <c r="AK33">
        <v>5</v>
      </c>
      <c r="AL33" t="s">
        <v>778</v>
      </c>
      <c r="AM33" t="s">
        <v>779</v>
      </c>
      <c r="AN33" t="s">
        <v>780</v>
      </c>
      <c r="AO33" t="s">
        <v>781</v>
      </c>
      <c r="AP33" t="s">
        <v>782</v>
      </c>
      <c r="AQ33" t="s">
        <v>74</v>
      </c>
      <c r="AR33" t="s">
        <v>783</v>
      </c>
      <c r="AS33" t="s">
        <v>784</v>
      </c>
      <c r="AT33" t="s">
        <v>785</v>
      </c>
      <c r="AU33">
        <v>2018</v>
      </c>
      <c r="AV33">
        <v>853</v>
      </c>
      <c r="AW33">
        <v>1</v>
      </c>
      <c r="AX33" t="s">
        <v>74</v>
      </c>
      <c r="AY33" t="s">
        <v>74</v>
      </c>
      <c r="AZ33" t="s">
        <v>74</v>
      </c>
      <c r="BA33" t="s">
        <v>74</v>
      </c>
      <c r="BB33" t="s">
        <v>74</v>
      </c>
      <c r="BC33" t="s">
        <v>74</v>
      </c>
      <c r="BD33">
        <v>38</v>
      </c>
      <c r="BE33" t="s">
        <v>786</v>
      </c>
      <c r="BF33" t="str">
        <f>HYPERLINK("http://dx.doi.org/10.3847/1538-4357/aaa5f7","http://dx.doi.org/10.3847/1538-4357/aaa5f7")</f>
        <v>http://dx.doi.org/10.3847/1538-4357/aaa5f7</v>
      </c>
      <c r="BG33" t="s">
        <v>74</v>
      </c>
      <c r="BH33" t="s">
        <v>74</v>
      </c>
      <c r="BI33">
        <v>22</v>
      </c>
      <c r="BJ33" t="s">
        <v>787</v>
      </c>
      <c r="BK33" t="s">
        <v>101</v>
      </c>
      <c r="BL33" t="s">
        <v>787</v>
      </c>
      <c r="BM33" t="s">
        <v>788</v>
      </c>
      <c r="BN33" t="s">
        <v>74</v>
      </c>
      <c r="BO33" t="s">
        <v>789</v>
      </c>
      <c r="BP33" t="s">
        <v>74</v>
      </c>
      <c r="BQ33" t="s">
        <v>74</v>
      </c>
      <c r="BR33" t="s">
        <v>105</v>
      </c>
      <c r="BS33" t="s">
        <v>790</v>
      </c>
      <c r="BT33" t="str">
        <f>HYPERLINK("https%3A%2F%2Fwww.webofscience.com%2Fwos%2Fwoscc%2Ffull-record%2FWOS:000423209300002","View Full Record in Web of Science")</f>
        <v>View Full Record in Web of Science</v>
      </c>
    </row>
    <row r="34" spans="1:72" x14ac:dyDescent="0.15">
      <c r="A34" t="s">
        <v>72</v>
      </c>
      <c r="B34" t="s">
        <v>791</v>
      </c>
      <c r="C34" t="s">
        <v>74</v>
      </c>
      <c r="D34" t="s">
        <v>74</v>
      </c>
      <c r="E34" t="s">
        <v>74</v>
      </c>
      <c r="F34" t="s">
        <v>792</v>
      </c>
      <c r="G34" t="s">
        <v>74</v>
      </c>
      <c r="H34" t="s">
        <v>74</v>
      </c>
      <c r="I34" t="s">
        <v>793</v>
      </c>
      <c r="J34" t="s">
        <v>794</v>
      </c>
      <c r="K34" t="s">
        <v>74</v>
      </c>
      <c r="L34" t="s">
        <v>74</v>
      </c>
      <c r="M34" t="s">
        <v>78</v>
      </c>
      <c r="N34" t="s">
        <v>79</v>
      </c>
      <c r="O34" t="s">
        <v>74</v>
      </c>
      <c r="P34" t="s">
        <v>74</v>
      </c>
      <c r="Q34" t="s">
        <v>74</v>
      </c>
      <c r="R34" t="s">
        <v>74</v>
      </c>
      <c r="S34" t="s">
        <v>74</v>
      </c>
      <c r="T34" t="s">
        <v>795</v>
      </c>
      <c r="U34" t="s">
        <v>796</v>
      </c>
      <c r="V34" t="s">
        <v>797</v>
      </c>
      <c r="W34" t="s">
        <v>798</v>
      </c>
      <c r="X34" t="s">
        <v>799</v>
      </c>
      <c r="Y34" t="s">
        <v>800</v>
      </c>
      <c r="Z34" t="s">
        <v>801</v>
      </c>
      <c r="AA34" t="s">
        <v>802</v>
      </c>
      <c r="AB34" t="s">
        <v>803</v>
      </c>
      <c r="AC34" t="s">
        <v>804</v>
      </c>
      <c r="AD34" t="s">
        <v>805</v>
      </c>
      <c r="AE34" t="s">
        <v>806</v>
      </c>
      <c r="AF34" t="s">
        <v>74</v>
      </c>
      <c r="AG34">
        <v>22</v>
      </c>
      <c r="AH34">
        <v>11</v>
      </c>
      <c r="AI34">
        <v>11</v>
      </c>
      <c r="AJ34">
        <v>0</v>
      </c>
      <c r="AK34">
        <v>20</v>
      </c>
      <c r="AL34" t="s">
        <v>807</v>
      </c>
      <c r="AM34" t="s">
        <v>808</v>
      </c>
      <c r="AN34" t="s">
        <v>809</v>
      </c>
      <c r="AO34" t="s">
        <v>810</v>
      </c>
      <c r="AP34" t="s">
        <v>811</v>
      </c>
      <c r="AQ34" t="s">
        <v>74</v>
      </c>
      <c r="AR34" t="s">
        <v>812</v>
      </c>
      <c r="AS34" t="s">
        <v>813</v>
      </c>
      <c r="AT34" t="s">
        <v>785</v>
      </c>
      <c r="AU34">
        <v>2018</v>
      </c>
      <c r="AV34">
        <v>266</v>
      </c>
      <c r="AW34" t="s">
        <v>74</v>
      </c>
      <c r="AX34" t="s">
        <v>74</v>
      </c>
      <c r="AY34" t="s">
        <v>74</v>
      </c>
      <c r="AZ34" t="s">
        <v>74</v>
      </c>
      <c r="BA34" t="s">
        <v>74</v>
      </c>
      <c r="BB34">
        <v>9</v>
      </c>
      <c r="BC34">
        <v>13</v>
      </c>
      <c r="BD34" t="s">
        <v>74</v>
      </c>
      <c r="BE34" t="s">
        <v>814</v>
      </c>
      <c r="BF34" t="str">
        <f>HYPERLINK("http://dx.doi.org/10.1016/j.jbiotec.2017.11.012","http://dx.doi.org/10.1016/j.jbiotec.2017.11.012")</f>
        <v>http://dx.doi.org/10.1016/j.jbiotec.2017.11.012</v>
      </c>
      <c r="BG34" t="s">
        <v>74</v>
      </c>
      <c r="BH34" t="s">
        <v>74</v>
      </c>
      <c r="BI34">
        <v>5</v>
      </c>
      <c r="BJ34" t="s">
        <v>815</v>
      </c>
      <c r="BK34" t="s">
        <v>101</v>
      </c>
      <c r="BL34" t="s">
        <v>815</v>
      </c>
      <c r="BM34" t="s">
        <v>816</v>
      </c>
      <c r="BN34">
        <v>29199128</v>
      </c>
      <c r="BO34" t="s">
        <v>74</v>
      </c>
      <c r="BP34" t="s">
        <v>74</v>
      </c>
      <c r="BQ34" t="s">
        <v>74</v>
      </c>
      <c r="BR34" t="s">
        <v>105</v>
      </c>
      <c r="BS34" t="s">
        <v>817</v>
      </c>
      <c r="BT34" t="str">
        <f>HYPERLINK("https%3A%2F%2Fwww.webofscience.com%2Fwos%2Fwoscc%2Ffull-record%2FWOS:000422693300002","View Full Record in Web of Science")</f>
        <v>View Full Record in Web of Science</v>
      </c>
    </row>
    <row r="35" spans="1:72" x14ac:dyDescent="0.15">
      <c r="A35" t="s">
        <v>72</v>
      </c>
      <c r="B35" t="s">
        <v>818</v>
      </c>
      <c r="C35" t="s">
        <v>74</v>
      </c>
      <c r="D35" t="s">
        <v>74</v>
      </c>
      <c r="E35" t="s">
        <v>74</v>
      </c>
      <c r="F35" t="s">
        <v>819</v>
      </c>
      <c r="G35" t="s">
        <v>74</v>
      </c>
      <c r="H35" t="s">
        <v>74</v>
      </c>
      <c r="I35" t="s">
        <v>820</v>
      </c>
      <c r="J35" t="s">
        <v>794</v>
      </c>
      <c r="K35" t="s">
        <v>74</v>
      </c>
      <c r="L35" t="s">
        <v>74</v>
      </c>
      <c r="M35" t="s">
        <v>78</v>
      </c>
      <c r="N35" t="s">
        <v>79</v>
      </c>
      <c r="O35" t="s">
        <v>74</v>
      </c>
      <c r="P35" t="s">
        <v>74</v>
      </c>
      <c r="Q35" t="s">
        <v>74</v>
      </c>
      <c r="R35" t="s">
        <v>74</v>
      </c>
      <c r="S35" t="s">
        <v>74</v>
      </c>
      <c r="T35" t="s">
        <v>821</v>
      </c>
      <c r="U35" t="s">
        <v>822</v>
      </c>
      <c r="V35" t="s">
        <v>823</v>
      </c>
      <c r="W35" t="s">
        <v>824</v>
      </c>
      <c r="X35" t="s">
        <v>799</v>
      </c>
      <c r="Y35" t="s">
        <v>825</v>
      </c>
      <c r="Z35" t="s">
        <v>801</v>
      </c>
      <c r="AA35" t="s">
        <v>826</v>
      </c>
      <c r="AB35" t="s">
        <v>827</v>
      </c>
      <c r="AC35" t="s">
        <v>828</v>
      </c>
      <c r="AD35" t="s">
        <v>829</v>
      </c>
      <c r="AE35" t="s">
        <v>830</v>
      </c>
      <c r="AF35" t="s">
        <v>74</v>
      </c>
      <c r="AG35">
        <v>27</v>
      </c>
      <c r="AH35">
        <v>10</v>
      </c>
      <c r="AI35">
        <v>10</v>
      </c>
      <c r="AJ35">
        <v>0</v>
      </c>
      <c r="AK35">
        <v>24</v>
      </c>
      <c r="AL35" t="s">
        <v>807</v>
      </c>
      <c r="AM35" t="s">
        <v>808</v>
      </c>
      <c r="AN35" t="s">
        <v>809</v>
      </c>
      <c r="AO35" t="s">
        <v>810</v>
      </c>
      <c r="AP35" t="s">
        <v>811</v>
      </c>
      <c r="AQ35" t="s">
        <v>74</v>
      </c>
      <c r="AR35" t="s">
        <v>812</v>
      </c>
      <c r="AS35" t="s">
        <v>813</v>
      </c>
      <c r="AT35" t="s">
        <v>785</v>
      </c>
      <c r="AU35">
        <v>2018</v>
      </c>
      <c r="AV35">
        <v>266</v>
      </c>
      <c r="AW35" t="s">
        <v>74</v>
      </c>
      <c r="AX35" t="s">
        <v>74</v>
      </c>
      <c r="AY35" t="s">
        <v>74</v>
      </c>
      <c r="AZ35" t="s">
        <v>74</v>
      </c>
      <c r="BA35" t="s">
        <v>74</v>
      </c>
      <c r="BB35">
        <v>72</v>
      </c>
      <c r="BC35">
        <v>76</v>
      </c>
      <c r="BD35" t="s">
        <v>74</v>
      </c>
      <c r="BE35" t="s">
        <v>831</v>
      </c>
      <c r="BF35" t="str">
        <f>HYPERLINK("http://dx.doi.org/10.1016/j.jbiotec.2017.12.005","http://dx.doi.org/10.1016/j.jbiotec.2017.12.005")</f>
        <v>http://dx.doi.org/10.1016/j.jbiotec.2017.12.005</v>
      </c>
      <c r="BG35" t="s">
        <v>74</v>
      </c>
      <c r="BH35" t="s">
        <v>74</v>
      </c>
      <c r="BI35">
        <v>5</v>
      </c>
      <c r="BJ35" t="s">
        <v>815</v>
      </c>
      <c r="BK35" t="s">
        <v>101</v>
      </c>
      <c r="BL35" t="s">
        <v>815</v>
      </c>
      <c r="BM35" t="s">
        <v>816</v>
      </c>
      <c r="BN35">
        <v>29237561</v>
      </c>
      <c r="BO35" t="s">
        <v>74</v>
      </c>
      <c r="BP35" t="s">
        <v>74</v>
      </c>
      <c r="BQ35" t="s">
        <v>74</v>
      </c>
      <c r="BR35" t="s">
        <v>105</v>
      </c>
      <c r="BS35" t="s">
        <v>832</v>
      </c>
      <c r="BT35" t="str">
        <f>HYPERLINK("https%3A%2F%2Fwww.webofscience.com%2Fwos%2Fwoscc%2Ffull-record%2FWOS:000422693300010","View Full Record in Web of Science")</f>
        <v>View Full Record in Web of Science</v>
      </c>
    </row>
    <row r="36" spans="1:72" x14ac:dyDescent="0.15">
      <c r="A36" t="s">
        <v>72</v>
      </c>
      <c r="B36" t="s">
        <v>833</v>
      </c>
      <c r="C36" t="s">
        <v>74</v>
      </c>
      <c r="D36" t="s">
        <v>74</v>
      </c>
      <c r="E36" t="s">
        <v>74</v>
      </c>
      <c r="F36" t="s">
        <v>834</v>
      </c>
      <c r="G36" t="s">
        <v>74</v>
      </c>
      <c r="H36" t="s">
        <v>835</v>
      </c>
      <c r="I36" t="s">
        <v>836</v>
      </c>
      <c r="J36" t="s">
        <v>837</v>
      </c>
      <c r="K36" t="s">
        <v>74</v>
      </c>
      <c r="L36" t="s">
        <v>74</v>
      </c>
      <c r="M36" t="s">
        <v>78</v>
      </c>
      <c r="N36" t="s">
        <v>79</v>
      </c>
      <c r="O36" t="s">
        <v>74</v>
      </c>
      <c r="P36" t="s">
        <v>74</v>
      </c>
      <c r="Q36" t="s">
        <v>74</v>
      </c>
      <c r="R36" t="s">
        <v>74</v>
      </c>
      <c r="S36" t="s">
        <v>74</v>
      </c>
      <c r="T36" t="s">
        <v>838</v>
      </c>
      <c r="U36" t="s">
        <v>839</v>
      </c>
      <c r="V36" t="s">
        <v>840</v>
      </c>
      <c r="W36" t="s">
        <v>841</v>
      </c>
      <c r="X36" t="s">
        <v>842</v>
      </c>
      <c r="Y36" t="s">
        <v>843</v>
      </c>
      <c r="Z36" t="s">
        <v>844</v>
      </c>
      <c r="AA36" t="s">
        <v>845</v>
      </c>
      <c r="AB36" t="s">
        <v>846</v>
      </c>
      <c r="AC36" t="s">
        <v>847</v>
      </c>
      <c r="AD36" t="s">
        <v>848</v>
      </c>
      <c r="AE36" t="s">
        <v>849</v>
      </c>
      <c r="AF36" t="s">
        <v>74</v>
      </c>
      <c r="AG36">
        <v>27</v>
      </c>
      <c r="AH36">
        <v>52</v>
      </c>
      <c r="AI36">
        <v>55</v>
      </c>
      <c r="AJ36">
        <v>4</v>
      </c>
      <c r="AK36">
        <v>30</v>
      </c>
      <c r="AL36" t="s">
        <v>778</v>
      </c>
      <c r="AM36" t="s">
        <v>779</v>
      </c>
      <c r="AN36" t="s">
        <v>780</v>
      </c>
      <c r="AO36" t="s">
        <v>850</v>
      </c>
      <c r="AP36" t="s">
        <v>851</v>
      </c>
      <c r="AQ36" t="s">
        <v>74</v>
      </c>
      <c r="AR36" t="s">
        <v>852</v>
      </c>
      <c r="AS36" t="s">
        <v>853</v>
      </c>
      <c r="AT36" t="s">
        <v>785</v>
      </c>
      <c r="AU36">
        <v>2018</v>
      </c>
      <c r="AV36">
        <v>853</v>
      </c>
      <c r="AW36">
        <v>1</v>
      </c>
      <c r="AX36" t="s">
        <v>74</v>
      </c>
      <c r="AY36" t="s">
        <v>74</v>
      </c>
      <c r="AZ36" t="s">
        <v>74</v>
      </c>
      <c r="BA36" t="s">
        <v>74</v>
      </c>
      <c r="BB36" t="s">
        <v>74</v>
      </c>
      <c r="BC36" t="s">
        <v>74</v>
      </c>
      <c r="BD36" t="s">
        <v>854</v>
      </c>
      <c r="BE36" t="s">
        <v>855</v>
      </c>
      <c r="BF36" t="str">
        <f>HYPERLINK("http://dx.doi.org/10.3847/2041-8213/aaa4f6","http://dx.doi.org/10.3847/2041-8213/aaa4f6")</f>
        <v>http://dx.doi.org/10.3847/2041-8213/aaa4f6</v>
      </c>
      <c r="BG36" t="s">
        <v>74</v>
      </c>
      <c r="BH36" t="s">
        <v>74</v>
      </c>
      <c r="BI36">
        <v>5</v>
      </c>
      <c r="BJ36" t="s">
        <v>787</v>
      </c>
      <c r="BK36" t="s">
        <v>101</v>
      </c>
      <c r="BL36" t="s">
        <v>787</v>
      </c>
      <c r="BM36" t="s">
        <v>856</v>
      </c>
      <c r="BN36" t="s">
        <v>74</v>
      </c>
      <c r="BO36" t="s">
        <v>857</v>
      </c>
      <c r="BP36" t="s">
        <v>74</v>
      </c>
      <c r="BQ36" t="s">
        <v>74</v>
      </c>
      <c r="BR36" t="s">
        <v>105</v>
      </c>
      <c r="BS36" t="s">
        <v>858</v>
      </c>
      <c r="BT36" t="str">
        <f>HYPERLINK("https%3A%2F%2Fwww.webofscience.com%2Fwos%2Fwoscc%2Ffull-record%2FWOS:000423182700004","View Full Record in Web of Science")</f>
        <v>View Full Record in Web of Science</v>
      </c>
    </row>
    <row r="37" spans="1:72" x14ac:dyDescent="0.15">
      <c r="A37" t="s">
        <v>72</v>
      </c>
      <c r="B37" t="s">
        <v>859</v>
      </c>
      <c r="C37" t="s">
        <v>74</v>
      </c>
      <c r="D37" t="s">
        <v>74</v>
      </c>
      <c r="E37" t="s">
        <v>74</v>
      </c>
      <c r="F37" t="s">
        <v>860</v>
      </c>
      <c r="G37" t="s">
        <v>74</v>
      </c>
      <c r="H37" t="s">
        <v>74</v>
      </c>
      <c r="I37" t="s">
        <v>861</v>
      </c>
      <c r="J37" t="s">
        <v>165</v>
      </c>
      <c r="K37" t="s">
        <v>74</v>
      </c>
      <c r="L37" t="s">
        <v>74</v>
      </c>
      <c r="M37" t="s">
        <v>78</v>
      </c>
      <c r="N37" t="s">
        <v>79</v>
      </c>
      <c r="O37" t="s">
        <v>74</v>
      </c>
      <c r="P37" t="s">
        <v>74</v>
      </c>
      <c r="Q37" t="s">
        <v>74</v>
      </c>
      <c r="R37" t="s">
        <v>74</v>
      </c>
      <c r="S37" t="s">
        <v>74</v>
      </c>
      <c r="T37" t="s">
        <v>74</v>
      </c>
      <c r="U37" t="s">
        <v>862</v>
      </c>
      <c r="V37" t="s">
        <v>863</v>
      </c>
      <c r="W37" t="s">
        <v>864</v>
      </c>
      <c r="X37" t="s">
        <v>865</v>
      </c>
      <c r="Y37" t="s">
        <v>866</v>
      </c>
      <c r="Z37" t="s">
        <v>867</v>
      </c>
      <c r="AA37" t="s">
        <v>868</v>
      </c>
      <c r="AB37" t="s">
        <v>869</v>
      </c>
      <c r="AC37" t="s">
        <v>870</v>
      </c>
      <c r="AD37" t="s">
        <v>871</v>
      </c>
      <c r="AE37" t="s">
        <v>872</v>
      </c>
      <c r="AF37" t="s">
        <v>74</v>
      </c>
      <c r="AG37">
        <v>65</v>
      </c>
      <c r="AH37">
        <v>30</v>
      </c>
      <c r="AI37">
        <v>35</v>
      </c>
      <c r="AJ37">
        <v>2</v>
      </c>
      <c r="AK37">
        <v>27</v>
      </c>
      <c r="AL37" t="s">
        <v>149</v>
      </c>
      <c r="AM37" t="s">
        <v>150</v>
      </c>
      <c r="AN37" t="s">
        <v>151</v>
      </c>
      <c r="AO37" t="s">
        <v>177</v>
      </c>
      <c r="AP37" t="s">
        <v>178</v>
      </c>
      <c r="AQ37" t="s">
        <v>74</v>
      </c>
      <c r="AR37" t="s">
        <v>179</v>
      </c>
      <c r="AS37" t="s">
        <v>180</v>
      </c>
      <c r="AT37" t="s">
        <v>873</v>
      </c>
      <c r="AU37">
        <v>2018</v>
      </c>
      <c r="AV37">
        <v>18</v>
      </c>
      <c r="AW37">
        <v>2</v>
      </c>
      <c r="AX37" t="s">
        <v>74</v>
      </c>
      <c r="AY37" t="s">
        <v>74</v>
      </c>
      <c r="AZ37" t="s">
        <v>74</v>
      </c>
      <c r="BA37" t="s">
        <v>74</v>
      </c>
      <c r="BB37">
        <v>621</v>
      </c>
      <c r="BC37">
        <v>634</v>
      </c>
      <c r="BD37" t="s">
        <v>74</v>
      </c>
      <c r="BE37" t="s">
        <v>874</v>
      </c>
      <c r="BF37" t="str">
        <f>HYPERLINK("http://dx.doi.org/10.5194/acp-18-621-2018","http://dx.doi.org/10.5194/acp-18-621-2018")</f>
        <v>http://dx.doi.org/10.5194/acp-18-621-2018</v>
      </c>
      <c r="BG37" t="s">
        <v>74</v>
      </c>
      <c r="BH37" t="s">
        <v>74</v>
      </c>
      <c r="BI37">
        <v>14</v>
      </c>
      <c r="BJ37" t="s">
        <v>183</v>
      </c>
      <c r="BK37" t="s">
        <v>101</v>
      </c>
      <c r="BL37" t="s">
        <v>184</v>
      </c>
      <c r="BM37" t="s">
        <v>875</v>
      </c>
      <c r="BN37" t="s">
        <v>74</v>
      </c>
      <c r="BO37" t="s">
        <v>876</v>
      </c>
      <c r="BP37" t="s">
        <v>74</v>
      </c>
      <c r="BQ37" t="s">
        <v>74</v>
      </c>
      <c r="BR37" t="s">
        <v>105</v>
      </c>
      <c r="BS37" t="s">
        <v>877</v>
      </c>
      <c r="BT37" t="str">
        <f>HYPERLINK("https%3A%2F%2Fwww.webofscience.com%2Fwos%2Fwoscc%2Ffull-record%2FWOS:000423020400001","View Full Record in Web of Science")</f>
        <v>View Full Record in Web of Science</v>
      </c>
    </row>
    <row r="38" spans="1:72" x14ac:dyDescent="0.15">
      <c r="A38" t="s">
        <v>72</v>
      </c>
      <c r="B38" t="s">
        <v>878</v>
      </c>
      <c r="C38" t="s">
        <v>74</v>
      </c>
      <c r="D38" t="s">
        <v>74</v>
      </c>
      <c r="E38" t="s">
        <v>74</v>
      </c>
      <c r="F38" t="s">
        <v>879</v>
      </c>
      <c r="G38" t="s">
        <v>74</v>
      </c>
      <c r="H38" t="s">
        <v>74</v>
      </c>
      <c r="I38" t="s">
        <v>880</v>
      </c>
      <c r="J38" t="s">
        <v>661</v>
      </c>
      <c r="K38" t="s">
        <v>74</v>
      </c>
      <c r="L38" t="s">
        <v>74</v>
      </c>
      <c r="M38" t="s">
        <v>78</v>
      </c>
      <c r="N38" t="s">
        <v>79</v>
      </c>
      <c r="O38" t="s">
        <v>74</v>
      </c>
      <c r="P38" t="s">
        <v>74</v>
      </c>
      <c r="Q38" t="s">
        <v>74</v>
      </c>
      <c r="R38" t="s">
        <v>74</v>
      </c>
      <c r="S38" t="s">
        <v>74</v>
      </c>
      <c r="T38" t="s">
        <v>74</v>
      </c>
      <c r="U38" t="s">
        <v>881</v>
      </c>
      <c r="V38" t="s">
        <v>882</v>
      </c>
      <c r="W38" t="s">
        <v>883</v>
      </c>
      <c r="X38" t="s">
        <v>884</v>
      </c>
      <c r="Y38" t="s">
        <v>885</v>
      </c>
      <c r="Z38" t="s">
        <v>886</v>
      </c>
      <c r="AA38" t="s">
        <v>887</v>
      </c>
      <c r="AB38" t="s">
        <v>888</v>
      </c>
      <c r="AC38" t="s">
        <v>889</v>
      </c>
      <c r="AD38" t="s">
        <v>890</v>
      </c>
      <c r="AE38" t="s">
        <v>891</v>
      </c>
      <c r="AF38" t="s">
        <v>74</v>
      </c>
      <c r="AG38">
        <v>70</v>
      </c>
      <c r="AH38">
        <v>31</v>
      </c>
      <c r="AI38">
        <v>33</v>
      </c>
      <c r="AJ38">
        <v>0</v>
      </c>
      <c r="AK38">
        <v>22</v>
      </c>
      <c r="AL38" t="s">
        <v>892</v>
      </c>
      <c r="AM38" t="s">
        <v>698</v>
      </c>
      <c r="AN38" t="s">
        <v>699</v>
      </c>
      <c r="AO38" t="s">
        <v>74</v>
      </c>
      <c r="AP38" t="s">
        <v>675</v>
      </c>
      <c r="AQ38" t="s">
        <v>74</v>
      </c>
      <c r="AR38" t="s">
        <v>676</v>
      </c>
      <c r="AS38" t="s">
        <v>677</v>
      </c>
      <c r="AT38" t="s">
        <v>893</v>
      </c>
      <c r="AU38">
        <v>2018</v>
      </c>
      <c r="AV38">
        <v>9</v>
      </c>
      <c r="AW38" t="s">
        <v>74</v>
      </c>
      <c r="AX38" t="s">
        <v>74</v>
      </c>
      <c r="AY38" t="s">
        <v>74</v>
      </c>
      <c r="AZ38" t="s">
        <v>74</v>
      </c>
      <c r="BA38" t="s">
        <v>74</v>
      </c>
      <c r="BB38" t="s">
        <v>74</v>
      </c>
      <c r="BC38" t="s">
        <v>74</v>
      </c>
      <c r="BD38">
        <v>285</v>
      </c>
      <c r="BE38" t="s">
        <v>894</v>
      </c>
      <c r="BF38" t="str">
        <f>HYPERLINK("http://dx.doi.org/10.1038/s41467-017-02695-7","http://dx.doi.org/10.1038/s41467-017-02695-7")</f>
        <v>http://dx.doi.org/10.1038/s41467-017-02695-7</v>
      </c>
      <c r="BG38" t="s">
        <v>74</v>
      </c>
      <c r="BH38" t="s">
        <v>74</v>
      </c>
      <c r="BI38">
        <v>12</v>
      </c>
      <c r="BJ38" t="s">
        <v>129</v>
      </c>
      <c r="BK38" t="s">
        <v>101</v>
      </c>
      <c r="BL38" t="s">
        <v>130</v>
      </c>
      <c r="BM38" t="s">
        <v>895</v>
      </c>
      <c r="BN38">
        <v>29348403</v>
      </c>
      <c r="BO38" t="s">
        <v>896</v>
      </c>
      <c r="BP38" t="s">
        <v>74</v>
      </c>
      <c r="BQ38" t="s">
        <v>74</v>
      </c>
      <c r="BR38" t="s">
        <v>105</v>
      </c>
      <c r="BS38" t="s">
        <v>897</v>
      </c>
      <c r="BT38" t="str">
        <f>HYPERLINK("https%3A%2F%2Fwww.webofscience.com%2Fwos%2Fwoscc%2Ffull-record%2FWOS:000422745800020","View Full Record in Web of Science")</f>
        <v>View Full Record in Web of Science</v>
      </c>
    </row>
    <row r="39" spans="1:72" x14ac:dyDescent="0.15">
      <c r="A39" t="s">
        <v>72</v>
      </c>
      <c r="B39" t="s">
        <v>898</v>
      </c>
      <c r="C39" t="s">
        <v>74</v>
      </c>
      <c r="D39" t="s">
        <v>74</v>
      </c>
      <c r="E39" t="s">
        <v>74</v>
      </c>
      <c r="F39" t="s">
        <v>899</v>
      </c>
      <c r="G39" t="s">
        <v>74</v>
      </c>
      <c r="H39" t="s">
        <v>74</v>
      </c>
      <c r="I39" t="s">
        <v>900</v>
      </c>
      <c r="J39" t="s">
        <v>901</v>
      </c>
      <c r="K39" t="s">
        <v>74</v>
      </c>
      <c r="L39" t="s">
        <v>74</v>
      </c>
      <c r="M39" t="s">
        <v>78</v>
      </c>
      <c r="N39" t="s">
        <v>79</v>
      </c>
      <c r="O39" t="s">
        <v>74</v>
      </c>
      <c r="P39" t="s">
        <v>74</v>
      </c>
      <c r="Q39" t="s">
        <v>74</v>
      </c>
      <c r="R39" t="s">
        <v>74</v>
      </c>
      <c r="S39" t="s">
        <v>74</v>
      </c>
      <c r="T39" t="s">
        <v>902</v>
      </c>
      <c r="U39" t="s">
        <v>903</v>
      </c>
      <c r="V39" t="s">
        <v>904</v>
      </c>
      <c r="W39" t="s">
        <v>905</v>
      </c>
      <c r="X39" t="s">
        <v>74</v>
      </c>
      <c r="Y39" t="s">
        <v>906</v>
      </c>
      <c r="Z39" t="s">
        <v>907</v>
      </c>
      <c r="AA39" t="s">
        <v>908</v>
      </c>
      <c r="AB39" t="s">
        <v>909</v>
      </c>
      <c r="AC39" t="s">
        <v>910</v>
      </c>
      <c r="AD39" t="s">
        <v>911</v>
      </c>
      <c r="AE39" t="s">
        <v>912</v>
      </c>
      <c r="AF39" t="s">
        <v>74</v>
      </c>
      <c r="AG39">
        <v>60</v>
      </c>
      <c r="AH39">
        <v>30</v>
      </c>
      <c r="AI39">
        <v>32</v>
      </c>
      <c r="AJ39">
        <v>1</v>
      </c>
      <c r="AK39">
        <v>17</v>
      </c>
      <c r="AL39" t="s">
        <v>913</v>
      </c>
      <c r="AM39" t="s">
        <v>92</v>
      </c>
      <c r="AN39" t="s">
        <v>914</v>
      </c>
      <c r="AO39" t="s">
        <v>915</v>
      </c>
      <c r="AP39" t="s">
        <v>74</v>
      </c>
      <c r="AQ39" t="s">
        <v>74</v>
      </c>
      <c r="AR39" t="s">
        <v>901</v>
      </c>
      <c r="AS39" t="s">
        <v>916</v>
      </c>
      <c r="AT39" t="s">
        <v>893</v>
      </c>
      <c r="AU39">
        <v>2018</v>
      </c>
      <c r="AV39">
        <v>6</v>
      </c>
      <c r="AW39" t="s">
        <v>74</v>
      </c>
      <c r="AX39" t="s">
        <v>74</v>
      </c>
      <c r="AY39" t="s">
        <v>74</v>
      </c>
      <c r="AZ39" t="s">
        <v>74</v>
      </c>
      <c r="BA39" t="s">
        <v>74</v>
      </c>
      <c r="BB39" t="s">
        <v>74</v>
      </c>
      <c r="BC39" t="s">
        <v>74</v>
      </c>
      <c r="BD39" t="s">
        <v>917</v>
      </c>
      <c r="BE39" t="s">
        <v>918</v>
      </c>
      <c r="BF39" t="str">
        <f>HYPERLINK("http://dx.doi.org/10.7717/peerj.4289","http://dx.doi.org/10.7717/peerj.4289")</f>
        <v>http://dx.doi.org/10.7717/peerj.4289</v>
      </c>
      <c r="BG39" t="s">
        <v>74</v>
      </c>
      <c r="BH39" t="s">
        <v>74</v>
      </c>
      <c r="BI39">
        <v>16</v>
      </c>
      <c r="BJ39" t="s">
        <v>129</v>
      </c>
      <c r="BK39" t="s">
        <v>101</v>
      </c>
      <c r="BL39" t="s">
        <v>130</v>
      </c>
      <c r="BM39" t="s">
        <v>919</v>
      </c>
      <c r="BN39">
        <v>29372123</v>
      </c>
      <c r="BO39" t="s">
        <v>920</v>
      </c>
      <c r="BP39" t="s">
        <v>74</v>
      </c>
      <c r="BQ39" t="s">
        <v>74</v>
      </c>
      <c r="BR39" t="s">
        <v>105</v>
      </c>
      <c r="BS39" t="s">
        <v>921</v>
      </c>
      <c r="BT39" t="str">
        <f>HYPERLINK("https%3A%2F%2Fwww.webofscience.com%2Fwos%2Fwoscc%2Ffull-record%2FWOS:000423149600001","View Full Record in Web of Science")</f>
        <v>View Full Record in Web of Science</v>
      </c>
    </row>
    <row r="40" spans="1:72" x14ac:dyDescent="0.15">
      <c r="A40" t="s">
        <v>72</v>
      </c>
      <c r="B40" t="s">
        <v>922</v>
      </c>
      <c r="C40" t="s">
        <v>74</v>
      </c>
      <c r="D40" t="s">
        <v>74</v>
      </c>
      <c r="E40" t="s">
        <v>74</v>
      </c>
      <c r="F40" t="s">
        <v>923</v>
      </c>
      <c r="G40" t="s">
        <v>74</v>
      </c>
      <c r="H40" t="s">
        <v>74</v>
      </c>
      <c r="I40" t="s">
        <v>924</v>
      </c>
      <c r="J40" t="s">
        <v>217</v>
      </c>
      <c r="K40" t="s">
        <v>74</v>
      </c>
      <c r="L40" t="s">
        <v>74</v>
      </c>
      <c r="M40" t="s">
        <v>78</v>
      </c>
      <c r="N40" t="s">
        <v>79</v>
      </c>
      <c r="O40" t="s">
        <v>74</v>
      </c>
      <c r="P40" t="s">
        <v>74</v>
      </c>
      <c r="Q40" t="s">
        <v>74</v>
      </c>
      <c r="R40" t="s">
        <v>74</v>
      </c>
      <c r="S40" t="s">
        <v>74</v>
      </c>
      <c r="T40" t="s">
        <v>74</v>
      </c>
      <c r="U40" t="s">
        <v>925</v>
      </c>
      <c r="V40" t="s">
        <v>926</v>
      </c>
      <c r="W40" t="s">
        <v>927</v>
      </c>
      <c r="X40" t="s">
        <v>928</v>
      </c>
      <c r="Y40" t="s">
        <v>929</v>
      </c>
      <c r="Z40" t="s">
        <v>930</v>
      </c>
      <c r="AA40" t="s">
        <v>931</v>
      </c>
      <c r="AB40" t="s">
        <v>932</v>
      </c>
      <c r="AC40" t="s">
        <v>933</v>
      </c>
      <c r="AD40" t="s">
        <v>934</v>
      </c>
      <c r="AE40" t="s">
        <v>935</v>
      </c>
      <c r="AF40" t="s">
        <v>74</v>
      </c>
      <c r="AG40">
        <v>65</v>
      </c>
      <c r="AH40">
        <v>44</v>
      </c>
      <c r="AI40">
        <v>46</v>
      </c>
      <c r="AJ40">
        <v>1</v>
      </c>
      <c r="AK40">
        <v>14</v>
      </c>
      <c r="AL40" t="s">
        <v>149</v>
      </c>
      <c r="AM40" t="s">
        <v>150</v>
      </c>
      <c r="AN40" t="s">
        <v>151</v>
      </c>
      <c r="AO40" t="s">
        <v>229</v>
      </c>
      <c r="AP40" t="s">
        <v>230</v>
      </c>
      <c r="AQ40" t="s">
        <v>74</v>
      </c>
      <c r="AR40" t="s">
        <v>217</v>
      </c>
      <c r="AS40" t="s">
        <v>231</v>
      </c>
      <c r="AT40" t="s">
        <v>936</v>
      </c>
      <c r="AU40">
        <v>2018</v>
      </c>
      <c r="AV40">
        <v>12</v>
      </c>
      <c r="AW40">
        <v>1</v>
      </c>
      <c r="AX40" t="s">
        <v>74</v>
      </c>
      <c r="AY40" t="s">
        <v>74</v>
      </c>
      <c r="AZ40" t="s">
        <v>74</v>
      </c>
      <c r="BA40" t="s">
        <v>74</v>
      </c>
      <c r="BB40">
        <v>169</v>
      </c>
      <c r="BC40">
        <v>187</v>
      </c>
      <c r="BD40" t="s">
        <v>74</v>
      </c>
      <c r="BE40" t="s">
        <v>937</v>
      </c>
      <c r="BF40" t="str">
        <f>HYPERLINK("http://dx.doi.org/10.5194/tc-12-169-2018","http://dx.doi.org/10.5194/tc-12-169-2018")</f>
        <v>http://dx.doi.org/10.5194/tc-12-169-2018</v>
      </c>
      <c r="BG40" t="s">
        <v>74</v>
      </c>
      <c r="BH40" t="s">
        <v>74</v>
      </c>
      <c r="BI40">
        <v>19</v>
      </c>
      <c r="BJ40" t="s">
        <v>233</v>
      </c>
      <c r="BK40" t="s">
        <v>101</v>
      </c>
      <c r="BL40" t="s">
        <v>234</v>
      </c>
      <c r="BM40" t="s">
        <v>938</v>
      </c>
      <c r="BN40" t="s">
        <v>74</v>
      </c>
      <c r="BO40" t="s">
        <v>236</v>
      </c>
      <c r="BP40" t="s">
        <v>74</v>
      </c>
      <c r="BQ40" t="s">
        <v>74</v>
      </c>
      <c r="BR40" t="s">
        <v>105</v>
      </c>
      <c r="BS40" t="s">
        <v>939</v>
      </c>
      <c r="BT40" t="str">
        <f>HYPERLINK("https%3A%2F%2Fwww.webofscience.com%2Fwos%2Fwoscc%2Ffull-record%2FWOS:000422885300001","View Full Record in Web of Science")</f>
        <v>View Full Record in Web of Science</v>
      </c>
    </row>
    <row r="41" spans="1:72" x14ac:dyDescent="0.15">
      <c r="A41" t="s">
        <v>72</v>
      </c>
      <c r="B41" t="s">
        <v>940</v>
      </c>
      <c r="C41" t="s">
        <v>74</v>
      </c>
      <c r="D41" t="s">
        <v>74</v>
      </c>
      <c r="E41" t="s">
        <v>74</v>
      </c>
      <c r="F41" t="s">
        <v>941</v>
      </c>
      <c r="G41" t="s">
        <v>74</v>
      </c>
      <c r="H41" t="s">
        <v>74</v>
      </c>
      <c r="I41" t="s">
        <v>942</v>
      </c>
      <c r="J41" t="s">
        <v>661</v>
      </c>
      <c r="K41" t="s">
        <v>74</v>
      </c>
      <c r="L41" t="s">
        <v>74</v>
      </c>
      <c r="M41" t="s">
        <v>78</v>
      </c>
      <c r="N41" t="s">
        <v>79</v>
      </c>
      <c r="O41" t="s">
        <v>74</v>
      </c>
      <c r="P41" t="s">
        <v>74</v>
      </c>
      <c r="Q41" t="s">
        <v>74</v>
      </c>
      <c r="R41" t="s">
        <v>74</v>
      </c>
      <c r="S41" t="s">
        <v>74</v>
      </c>
      <c r="T41" t="s">
        <v>74</v>
      </c>
      <c r="U41" t="s">
        <v>943</v>
      </c>
      <c r="V41" t="s">
        <v>944</v>
      </c>
      <c r="W41" t="s">
        <v>945</v>
      </c>
      <c r="X41" t="s">
        <v>946</v>
      </c>
      <c r="Y41" t="s">
        <v>947</v>
      </c>
      <c r="Z41" t="s">
        <v>948</v>
      </c>
      <c r="AA41" t="s">
        <v>949</v>
      </c>
      <c r="AB41" t="s">
        <v>950</v>
      </c>
      <c r="AC41" t="s">
        <v>951</v>
      </c>
      <c r="AD41" t="s">
        <v>952</v>
      </c>
      <c r="AE41" t="s">
        <v>953</v>
      </c>
      <c r="AF41" t="s">
        <v>74</v>
      </c>
      <c r="AG41">
        <v>39</v>
      </c>
      <c r="AH41">
        <v>50</v>
      </c>
      <c r="AI41">
        <v>54</v>
      </c>
      <c r="AJ41">
        <v>4</v>
      </c>
      <c r="AK41">
        <v>21</v>
      </c>
      <c r="AL41" t="s">
        <v>673</v>
      </c>
      <c r="AM41" t="s">
        <v>92</v>
      </c>
      <c r="AN41" t="s">
        <v>674</v>
      </c>
      <c r="AO41" t="s">
        <v>675</v>
      </c>
      <c r="AP41" t="s">
        <v>74</v>
      </c>
      <c r="AQ41" t="s">
        <v>74</v>
      </c>
      <c r="AR41" t="s">
        <v>676</v>
      </c>
      <c r="AS41" t="s">
        <v>677</v>
      </c>
      <c r="AT41" t="s">
        <v>936</v>
      </c>
      <c r="AU41">
        <v>2018</v>
      </c>
      <c r="AV41">
        <v>9</v>
      </c>
      <c r="AW41" t="s">
        <v>74</v>
      </c>
      <c r="AX41" t="s">
        <v>74</v>
      </c>
      <c r="AY41" t="s">
        <v>74</v>
      </c>
      <c r="AZ41" t="s">
        <v>74</v>
      </c>
      <c r="BA41" t="s">
        <v>74</v>
      </c>
      <c r="BB41" t="s">
        <v>74</v>
      </c>
      <c r="BC41" t="s">
        <v>74</v>
      </c>
      <c r="BD41">
        <v>264</v>
      </c>
      <c r="BE41" t="s">
        <v>954</v>
      </c>
      <c r="BF41" t="str">
        <f>HYPERLINK("http://dx.doi.org/10.1038/s41467-017-02692-w","http://dx.doi.org/10.1038/s41467-017-02692-w")</f>
        <v>http://dx.doi.org/10.1038/s41467-017-02692-w</v>
      </c>
      <c r="BG41" t="s">
        <v>74</v>
      </c>
      <c r="BH41" t="s">
        <v>74</v>
      </c>
      <c r="BI41">
        <v>7</v>
      </c>
      <c r="BJ41" t="s">
        <v>129</v>
      </c>
      <c r="BK41" t="s">
        <v>101</v>
      </c>
      <c r="BL41" t="s">
        <v>130</v>
      </c>
      <c r="BM41" t="s">
        <v>955</v>
      </c>
      <c r="BN41">
        <v>29343708</v>
      </c>
      <c r="BO41" t="s">
        <v>896</v>
      </c>
      <c r="BP41" t="s">
        <v>74</v>
      </c>
      <c r="BQ41" t="s">
        <v>74</v>
      </c>
      <c r="BR41" t="s">
        <v>105</v>
      </c>
      <c r="BS41" t="s">
        <v>956</v>
      </c>
      <c r="BT41" t="str">
        <f>HYPERLINK("https%3A%2F%2Fwww.webofscience.com%2Fwos%2Fwoscc%2Ffull-record%2FWOS:000422650500015","View Full Record in Web of Science")</f>
        <v>View Full Record in Web of Science</v>
      </c>
    </row>
    <row r="42" spans="1:72" x14ac:dyDescent="0.15">
      <c r="A42" t="s">
        <v>72</v>
      </c>
      <c r="B42" t="s">
        <v>957</v>
      </c>
      <c r="C42" t="s">
        <v>74</v>
      </c>
      <c r="D42" t="s">
        <v>74</v>
      </c>
      <c r="E42" t="s">
        <v>74</v>
      </c>
      <c r="F42" t="s">
        <v>958</v>
      </c>
      <c r="G42" t="s">
        <v>74</v>
      </c>
      <c r="H42" t="s">
        <v>74</v>
      </c>
      <c r="I42" t="s">
        <v>959</v>
      </c>
      <c r="J42" t="s">
        <v>960</v>
      </c>
      <c r="K42" t="s">
        <v>74</v>
      </c>
      <c r="L42" t="s">
        <v>74</v>
      </c>
      <c r="M42" t="s">
        <v>78</v>
      </c>
      <c r="N42" t="s">
        <v>79</v>
      </c>
      <c r="O42" t="s">
        <v>74</v>
      </c>
      <c r="P42" t="s">
        <v>74</v>
      </c>
      <c r="Q42" t="s">
        <v>74</v>
      </c>
      <c r="R42" t="s">
        <v>74</v>
      </c>
      <c r="S42" t="s">
        <v>74</v>
      </c>
      <c r="T42" t="s">
        <v>961</v>
      </c>
      <c r="U42" t="s">
        <v>962</v>
      </c>
      <c r="V42" t="s">
        <v>963</v>
      </c>
      <c r="W42" t="s">
        <v>964</v>
      </c>
      <c r="X42" t="s">
        <v>965</v>
      </c>
      <c r="Y42" t="s">
        <v>966</v>
      </c>
      <c r="Z42" t="s">
        <v>967</v>
      </c>
      <c r="AA42" t="s">
        <v>968</v>
      </c>
      <c r="AB42" t="s">
        <v>969</v>
      </c>
      <c r="AC42" t="s">
        <v>970</v>
      </c>
      <c r="AD42" t="s">
        <v>971</v>
      </c>
      <c r="AE42" t="s">
        <v>972</v>
      </c>
      <c r="AF42" t="s">
        <v>74</v>
      </c>
      <c r="AG42">
        <v>110</v>
      </c>
      <c r="AH42">
        <v>22</v>
      </c>
      <c r="AI42">
        <v>24</v>
      </c>
      <c r="AJ42">
        <v>5</v>
      </c>
      <c r="AK42">
        <v>76</v>
      </c>
      <c r="AL42" t="s">
        <v>578</v>
      </c>
      <c r="AM42" t="s">
        <v>92</v>
      </c>
      <c r="AN42" t="s">
        <v>579</v>
      </c>
      <c r="AO42" t="s">
        <v>973</v>
      </c>
      <c r="AP42" t="s">
        <v>74</v>
      </c>
      <c r="AQ42" t="s">
        <v>74</v>
      </c>
      <c r="AR42" t="s">
        <v>960</v>
      </c>
      <c r="AS42" t="s">
        <v>974</v>
      </c>
      <c r="AT42" t="s">
        <v>975</v>
      </c>
      <c r="AU42">
        <v>2018</v>
      </c>
      <c r="AV42">
        <v>19</v>
      </c>
      <c r="AW42" t="s">
        <v>74</v>
      </c>
      <c r="AX42" t="s">
        <v>74</v>
      </c>
      <c r="AY42" t="s">
        <v>74</v>
      </c>
      <c r="AZ42" t="s">
        <v>74</v>
      </c>
      <c r="BA42" t="s">
        <v>74</v>
      </c>
      <c r="BB42" t="s">
        <v>74</v>
      </c>
      <c r="BC42" t="s">
        <v>74</v>
      </c>
      <c r="BD42">
        <v>53</v>
      </c>
      <c r="BE42" t="s">
        <v>976</v>
      </c>
      <c r="BF42" t="str">
        <f>HYPERLINK("http://dx.doi.org/10.1186/s12864-017-4424-9","http://dx.doi.org/10.1186/s12864-017-4424-9")</f>
        <v>http://dx.doi.org/10.1186/s12864-017-4424-9</v>
      </c>
      <c r="BG42" t="s">
        <v>74</v>
      </c>
      <c r="BH42" t="s">
        <v>74</v>
      </c>
      <c r="BI42">
        <v>17</v>
      </c>
      <c r="BJ42" t="s">
        <v>977</v>
      </c>
      <c r="BK42" t="s">
        <v>101</v>
      </c>
      <c r="BL42" t="s">
        <v>977</v>
      </c>
      <c r="BM42" t="s">
        <v>978</v>
      </c>
      <c r="BN42">
        <v>29338715</v>
      </c>
      <c r="BO42" t="s">
        <v>681</v>
      </c>
      <c r="BP42" t="s">
        <v>74</v>
      </c>
      <c r="BQ42" t="s">
        <v>74</v>
      </c>
      <c r="BR42" t="s">
        <v>105</v>
      </c>
      <c r="BS42" t="s">
        <v>979</v>
      </c>
      <c r="BT42" t="str">
        <f>HYPERLINK("https%3A%2F%2Fwww.webofscience.com%2Fwos%2Fwoscc%2Ffull-record%2FWOS:000422883800003","View Full Record in Web of Science")</f>
        <v>View Full Record in Web of Science</v>
      </c>
    </row>
    <row r="43" spans="1:72" x14ac:dyDescent="0.15">
      <c r="A43" t="s">
        <v>72</v>
      </c>
      <c r="B43" t="s">
        <v>980</v>
      </c>
      <c r="C43" t="s">
        <v>74</v>
      </c>
      <c r="D43" t="s">
        <v>74</v>
      </c>
      <c r="E43" t="s">
        <v>74</v>
      </c>
      <c r="F43" t="s">
        <v>981</v>
      </c>
      <c r="G43" t="s">
        <v>74</v>
      </c>
      <c r="H43" t="s">
        <v>74</v>
      </c>
      <c r="I43" t="s">
        <v>982</v>
      </c>
      <c r="J43" t="s">
        <v>259</v>
      </c>
      <c r="K43" t="s">
        <v>74</v>
      </c>
      <c r="L43" t="s">
        <v>74</v>
      </c>
      <c r="M43" t="s">
        <v>78</v>
      </c>
      <c r="N43" t="s">
        <v>79</v>
      </c>
      <c r="O43" t="s">
        <v>74</v>
      </c>
      <c r="P43" t="s">
        <v>74</v>
      </c>
      <c r="Q43" t="s">
        <v>74</v>
      </c>
      <c r="R43" t="s">
        <v>74</v>
      </c>
      <c r="S43" t="s">
        <v>74</v>
      </c>
      <c r="T43" t="s">
        <v>74</v>
      </c>
      <c r="U43" t="s">
        <v>983</v>
      </c>
      <c r="V43" t="s">
        <v>984</v>
      </c>
      <c r="W43" t="s">
        <v>985</v>
      </c>
      <c r="X43" t="s">
        <v>986</v>
      </c>
      <c r="Y43" t="s">
        <v>987</v>
      </c>
      <c r="Z43" t="s">
        <v>988</v>
      </c>
      <c r="AA43" t="s">
        <v>989</v>
      </c>
      <c r="AB43" t="s">
        <v>990</v>
      </c>
      <c r="AC43" t="s">
        <v>991</v>
      </c>
      <c r="AD43" t="s">
        <v>992</v>
      </c>
      <c r="AE43" t="s">
        <v>993</v>
      </c>
      <c r="AF43" t="s">
        <v>74</v>
      </c>
      <c r="AG43">
        <v>30</v>
      </c>
      <c r="AH43">
        <v>22</v>
      </c>
      <c r="AI43">
        <v>26</v>
      </c>
      <c r="AJ43">
        <v>0</v>
      </c>
      <c r="AK43">
        <v>53</v>
      </c>
      <c r="AL43" t="s">
        <v>271</v>
      </c>
      <c r="AM43" t="s">
        <v>272</v>
      </c>
      <c r="AN43" t="s">
        <v>273</v>
      </c>
      <c r="AO43" t="s">
        <v>274</v>
      </c>
      <c r="AP43" t="s">
        <v>275</v>
      </c>
      <c r="AQ43" t="s">
        <v>74</v>
      </c>
      <c r="AR43" t="s">
        <v>276</v>
      </c>
      <c r="AS43" t="s">
        <v>277</v>
      </c>
      <c r="AT43" t="s">
        <v>975</v>
      </c>
      <c r="AU43">
        <v>2018</v>
      </c>
      <c r="AV43">
        <v>45</v>
      </c>
      <c r="AW43">
        <v>1</v>
      </c>
      <c r="AX43" t="s">
        <v>74</v>
      </c>
      <c r="AY43" t="s">
        <v>74</v>
      </c>
      <c r="AZ43" t="s">
        <v>74</v>
      </c>
      <c r="BA43" t="s">
        <v>74</v>
      </c>
      <c r="BB43">
        <v>436</v>
      </c>
      <c r="BC43">
        <v>444</v>
      </c>
      <c r="BD43" t="s">
        <v>74</v>
      </c>
      <c r="BE43" t="s">
        <v>994</v>
      </c>
      <c r="BF43" t="str">
        <f>HYPERLINK("http://dx.doi.org/10.1002/2017GL076282","http://dx.doi.org/10.1002/2017GL076282")</f>
        <v>http://dx.doi.org/10.1002/2017GL076282</v>
      </c>
      <c r="BG43" t="s">
        <v>74</v>
      </c>
      <c r="BH43" t="s">
        <v>74</v>
      </c>
      <c r="BI43">
        <v>9</v>
      </c>
      <c r="BJ43" t="s">
        <v>280</v>
      </c>
      <c r="BK43" t="s">
        <v>101</v>
      </c>
      <c r="BL43" t="s">
        <v>281</v>
      </c>
      <c r="BM43" t="s">
        <v>995</v>
      </c>
      <c r="BN43" t="s">
        <v>74</v>
      </c>
      <c r="BO43" t="s">
        <v>306</v>
      </c>
      <c r="BP43" t="s">
        <v>74</v>
      </c>
      <c r="BQ43" t="s">
        <v>74</v>
      </c>
      <c r="BR43" t="s">
        <v>105</v>
      </c>
      <c r="BS43" t="s">
        <v>996</v>
      </c>
      <c r="BT43" t="str">
        <f>HYPERLINK("https%3A%2F%2Fwww.webofscience.com%2Fwos%2Fwoscc%2Ffull-record%2FWOS:000423431800049","View Full Record in Web of Science")</f>
        <v>View Full Record in Web of Science</v>
      </c>
    </row>
    <row r="44" spans="1:72" x14ac:dyDescent="0.15">
      <c r="A44" t="s">
        <v>72</v>
      </c>
      <c r="B44" t="s">
        <v>997</v>
      </c>
      <c r="C44" t="s">
        <v>74</v>
      </c>
      <c r="D44" t="s">
        <v>74</v>
      </c>
      <c r="E44" t="s">
        <v>74</v>
      </c>
      <c r="F44" t="s">
        <v>998</v>
      </c>
      <c r="G44" t="s">
        <v>74</v>
      </c>
      <c r="H44" t="s">
        <v>74</v>
      </c>
      <c r="I44" t="s">
        <v>999</v>
      </c>
      <c r="J44" t="s">
        <v>411</v>
      </c>
      <c r="K44" t="s">
        <v>74</v>
      </c>
      <c r="L44" t="s">
        <v>74</v>
      </c>
      <c r="M44" t="s">
        <v>78</v>
      </c>
      <c r="N44" t="s">
        <v>79</v>
      </c>
      <c r="O44" t="s">
        <v>74</v>
      </c>
      <c r="P44" t="s">
        <v>74</v>
      </c>
      <c r="Q44" t="s">
        <v>74</v>
      </c>
      <c r="R44" t="s">
        <v>74</v>
      </c>
      <c r="S44" t="s">
        <v>74</v>
      </c>
      <c r="T44" t="s">
        <v>1000</v>
      </c>
      <c r="U44" t="s">
        <v>1001</v>
      </c>
      <c r="V44" t="s">
        <v>1002</v>
      </c>
      <c r="W44" t="s">
        <v>1003</v>
      </c>
      <c r="X44" t="s">
        <v>1004</v>
      </c>
      <c r="Y44" t="s">
        <v>1005</v>
      </c>
      <c r="Z44" t="s">
        <v>1006</v>
      </c>
      <c r="AA44" t="s">
        <v>1007</v>
      </c>
      <c r="AB44" t="s">
        <v>1008</v>
      </c>
      <c r="AC44" t="s">
        <v>1009</v>
      </c>
      <c r="AD44" t="s">
        <v>1009</v>
      </c>
      <c r="AE44" t="s">
        <v>1010</v>
      </c>
      <c r="AF44" t="s">
        <v>74</v>
      </c>
      <c r="AG44">
        <v>81</v>
      </c>
      <c r="AH44">
        <v>20</v>
      </c>
      <c r="AI44">
        <v>21</v>
      </c>
      <c r="AJ44">
        <v>3</v>
      </c>
      <c r="AK44">
        <v>42</v>
      </c>
      <c r="AL44" t="s">
        <v>271</v>
      </c>
      <c r="AM44" t="s">
        <v>272</v>
      </c>
      <c r="AN44" t="s">
        <v>273</v>
      </c>
      <c r="AO44" t="s">
        <v>424</v>
      </c>
      <c r="AP44" t="s">
        <v>425</v>
      </c>
      <c r="AQ44" t="s">
        <v>74</v>
      </c>
      <c r="AR44" t="s">
        <v>426</v>
      </c>
      <c r="AS44" t="s">
        <v>427</v>
      </c>
      <c r="AT44" t="s">
        <v>975</v>
      </c>
      <c r="AU44">
        <v>2018</v>
      </c>
      <c r="AV44">
        <v>123</v>
      </c>
      <c r="AW44">
        <v>1</v>
      </c>
      <c r="AX44" t="s">
        <v>74</v>
      </c>
      <c r="AY44" t="s">
        <v>74</v>
      </c>
      <c r="AZ44" t="s">
        <v>74</v>
      </c>
      <c r="BA44" t="s">
        <v>74</v>
      </c>
      <c r="BB44">
        <v>89</v>
      </c>
      <c r="BC44">
        <v>107</v>
      </c>
      <c r="BD44" t="s">
        <v>74</v>
      </c>
      <c r="BE44" t="s">
        <v>1011</v>
      </c>
      <c r="BF44" t="str">
        <f>HYPERLINK("http://dx.doi.org/10.1002/2017JD027435","http://dx.doi.org/10.1002/2017JD027435")</f>
        <v>http://dx.doi.org/10.1002/2017JD027435</v>
      </c>
      <c r="BG44" t="s">
        <v>74</v>
      </c>
      <c r="BH44" t="s">
        <v>74</v>
      </c>
      <c r="BI44">
        <v>19</v>
      </c>
      <c r="BJ44" t="s">
        <v>430</v>
      </c>
      <c r="BK44" t="s">
        <v>101</v>
      </c>
      <c r="BL44" t="s">
        <v>430</v>
      </c>
      <c r="BM44" t="s">
        <v>1012</v>
      </c>
      <c r="BN44" t="s">
        <v>74</v>
      </c>
      <c r="BO44" t="s">
        <v>306</v>
      </c>
      <c r="BP44" t="s">
        <v>74</v>
      </c>
      <c r="BQ44" t="s">
        <v>74</v>
      </c>
      <c r="BR44" t="s">
        <v>105</v>
      </c>
      <c r="BS44" t="s">
        <v>1013</v>
      </c>
      <c r="BT44" t="str">
        <f>HYPERLINK("https%3A%2F%2Fwww.webofscience.com%2Fwos%2Fwoscc%2Ffull-record%2FWOS:000423433500006","View Full Record in Web of Science")</f>
        <v>View Full Record in Web of Science</v>
      </c>
    </row>
    <row r="45" spans="1:72" x14ac:dyDescent="0.15">
      <c r="A45" t="s">
        <v>72</v>
      </c>
      <c r="B45" t="s">
        <v>1014</v>
      </c>
      <c r="C45" t="s">
        <v>74</v>
      </c>
      <c r="D45" t="s">
        <v>74</v>
      </c>
      <c r="E45" t="s">
        <v>74</v>
      </c>
      <c r="F45" t="s">
        <v>1015</v>
      </c>
      <c r="G45" t="s">
        <v>74</v>
      </c>
      <c r="H45" t="s">
        <v>74</v>
      </c>
      <c r="I45" t="s">
        <v>1016</v>
      </c>
      <c r="J45" t="s">
        <v>259</v>
      </c>
      <c r="K45" t="s">
        <v>74</v>
      </c>
      <c r="L45" t="s">
        <v>74</v>
      </c>
      <c r="M45" t="s">
        <v>78</v>
      </c>
      <c r="N45" t="s">
        <v>79</v>
      </c>
      <c r="O45" t="s">
        <v>74</v>
      </c>
      <c r="P45" t="s">
        <v>74</v>
      </c>
      <c r="Q45" t="s">
        <v>74</v>
      </c>
      <c r="R45" t="s">
        <v>74</v>
      </c>
      <c r="S45" t="s">
        <v>74</v>
      </c>
      <c r="T45" t="s">
        <v>1017</v>
      </c>
      <c r="U45" t="s">
        <v>1018</v>
      </c>
      <c r="V45" t="s">
        <v>1019</v>
      </c>
      <c r="W45" t="s">
        <v>1020</v>
      </c>
      <c r="X45" t="s">
        <v>1021</v>
      </c>
      <c r="Y45" t="s">
        <v>1022</v>
      </c>
      <c r="Z45" t="s">
        <v>1023</v>
      </c>
      <c r="AA45" t="s">
        <v>74</v>
      </c>
      <c r="AB45" t="s">
        <v>1024</v>
      </c>
      <c r="AC45" t="s">
        <v>1025</v>
      </c>
      <c r="AD45" t="s">
        <v>1026</v>
      </c>
      <c r="AE45" t="s">
        <v>1027</v>
      </c>
      <c r="AF45" t="s">
        <v>74</v>
      </c>
      <c r="AG45">
        <v>16</v>
      </c>
      <c r="AH45">
        <v>5</v>
      </c>
      <c r="AI45">
        <v>5</v>
      </c>
      <c r="AJ45">
        <v>0</v>
      </c>
      <c r="AK45">
        <v>8</v>
      </c>
      <c r="AL45" t="s">
        <v>271</v>
      </c>
      <c r="AM45" t="s">
        <v>272</v>
      </c>
      <c r="AN45" t="s">
        <v>273</v>
      </c>
      <c r="AO45" t="s">
        <v>274</v>
      </c>
      <c r="AP45" t="s">
        <v>275</v>
      </c>
      <c r="AQ45" t="s">
        <v>74</v>
      </c>
      <c r="AR45" t="s">
        <v>276</v>
      </c>
      <c r="AS45" t="s">
        <v>277</v>
      </c>
      <c r="AT45" t="s">
        <v>975</v>
      </c>
      <c r="AU45">
        <v>2018</v>
      </c>
      <c r="AV45">
        <v>45</v>
      </c>
      <c r="AW45">
        <v>1</v>
      </c>
      <c r="AX45" t="s">
        <v>74</v>
      </c>
      <c r="AY45" t="s">
        <v>74</v>
      </c>
      <c r="AZ45" t="s">
        <v>74</v>
      </c>
      <c r="BA45" t="s">
        <v>74</v>
      </c>
      <c r="BB45">
        <v>201</v>
      </c>
      <c r="BC45">
        <v>206</v>
      </c>
      <c r="BD45" t="s">
        <v>74</v>
      </c>
      <c r="BE45" t="s">
        <v>1028</v>
      </c>
      <c r="BF45" t="str">
        <f>HYPERLINK("http://dx.doi.org/10.1002/2017GL075794","http://dx.doi.org/10.1002/2017GL075794")</f>
        <v>http://dx.doi.org/10.1002/2017GL075794</v>
      </c>
      <c r="BG45" t="s">
        <v>74</v>
      </c>
      <c r="BH45" t="s">
        <v>74</v>
      </c>
      <c r="BI45">
        <v>6</v>
      </c>
      <c r="BJ45" t="s">
        <v>280</v>
      </c>
      <c r="BK45" t="s">
        <v>101</v>
      </c>
      <c r="BL45" t="s">
        <v>281</v>
      </c>
      <c r="BM45" t="s">
        <v>995</v>
      </c>
      <c r="BN45" t="s">
        <v>74</v>
      </c>
      <c r="BO45" t="s">
        <v>306</v>
      </c>
      <c r="BP45" t="s">
        <v>74</v>
      </c>
      <c r="BQ45" t="s">
        <v>74</v>
      </c>
      <c r="BR45" t="s">
        <v>105</v>
      </c>
      <c r="BS45" t="s">
        <v>1029</v>
      </c>
      <c r="BT45" t="str">
        <f>HYPERLINK("https%3A%2F%2Fwww.webofscience.com%2Fwos%2Fwoscc%2Ffull-record%2FWOS:000423431800023","View Full Record in Web of Science")</f>
        <v>View Full Record in Web of Science</v>
      </c>
    </row>
    <row r="46" spans="1:72" x14ac:dyDescent="0.15">
      <c r="A46" t="s">
        <v>72</v>
      </c>
      <c r="B46" t="s">
        <v>1030</v>
      </c>
      <c r="C46" t="s">
        <v>74</v>
      </c>
      <c r="D46" t="s">
        <v>74</v>
      </c>
      <c r="E46" t="s">
        <v>74</v>
      </c>
      <c r="F46" t="s">
        <v>1031</v>
      </c>
      <c r="G46" t="s">
        <v>74</v>
      </c>
      <c r="H46" t="s">
        <v>74</v>
      </c>
      <c r="I46" t="s">
        <v>1032</v>
      </c>
      <c r="J46" t="s">
        <v>411</v>
      </c>
      <c r="K46" t="s">
        <v>74</v>
      </c>
      <c r="L46" t="s">
        <v>74</v>
      </c>
      <c r="M46" t="s">
        <v>78</v>
      </c>
      <c r="N46" t="s">
        <v>79</v>
      </c>
      <c r="O46" t="s">
        <v>74</v>
      </c>
      <c r="P46" t="s">
        <v>74</v>
      </c>
      <c r="Q46" t="s">
        <v>74</v>
      </c>
      <c r="R46" t="s">
        <v>74</v>
      </c>
      <c r="S46" t="s">
        <v>74</v>
      </c>
      <c r="T46" t="s">
        <v>74</v>
      </c>
      <c r="U46" t="s">
        <v>1033</v>
      </c>
      <c r="V46" t="s">
        <v>1034</v>
      </c>
      <c r="W46" t="s">
        <v>1035</v>
      </c>
      <c r="X46" t="s">
        <v>1036</v>
      </c>
      <c r="Y46" t="s">
        <v>1037</v>
      </c>
      <c r="Z46" t="s">
        <v>1038</v>
      </c>
      <c r="AA46" t="s">
        <v>74</v>
      </c>
      <c r="AB46" t="s">
        <v>1039</v>
      </c>
      <c r="AC46" t="s">
        <v>1040</v>
      </c>
      <c r="AD46" t="s">
        <v>1041</v>
      </c>
      <c r="AE46" t="s">
        <v>1042</v>
      </c>
      <c r="AF46" t="s">
        <v>74</v>
      </c>
      <c r="AG46">
        <v>59</v>
      </c>
      <c r="AH46">
        <v>30</v>
      </c>
      <c r="AI46">
        <v>33</v>
      </c>
      <c r="AJ46">
        <v>0</v>
      </c>
      <c r="AK46">
        <v>20</v>
      </c>
      <c r="AL46" t="s">
        <v>271</v>
      </c>
      <c r="AM46" t="s">
        <v>272</v>
      </c>
      <c r="AN46" t="s">
        <v>273</v>
      </c>
      <c r="AO46" t="s">
        <v>424</v>
      </c>
      <c r="AP46" t="s">
        <v>425</v>
      </c>
      <c r="AQ46" t="s">
        <v>74</v>
      </c>
      <c r="AR46" t="s">
        <v>426</v>
      </c>
      <c r="AS46" t="s">
        <v>427</v>
      </c>
      <c r="AT46" t="s">
        <v>975</v>
      </c>
      <c r="AU46">
        <v>2018</v>
      </c>
      <c r="AV46">
        <v>123</v>
      </c>
      <c r="AW46">
        <v>1</v>
      </c>
      <c r="AX46" t="s">
        <v>74</v>
      </c>
      <c r="AY46" t="s">
        <v>74</v>
      </c>
      <c r="AZ46" t="s">
        <v>74</v>
      </c>
      <c r="BA46" t="s">
        <v>74</v>
      </c>
      <c r="BB46">
        <v>443</v>
      </c>
      <c r="BC46">
        <v>456</v>
      </c>
      <c r="BD46" t="s">
        <v>74</v>
      </c>
      <c r="BE46" t="s">
        <v>1043</v>
      </c>
      <c r="BF46" t="str">
        <f>HYPERLINK("http://dx.doi.org/10.1002/2017JD026552","http://dx.doi.org/10.1002/2017JD026552")</f>
        <v>http://dx.doi.org/10.1002/2017JD026552</v>
      </c>
      <c r="BG46" t="s">
        <v>74</v>
      </c>
      <c r="BH46" t="s">
        <v>74</v>
      </c>
      <c r="BI46">
        <v>14</v>
      </c>
      <c r="BJ46" t="s">
        <v>430</v>
      </c>
      <c r="BK46" t="s">
        <v>101</v>
      </c>
      <c r="BL46" t="s">
        <v>430</v>
      </c>
      <c r="BM46" t="s">
        <v>1012</v>
      </c>
      <c r="BN46" t="s">
        <v>74</v>
      </c>
      <c r="BO46" t="s">
        <v>789</v>
      </c>
      <c r="BP46" t="s">
        <v>74</v>
      </c>
      <c r="BQ46" t="s">
        <v>74</v>
      </c>
      <c r="BR46" t="s">
        <v>105</v>
      </c>
      <c r="BS46" t="s">
        <v>1044</v>
      </c>
      <c r="BT46" t="str">
        <f>HYPERLINK("https%3A%2F%2Fwww.webofscience.com%2Fwos%2Fwoscc%2Ffull-record%2FWOS:000423433500025","View Full Record in Web of Science")</f>
        <v>View Full Record in Web of Science</v>
      </c>
    </row>
    <row r="47" spans="1:72" x14ac:dyDescent="0.15">
      <c r="A47" t="s">
        <v>72</v>
      </c>
      <c r="B47" t="s">
        <v>1045</v>
      </c>
      <c r="C47" t="s">
        <v>74</v>
      </c>
      <c r="D47" t="s">
        <v>74</v>
      </c>
      <c r="E47" t="s">
        <v>74</v>
      </c>
      <c r="F47" t="s">
        <v>1046</v>
      </c>
      <c r="G47" t="s">
        <v>74</v>
      </c>
      <c r="H47" t="s">
        <v>74</v>
      </c>
      <c r="I47" t="s">
        <v>1047</v>
      </c>
      <c r="J47" t="s">
        <v>901</v>
      </c>
      <c r="K47" t="s">
        <v>74</v>
      </c>
      <c r="L47" t="s">
        <v>74</v>
      </c>
      <c r="M47" t="s">
        <v>78</v>
      </c>
      <c r="N47" t="s">
        <v>79</v>
      </c>
      <c r="O47" t="s">
        <v>74</v>
      </c>
      <c r="P47" t="s">
        <v>74</v>
      </c>
      <c r="Q47" t="s">
        <v>74</v>
      </c>
      <c r="R47" t="s">
        <v>74</v>
      </c>
      <c r="S47" t="s">
        <v>74</v>
      </c>
      <c r="T47" t="s">
        <v>1048</v>
      </c>
      <c r="U47" t="s">
        <v>1049</v>
      </c>
      <c r="V47" t="s">
        <v>1050</v>
      </c>
      <c r="W47" t="s">
        <v>1051</v>
      </c>
      <c r="X47" t="s">
        <v>1052</v>
      </c>
      <c r="Y47" t="s">
        <v>1053</v>
      </c>
      <c r="Z47" t="s">
        <v>1054</v>
      </c>
      <c r="AA47" t="s">
        <v>1055</v>
      </c>
      <c r="AB47" t="s">
        <v>1056</v>
      </c>
      <c r="AC47" t="s">
        <v>1057</v>
      </c>
      <c r="AD47" t="s">
        <v>1058</v>
      </c>
      <c r="AE47" t="s">
        <v>1059</v>
      </c>
      <c r="AF47" t="s">
        <v>74</v>
      </c>
      <c r="AG47">
        <v>86</v>
      </c>
      <c r="AH47">
        <v>17</v>
      </c>
      <c r="AI47">
        <v>17</v>
      </c>
      <c r="AJ47">
        <v>0</v>
      </c>
      <c r="AK47">
        <v>14</v>
      </c>
      <c r="AL47" t="s">
        <v>913</v>
      </c>
      <c r="AM47" t="s">
        <v>92</v>
      </c>
      <c r="AN47" t="s">
        <v>914</v>
      </c>
      <c r="AO47" t="s">
        <v>915</v>
      </c>
      <c r="AP47" t="s">
        <v>74</v>
      </c>
      <c r="AQ47" t="s">
        <v>74</v>
      </c>
      <c r="AR47" t="s">
        <v>901</v>
      </c>
      <c r="AS47" t="s">
        <v>916</v>
      </c>
      <c r="AT47" t="s">
        <v>975</v>
      </c>
      <c r="AU47">
        <v>2018</v>
      </c>
      <c r="AV47">
        <v>6</v>
      </c>
      <c r="AW47" t="s">
        <v>74</v>
      </c>
      <c r="AX47" t="s">
        <v>74</v>
      </c>
      <c r="AY47" t="s">
        <v>74</v>
      </c>
      <c r="AZ47" t="s">
        <v>74</v>
      </c>
      <c r="BA47" t="s">
        <v>74</v>
      </c>
      <c r="BB47" t="s">
        <v>74</v>
      </c>
      <c r="BC47" t="s">
        <v>74</v>
      </c>
      <c r="BD47" t="s">
        <v>1060</v>
      </c>
      <c r="BE47" t="s">
        <v>1061</v>
      </c>
      <c r="BF47" t="str">
        <f>HYPERLINK("http://dx.doi.org/10.7717/peerj.4173","http://dx.doi.org/10.7717/peerj.4173")</f>
        <v>http://dx.doi.org/10.7717/peerj.4173</v>
      </c>
      <c r="BG47" t="s">
        <v>74</v>
      </c>
      <c r="BH47" t="s">
        <v>74</v>
      </c>
      <c r="BI47">
        <v>20</v>
      </c>
      <c r="BJ47" t="s">
        <v>129</v>
      </c>
      <c r="BK47" t="s">
        <v>101</v>
      </c>
      <c r="BL47" t="s">
        <v>130</v>
      </c>
      <c r="BM47" t="s">
        <v>1062</v>
      </c>
      <c r="BN47">
        <v>29362690</v>
      </c>
      <c r="BO47" t="s">
        <v>681</v>
      </c>
      <c r="BP47" t="s">
        <v>74</v>
      </c>
      <c r="BQ47" t="s">
        <v>74</v>
      </c>
      <c r="BR47" t="s">
        <v>105</v>
      </c>
      <c r="BS47" t="s">
        <v>1063</v>
      </c>
      <c r="BT47" t="str">
        <f>HYPERLINK("https%3A%2F%2Fwww.webofscience.com%2Fwos%2Fwoscc%2Ffull-record%2FWOS:000423146500001","View Full Record in Web of Science")</f>
        <v>View Full Record in Web of Science</v>
      </c>
    </row>
    <row r="48" spans="1:72" x14ac:dyDescent="0.15">
      <c r="A48" t="s">
        <v>72</v>
      </c>
      <c r="B48" t="s">
        <v>1064</v>
      </c>
      <c r="C48" t="s">
        <v>74</v>
      </c>
      <c r="D48" t="s">
        <v>74</v>
      </c>
      <c r="E48" t="s">
        <v>74</v>
      </c>
      <c r="F48" t="s">
        <v>1065</v>
      </c>
      <c r="G48" t="s">
        <v>74</v>
      </c>
      <c r="H48" t="s">
        <v>74</v>
      </c>
      <c r="I48" t="s">
        <v>1066</v>
      </c>
      <c r="J48" t="s">
        <v>259</v>
      </c>
      <c r="K48" t="s">
        <v>74</v>
      </c>
      <c r="L48" t="s">
        <v>74</v>
      </c>
      <c r="M48" t="s">
        <v>78</v>
      </c>
      <c r="N48" t="s">
        <v>79</v>
      </c>
      <c r="O48" t="s">
        <v>74</v>
      </c>
      <c r="P48" t="s">
        <v>74</v>
      </c>
      <c r="Q48" t="s">
        <v>74</v>
      </c>
      <c r="R48" t="s">
        <v>74</v>
      </c>
      <c r="S48" t="s">
        <v>74</v>
      </c>
      <c r="T48" t="s">
        <v>74</v>
      </c>
      <c r="U48" t="s">
        <v>1067</v>
      </c>
      <c r="V48" t="s">
        <v>1068</v>
      </c>
      <c r="W48" t="s">
        <v>1069</v>
      </c>
      <c r="X48" t="s">
        <v>1070</v>
      </c>
      <c r="Y48" t="s">
        <v>1071</v>
      </c>
      <c r="Z48" t="s">
        <v>1072</v>
      </c>
      <c r="AA48" t="s">
        <v>1073</v>
      </c>
      <c r="AB48" t="s">
        <v>1074</v>
      </c>
      <c r="AC48" t="s">
        <v>1075</v>
      </c>
      <c r="AD48" t="s">
        <v>1076</v>
      </c>
      <c r="AE48" t="s">
        <v>1077</v>
      </c>
      <c r="AF48" t="s">
        <v>74</v>
      </c>
      <c r="AG48">
        <v>30</v>
      </c>
      <c r="AH48">
        <v>73</v>
      </c>
      <c r="AI48">
        <v>80</v>
      </c>
      <c r="AJ48">
        <v>0</v>
      </c>
      <c r="AK48">
        <v>45</v>
      </c>
      <c r="AL48" t="s">
        <v>271</v>
      </c>
      <c r="AM48" t="s">
        <v>272</v>
      </c>
      <c r="AN48" t="s">
        <v>273</v>
      </c>
      <c r="AO48" t="s">
        <v>274</v>
      </c>
      <c r="AP48" t="s">
        <v>275</v>
      </c>
      <c r="AQ48" t="s">
        <v>74</v>
      </c>
      <c r="AR48" t="s">
        <v>276</v>
      </c>
      <c r="AS48" t="s">
        <v>277</v>
      </c>
      <c r="AT48" t="s">
        <v>975</v>
      </c>
      <c r="AU48">
        <v>2018</v>
      </c>
      <c r="AV48">
        <v>45</v>
      </c>
      <c r="AW48">
        <v>1</v>
      </c>
      <c r="AX48" t="s">
        <v>74</v>
      </c>
      <c r="AY48" t="s">
        <v>74</v>
      </c>
      <c r="AZ48" t="s">
        <v>74</v>
      </c>
      <c r="BA48" t="s">
        <v>74</v>
      </c>
      <c r="BB48">
        <v>382</v>
      </c>
      <c r="BC48">
        <v>390</v>
      </c>
      <c r="BD48" t="s">
        <v>74</v>
      </c>
      <c r="BE48" t="s">
        <v>1078</v>
      </c>
      <c r="BF48" t="str">
        <f>HYPERLINK("http://dx.doi.org/10.1002/2017GL074830","http://dx.doi.org/10.1002/2017GL074830")</f>
        <v>http://dx.doi.org/10.1002/2017GL074830</v>
      </c>
      <c r="BG48" t="s">
        <v>74</v>
      </c>
      <c r="BH48" t="s">
        <v>74</v>
      </c>
      <c r="BI48">
        <v>9</v>
      </c>
      <c r="BJ48" t="s">
        <v>280</v>
      </c>
      <c r="BK48" t="s">
        <v>101</v>
      </c>
      <c r="BL48" t="s">
        <v>281</v>
      </c>
      <c r="BM48" t="s">
        <v>995</v>
      </c>
      <c r="BN48" t="s">
        <v>74</v>
      </c>
      <c r="BO48" t="s">
        <v>74</v>
      </c>
      <c r="BP48" t="s">
        <v>74</v>
      </c>
      <c r="BQ48" t="s">
        <v>74</v>
      </c>
      <c r="BR48" t="s">
        <v>105</v>
      </c>
      <c r="BS48" t="s">
        <v>1079</v>
      </c>
      <c r="BT48" t="str">
        <f>HYPERLINK("https%3A%2F%2Fwww.webofscience.com%2Fwos%2Fwoscc%2Ffull-record%2FWOS:000423431800043","View Full Record in Web of Science")</f>
        <v>View Full Record in Web of Science</v>
      </c>
    </row>
    <row r="49" spans="1:72" x14ac:dyDescent="0.15">
      <c r="A49" t="s">
        <v>72</v>
      </c>
      <c r="B49" t="s">
        <v>1080</v>
      </c>
      <c r="C49" t="s">
        <v>74</v>
      </c>
      <c r="D49" t="s">
        <v>74</v>
      </c>
      <c r="E49" t="s">
        <v>74</v>
      </c>
      <c r="F49" t="s">
        <v>1081</v>
      </c>
      <c r="G49" t="s">
        <v>74</v>
      </c>
      <c r="H49" t="s">
        <v>74</v>
      </c>
      <c r="I49" t="s">
        <v>1082</v>
      </c>
      <c r="J49" t="s">
        <v>411</v>
      </c>
      <c r="K49" t="s">
        <v>74</v>
      </c>
      <c r="L49" t="s">
        <v>74</v>
      </c>
      <c r="M49" t="s">
        <v>78</v>
      </c>
      <c r="N49" t="s">
        <v>79</v>
      </c>
      <c r="O49" t="s">
        <v>74</v>
      </c>
      <c r="P49" t="s">
        <v>74</v>
      </c>
      <c r="Q49" t="s">
        <v>74</v>
      </c>
      <c r="R49" t="s">
        <v>74</v>
      </c>
      <c r="S49" t="s">
        <v>74</v>
      </c>
      <c r="T49" t="s">
        <v>74</v>
      </c>
      <c r="U49" t="s">
        <v>1083</v>
      </c>
      <c r="V49" t="s">
        <v>1084</v>
      </c>
      <c r="W49" t="s">
        <v>1085</v>
      </c>
      <c r="X49" t="s">
        <v>1086</v>
      </c>
      <c r="Y49" t="s">
        <v>1087</v>
      </c>
      <c r="Z49" t="s">
        <v>1088</v>
      </c>
      <c r="AA49" t="s">
        <v>1089</v>
      </c>
      <c r="AB49" t="s">
        <v>1090</v>
      </c>
      <c r="AC49" t="s">
        <v>1091</v>
      </c>
      <c r="AD49" t="s">
        <v>1092</v>
      </c>
      <c r="AE49" t="s">
        <v>1093</v>
      </c>
      <c r="AF49" t="s">
        <v>74</v>
      </c>
      <c r="AG49">
        <v>52</v>
      </c>
      <c r="AH49">
        <v>38</v>
      </c>
      <c r="AI49">
        <v>39</v>
      </c>
      <c r="AJ49">
        <v>0</v>
      </c>
      <c r="AK49">
        <v>17</v>
      </c>
      <c r="AL49" t="s">
        <v>271</v>
      </c>
      <c r="AM49" t="s">
        <v>272</v>
      </c>
      <c r="AN49" t="s">
        <v>273</v>
      </c>
      <c r="AO49" t="s">
        <v>424</v>
      </c>
      <c r="AP49" t="s">
        <v>425</v>
      </c>
      <c r="AQ49" t="s">
        <v>74</v>
      </c>
      <c r="AR49" t="s">
        <v>426</v>
      </c>
      <c r="AS49" t="s">
        <v>427</v>
      </c>
      <c r="AT49" t="s">
        <v>975</v>
      </c>
      <c r="AU49">
        <v>2018</v>
      </c>
      <c r="AV49">
        <v>123</v>
      </c>
      <c r="AW49">
        <v>1</v>
      </c>
      <c r="AX49" t="s">
        <v>74</v>
      </c>
      <c r="AY49" t="s">
        <v>74</v>
      </c>
      <c r="AZ49" t="s">
        <v>74</v>
      </c>
      <c r="BA49" t="s">
        <v>74</v>
      </c>
      <c r="BB49">
        <v>607</v>
      </c>
      <c r="BC49">
        <v>622</v>
      </c>
      <c r="BD49" t="s">
        <v>74</v>
      </c>
      <c r="BE49" t="s">
        <v>1094</v>
      </c>
      <c r="BF49" t="str">
        <f>HYPERLINK("http://dx.doi.org/10.1002/2017JD027605","http://dx.doi.org/10.1002/2017JD027605")</f>
        <v>http://dx.doi.org/10.1002/2017JD027605</v>
      </c>
      <c r="BG49" t="s">
        <v>74</v>
      </c>
      <c r="BH49" t="s">
        <v>74</v>
      </c>
      <c r="BI49">
        <v>16</v>
      </c>
      <c r="BJ49" t="s">
        <v>430</v>
      </c>
      <c r="BK49" t="s">
        <v>101</v>
      </c>
      <c r="BL49" t="s">
        <v>430</v>
      </c>
      <c r="BM49" t="s">
        <v>1012</v>
      </c>
      <c r="BN49" t="s">
        <v>74</v>
      </c>
      <c r="BO49" t="s">
        <v>1095</v>
      </c>
      <c r="BP49" t="s">
        <v>74</v>
      </c>
      <c r="BQ49" t="s">
        <v>74</v>
      </c>
      <c r="BR49" t="s">
        <v>105</v>
      </c>
      <c r="BS49" t="s">
        <v>1096</v>
      </c>
      <c r="BT49" t="str">
        <f>HYPERLINK("https%3A%2F%2Fwww.webofscience.com%2Fwos%2Fwoscc%2Ffull-record%2FWOS:000423433500035","View Full Record in Web of Science")</f>
        <v>View Full Record in Web of Science</v>
      </c>
    </row>
    <row r="50" spans="1:72" x14ac:dyDescent="0.15">
      <c r="A50" t="s">
        <v>72</v>
      </c>
      <c r="B50" t="s">
        <v>1097</v>
      </c>
      <c r="C50" t="s">
        <v>74</v>
      </c>
      <c r="D50" t="s">
        <v>74</v>
      </c>
      <c r="E50" t="s">
        <v>74</v>
      </c>
      <c r="F50" t="s">
        <v>1098</v>
      </c>
      <c r="G50" t="s">
        <v>74</v>
      </c>
      <c r="H50" t="s">
        <v>74</v>
      </c>
      <c r="I50" t="s">
        <v>1099</v>
      </c>
      <c r="J50" t="s">
        <v>1100</v>
      </c>
      <c r="K50" t="s">
        <v>74</v>
      </c>
      <c r="L50" t="s">
        <v>74</v>
      </c>
      <c r="M50" t="s">
        <v>78</v>
      </c>
      <c r="N50" t="s">
        <v>79</v>
      </c>
      <c r="O50" t="s">
        <v>74</v>
      </c>
      <c r="P50" t="s">
        <v>74</v>
      </c>
      <c r="Q50" t="s">
        <v>74</v>
      </c>
      <c r="R50" t="s">
        <v>74</v>
      </c>
      <c r="S50" t="s">
        <v>74</v>
      </c>
      <c r="T50" t="s">
        <v>1101</v>
      </c>
      <c r="U50" t="s">
        <v>1102</v>
      </c>
      <c r="V50" t="s">
        <v>1103</v>
      </c>
      <c r="W50" t="s">
        <v>1104</v>
      </c>
      <c r="X50" t="s">
        <v>1105</v>
      </c>
      <c r="Y50" t="s">
        <v>1106</v>
      </c>
      <c r="Z50" t="s">
        <v>1107</v>
      </c>
      <c r="AA50" t="s">
        <v>1108</v>
      </c>
      <c r="AB50" t="s">
        <v>1109</v>
      </c>
      <c r="AC50" t="s">
        <v>1110</v>
      </c>
      <c r="AD50" t="s">
        <v>1111</v>
      </c>
      <c r="AE50" t="s">
        <v>1112</v>
      </c>
      <c r="AF50" t="s">
        <v>74</v>
      </c>
      <c r="AG50">
        <v>65</v>
      </c>
      <c r="AH50">
        <v>42</v>
      </c>
      <c r="AI50">
        <v>44</v>
      </c>
      <c r="AJ50">
        <v>6</v>
      </c>
      <c r="AK50">
        <v>147</v>
      </c>
      <c r="AL50" t="s">
        <v>807</v>
      </c>
      <c r="AM50" t="s">
        <v>808</v>
      </c>
      <c r="AN50" t="s">
        <v>809</v>
      </c>
      <c r="AO50" t="s">
        <v>1113</v>
      </c>
      <c r="AP50" t="s">
        <v>1114</v>
      </c>
      <c r="AQ50" t="s">
        <v>74</v>
      </c>
      <c r="AR50" t="s">
        <v>1115</v>
      </c>
      <c r="AS50" t="s">
        <v>1116</v>
      </c>
      <c r="AT50" t="s">
        <v>1117</v>
      </c>
      <c r="AU50">
        <v>2018</v>
      </c>
      <c r="AV50">
        <v>612</v>
      </c>
      <c r="AW50" t="s">
        <v>74</v>
      </c>
      <c r="AX50" t="s">
        <v>74</v>
      </c>
      <c r="AY50" t="s">
        <v>74</v>
      </c>
      <c r="AZ50" t="s">
        <v>74</v>
      </c>
      <c r="BA50" t="s">
        <v>74</v>
      </c>
      <c r="BB50">
        <v>903</v>
      </c>
      <c r="BC50">
        <v>913</v>
      </c>
      <c r="BD50" t="s">
        <v>74</v>
      </c>
      <c r="BE50" t="s">
        <v>1118</v>
      </c>
      <c r="BF50" t="str">
        <f>HYPERLINK("http://dx.doi.org/10.1016/j.scitotenv.2017.08.227","http://dx.doi.org/10.1016/j.scitotenv.2017.08.227")</f>
        <v>http://dx.doi.org/10.1016/j.scitotenv.2017.08.227</v>
      </c>
      <c r="BG50" t="s">
        <v>74</v>
      </c>
      <c r="BH50" t="s">
        <v>74</v>
      </c>
      <c r="BI50">
        <v>11</v>
      </c>
      <c r="BJ50" t="s">
        <v>1119</v>
      </c>
      <c r="BK50" t="s">
        <v>101</v>
      </c>
      <c r="BL50" t="s">
        <v>1120</v>
      </c>
      <c r="BM50" t="s">
        <v>1121</v>
      </c>
      <c r="BN50">
        <v>28886542</v>
      </c>
      <c r="BO50" t="s">
        <v>74</v>
      </c>
      <c r="BP50" t="s">
        <v>74</v>
      </c>
      <c r="BQ50" t="s">
        <v>74</v>
      </c>
      <c r="BR50" t="s">
        <v>105</v>
      </c>
      <c r="BS50" t="s">
        <v>1122</v>
      </c>
      <c r="BT50" t="str">
        <f>HYPERLINK("https%3A%2F%2Fwww.webofscience.com%2Fwos%2Fwoscc%2Ffull-record%2FWOS:000413313700089","View Full Record in Web of Science")</f>
        <v>View Full Record in Web of Science</v>
      </c>
    </row>
    <row r="51" spans="1:72" x14ac:dyDescent="0.15">
      <c r="A51" t="s">
        <v>72</v>
      </c>
      <c r="B51" t="s">
        <v>1123</v>
      </c>
      <c r="C51" t="s">
        <v>74</v>
      </c>
      <c r="D51" t="s">
        <v>74</v>
      </c>
      <c r="E51" t="s">
        <v>74</v>
      </c>
      <c r="F51" t="s">
        <v>1124</v>
      </c>
      <c r="G51" t="s">
        <v>74</v>
      </c>
      <c r="H51" t="s">
        <v>74</v>
      </c>
      <c r="I51" t="s">
        <v>1125</v>
      </c>
      <c r="J51" t="s">
        <v>1126</v>
      </c>
      <c r="K51" t="s">
        <v>74</v>
      </c>
      <c r="L51" t="s">
        <v>74</v>
      </c>
      <c r="M51" t="s">
        <v>78</v>
      </c>
      <c r="N51" t="s">
        <v>79</v>
      </c>
      <c r="O51" t="s">
        <v>74</v>
      </c>
      <c r="P51" t="s">
        <v>74</v>
      </c>
      <c r="Q51" t="s">
        <v>74</v>
      </c>
      <c r="R51" t="s">
        <v>74</v>
      </c>
      <c r="S51" t="s">
        <v>74</v>
      </c>
      <c r="T51" t="s">
        <v>1127</v>
      </c>
      <c r="U51" t="s">
        <v>1128</v>
      </c>
      <c r="V51" t="s">
        <v>1129</v>
      </c>
      <c r="W51" t="s">
        <v>1130</v>
      </c>
      <c r="X51" t="s">
        <v>1131</v>
      </c>
      <c r="Y51" t="s">
        <v>1132</v>
      </c>
      <c r="Z51" t="s">
        <v>1133</v>
      </c>
      <c r="AA51" t="s">
        <v>1134</v>
      </c>
      <c r="AB51" t="s">
        <v>1135</v>
      </c>
      <c r="AC51" t="s">
        <v>1136</v>
      </c>
      <c r="AD51" t="s">
        <v>1137</v>
      </c>
      <c r="AE51" t="s">
        <v>1138</v>
      </c>
      <c r="AF51" t="s">
        <v>74</v>
      </c>
      <c r="AG51">
        <v>49</v>
      </c>
      <c r="AH51">
        <v>23</v>
      </c>
      <c r="AI51">
        <v>23</v>
      </c>
      <c r="AJ51">
        <v>0</v>
      </c>
      <c r="AK51">
        <v>7</v>
      </c>
      <c r="AL51" t="s">
        <v>1139</v>
      </c>
      <c r="AM51" t="s">
        <v>1140</v>
      </c>
      <c r="AN51" t="s">
        <v>1141</v>
      </c>
      <c r="AO51" t="s">
        <v>1142</v>
      </c>
      <c r="AP51" t="s">
        <v>1143</v>
      </c>
      <c r="AQ51" t="s">
        <v>74</v>
      </c>
      <c r="AR51" t="s">
        <v>1144</v>
      </c>
      <c r="AS51" t="s">
        <v>1145</v>
      </c>
      <c r="AT51" t="s">
        <v>1117</v>
      </c>
      <c r="AU51">
        <v>2018</v>
      </c>
      <c r="AV51">
        <v>221</v>
      </c>
      <c r="AW51" t="s">
        <v>74</v>
      </c>
      <c r="AX51" t="s">
        <v>74</v>
      </c>
      <c r="AY51" t="s">
        <v>74</v>
      </c>
      <c r="AZ51" t="s">
        <v>1146</v>
      </c>
      <c r="BA51" t="s">
        <v>74</v>
      </c>
      <c r="BB51">
        <v>342</v>
      </c>
      <c r="BC51">
        <v>357</v>
      </c>
      <c r="BD51" t="s">
        <v>74</v>
      </c>
      <c r="BE51" t="s">
        <v>1147</v>
      </c>
      <c r="BF51" t="str">
        <f>HYPERLINK("http://dx.doi.org/10.1016/j.gca.2017.06.013","http://dx.doi.org/10.1016/j.gca.2017.06.013")</f>
        <v>http://dx.doi.org/10.1016/j.gca.2017.06.013</v>
      </c>
      <c r="BG51" t="s">
        <v>74</v>
      </c>
      <c r="BH51" t="s">
        <v>74</v>
      </c>
      <c r="BI51">
        <v>16</v>
      </c>
      <c r="BJ51" t="s">
        <v>1148</v>
      </c>
      <c r="BK51" t="s">
        <v>101</v>
      </c>
      <c r="BL51" t="s">
        <v>1148</v>
      </c>
      <c r="BM51" t="s">
        <v>1149</v>
      </c>
      <c r="BN51" t="s">
        <v>74</v>
      </c>
      <c r="BO51" t="s">
        <v>1150</v>
      </c>
      <c r="BP51" t="s">
        <v>74</v>
      </c>
      <c r="BQ51" t="s">
        <v>74</v>
      </c>
      <c r="BR51" t="s">
        <v>105</v>
      </c>
      <c r="BS51" t="s">
        <v>1151</v>
      </c>
      <c r="BT51" t="str">
        <f>HYPERLINK("https%3A%2F%2Fwww.webofscience.com%2Fwos%2Fwoscc%2Ffull-record%2FWOS:000424797800020","View Full Record in Web of Science")</f>
        <v>View Full Record in Web of Science</v>
      </c>
    </row>
    <row r="52" spans="1:72" x14ac:dyDescent="0.15">
      <c r="A52" t="s">
        <v>72</v>
      </c>
      <c r="B52" t="s">
        <v>1152</v>
      </c>
      <c r="C52" t="s">
        <v>74</v>
      </c>
      <c r="D52" t="s">
        <v>74</v>
      </c>
      <c r="E52" t="s">
        <v>74</v>
      </c>
      <c r="F52" t="s">
        <v>1153</v>
      </c>
      <c r="G52" t="s">
        <v>74</v>
      </c>
      <c r="H52" t="s">
        <v>74</v>
      </c>
      <c r="I52" t="s">
        <v>1154</v>
      </c>
      <c r="J52" t="s">
        <v>1126</v>
      </c>
      <c r="K52" t="s">
        <v>74</v>
      </c>
      <c r="L52" t="s">
        <v>74</v>
      </c>
      <c r="M52" t="s">
        <v>78</v>
      </c>
      <c r="N52" t="s">
        <v>79</v>
      </c>
      <c r="O52" t="s">
        <v>74</v>
      </c>
      <c r="P52" t="s">
        <v>74</v>
      </c>
      <c r="Q52" t="s">
        <v>74</v>
      </c>
      <c r="R52" t="s">
        <v>74</v>
      </c>
      <c r="S52" t="s">
        <v>74</v>
      </c>
      <c r="T52" t="s">
        <v>1155</v>
      </c>
      <c r="U52" t="s">
        <v>1156</v>
      </c>
      <c r="V52" t="s">
        <v>1157</v>
      </c>
      <c r="W52" t="s">
        <v>1158</v>
      </c>
      <c r="X52" t="s">
        <v>1159</v>
      </c>
      <c r="Y52" t="s">
        <v>1160</v>
      </c>
      <c r="Z52" t="s">
        <v>1161</v>
      </c>
      <c r="AA52" t="s">
        <v>1162</v>
      </c>
      <c r="AB52" t="s">
        <v>1163</v>
      </c>
      <c r="AC52" t="s">
        <v>1164</v>
      </c>
      <c r="AD52" t="s">
        <v>1165</v>
      </c>
      <c r="AE52" t="s">
        <v>1166</v>
      </c>
      <c r="AF52" t="s">
        <v>74</v>
      </c>
      <c r="AG52">
        <v>62</v>
      </c>
      <c r="AH52">
        <v>66</v>
      </c>
      <c r="AI52">
        <v>67</v>
      </c>
      <c r="AJ52">
        <v>0</v>
      </c>
      <c r="AK52">
        <v>12</v>
      </c>
      <c r="AL52" t="s">
        <v>1139</v>
      </c>
      <c r="AM52" t="s">
        <v>1140</v>
      </c>
      <c r="AN52" t="s">
        <v>1141</v>
      </c>
      <c r="AO52" t="s">
        <v>1142</v>
      </c>
      <c r="AP52" t="s">
        <v>1143</v>
      </c>
      <c r="AQ52" t="s">
        <v>74</v>
      </c>
      <c r="AR52" t="s">
        <v>1144</v>
      </c>
      <c r="AS52" t="s">
        <v>1145</v>
      </c>
      <c r="AT52" t="s">
        <v>1117</v>
      </c>
      <c r="AU52">
        <v>2018</v>
      </c>
      <c r="AV52">
        <v>221</v>
      </c>
      <c r="AW52" t="s">
        <v>74</v>
      </c>
      <c r="AX52" t="s">
        <v>74</v>
      </c>
      <c r="AY52" t="s">
        <v>74</v>
      </c>
      <c r="AZ52" t="s">
        <v>1146</v>
      </c>
      <c r="BA52" t="s">
        <v>74</v>
      </c>
      <c r="BB52">
        <v>406</v>
      </c>
      <c r="BC52">
        <v>420</v>
      </c>
      <c r="BD52" t="s">
        <v>74</v>
      </c>
      <c r="BE52" t="s">
        <v>1167</v>
      </c>
      <c r="BF52" t="str">
        <f>HYPERLINK("http://dx.doi.org/10.1016/j.gca.2017.04.021","http://dx.doi.org/10.1016/j.gca.2017.04.021")</f>
        <v>http://dx.doi.org/10.1016/j.gca.2017.04.021</v>
      </c>
      <c r="BG52" t="s">
        <v>74</v>
      </c>
      <c r="BH52" t="s">
        <v>74</v>
      </c>
      <c r="BI52">
        <v>15</v>
      </c>
      <c r="BJ52" t="s">
        <v>1148</v>
      </c>
      <c r="BK52" t="s">
        <v>101</v>
      </c>
      <c r="BL52" t="s">
        <v>1148</v>
      </c>
      <c r="BM52" t="s">
        <v>1149</v>
      </c>
      <c r="BN52" t="s">
        <v>74</v>
      </c>
      <c r="BO52" t="s">
        <v>1168</v>
      </c>
      <c r="BP52" t="s">
        <v>74</v>
      </c>
      <c r="BQ52" t="s">
        <v>74</v>
      </c>
      <c r="BR52" t="s">
        <v>105</v>
      </c>
      <c r="BS52" t="s">
        <v>1169</v>
      </c>
      <c r="BT52" t="str">
        <f>HYPERLINK("https%3A%2F%2Fwww.webofscience.com%2Fwos%2Fwoscc%2Ffull-record%2FWOS:000424797800023","View Full Record in Web of Science")</f>
        <v>View Full Record in Web of Science</v>
      </c>
    </row>
    <row r="53" spans="1:72" x14ac:dyDescent="0.15">
      <c r="A53" t="s">
        <v>72</v>
      </c>
      <c r="B53" t="s">
        <v>1170</v>
      </c>
      <c r="C53" t="s">
        <v>74</v>
      </c>
      <c r="D53" t="s">
        <v>74</v>
      </c>
      <c r="E53" t="s">
        <v>74</v>
      </c>
      <c r="F53" t="s">
        <v>1171</v>
      </c>
      <c r="G53" t="s">
        <v>74</v>
      </c>
      <c r="H53" t="s">
        <v>74</v>
      </c>
      <c r="I53" t="s">
        <v>1172</v>
      </c>
      <c r="J53" t="s">
        <v>1173</v>
      </c>
      <c r="K53" t="s">
        <v>74</v>
      </c>
      <c r="L53" t="s">
        <v>74</v>
      </c>
      <c r="M53" t="s">
        <v>78</v>
      </c>
      <c r="N53" t="s">
        <v>79</v>
      </c>
      <c r="O53" t="s">
        <v>74</v>
      </c>
      <c r="P53" t="s">
        <v>74</v>
      </c>
      <c r="Q53" t="s">
        <v>74</v>
      </c>
      <c r="R53" t="s">
        <v>74</v>
      </c>
      <c r="S53" t="s">
        <v>74</v>
      </c>
      <c r="T53" t="s">
        <v>1174</v>
      </c>
      <c r="U53" t="s">
        <v>1175</v>
      </c>
      <c r="V53" t="s">
        <v>1176</v>
      </c>
      <c r="W53" t="s">
        <v>1177</v>
      </c>
      <c r="X53" t="s">
        <v>1178</v>
      </c>
      <c r="Y53" t="s">
        <v>1179</v>
      </c>
      <c r="Z53" t="s">
        <v>1180</v>
      </c>
      <c r="AA53" t="s">
        <v>1181</v>
      </c>
      <c r="AB53" t="s">
        <v>1182</v>
      </c>
      <c r="AC53" t="s">
        <v>1183</v>
      </c>
      <c r="AD53" t="s">
        <v>1184</v>
      </c>
      <c r="AE53" t="s">
        <v>1185</v>
      </c>
      <c r="AF53" t="s">
        <v>74</v>
      </c>
      <c r="AG53">
        <v>128</v>
      </c>
      <c r="AH53">
        <v>4</v>
      </c>
      <c r="AI53">
        <v>5</v>
      </c>
      <c r="AJ53">
        <v>0</v>
      </c>
      <c r="AK53">
        <v>11</v>
      </c>
      <c r="AL53" t="s">
        <v>1186</v>
      </c>
      <c r="AM53" t="s">
        <v>808</v>
      </c>
      <c r="AN53" t="s">
        <v>1187</v>
      </c>
      <c r="AO53" t="s">
        <v>1188</v>
      </c>
      <c r="AP53" t="s">
        <v>1189</v>
      </c>
      <c r="AQ53" t="s">
        <v>74</v>
      </c>
      <c r="AR53" t="s">
        <v>1190</v>
      </c>
      <c r="AS53" t="s">
        <v>1191</v>
      </c>
      <c r="AT53" t="s">
        <v>1117</v>
      </c>
      <c r="AU53">
        <v>2018</v>
      </c>
      <c r="AV53">
        <v>490</v>
      </c>
      <c r="AW53" t="s">
        <v>74</v>
      </c>
      <c r="AX53" t="s">
        <v>74</v>
      </c>
      <c r="AY53" t="s">
        <v>74</v>
      </c>
      <c r="AZ53" t="s">
        <v>74</v>
      </c>
      <c r="BA53" t="s">
        <v>74</v>
      </c>
      <c r="BB53">
        <v>617</v>
      </c>
      <c r="BC53">
        <v>628</v>
      </c>
      <c r="BD53" t="s">
        <v>74</v>
      </c>
      <c r="BE53" t="s">
        <v>1192</v>
      </c>
      <c r="BF53" t="str">
        <f>HYPERLINK("http://dx.doi.org/10.1016/j.palaeo.2017.11.050","http://dx.doi.org/10.1016/j.palaeo.2017.11.050")</f>
        <v>http://dx.doi.org/10.1016/j.palaeo.2017.11.050</v>
      </c>
      <c r="BG53" t="s">
        <v>74</v>
      </c>
      <c r="BH53" t="s">
        <v>74</v>
      </c>
      <c r="BI53">
        <v>12</v>
      </c>
      <c r="BJ53" t="s">
        <v>1193</v>
      </c>
      <c r="BK53" t="s">
        <v>101</v>
      </c>
      <c r="BL53" t="s">
        <v>1194</v>
      </c>
      <c r="BM53" t="s">
        <v>1195</v>
      </c>
      <c r="BN53" t="s">
        <v>74</v>
      </c>
      <c r="BO53" t="s">
        <v>74</v>
      </c>
      <c r="BP53" t="s">
        <v>74</v>
      </c>
      <c r="BQ53" t="s">
        <v>74</v>
      </c>
      <c r="BR53" t="s">
        <v>105</v>
      </c>
      <c r="BS53" t="s">
        <v>1196</v>
      </c>
      <c r="BT53" t="str">
        <f>HYPERLINK("https%3A%2F%2Fwww.webofscience.com%2Fwos%2Fwoscc%2Ffull-record%2FWOS:000423637900044","View Full Record in Web of Science")</f>
        <v>View Full Record in Web of Science</v>
      </c>
    </row>
    <row r="54" spans="1:72" x14ac:dyDescent="0.15">
      <c r="A54" t="s">
        <v>72</v>
      </c>
      <c r="B54" t="s">
        <v>1197</v>
      </c>
      <c r="C54" t="s">
        <v>74</v>
      </c>
      <c r="D54" t="s">
        <v>74</v>
      </c>
      <c r="E54" t="s">
        <v>74</v>
      </c>
      <c r="F54" t="s">
        <v>1198</v>
      </c>
      <c r="G54" t="s">
        <v>74</v>
      </c>
      <c r="H54" t="s">
        <v>74</v>
      </c>
      <c r="I54" t="s">
        <v>1199</v>
      </c>
      <c r="J54" t="s">
        <v>1173</v>
      </c>
      <c r="K54" t="s">
        <v>74</v>
      </c>
      <c r="L54" t="s">
        <v>74</v>
      </c>
      <c r="M54" t="s">
        <v>78</v>
      </c>
      <c r="N54" t="s">
        <v>79</v>
      </c>
      <c r="O54" t="s">
        <v>74</v>
      </c>
      <c r="P54" t="s">
        <v>74</v>
      </c>
      <c r="Q54" t="s">
        <v>74</v>
      </c>
      <c r="R54" t="s">
        <v>74</v>
      </c>
      <c r="S54" t="s">
        <v>74</v>
      </c>
      <c r="T54" t="s">
        <v>1200</v>
      </c>
      <c r="U54" t="s">
        <v>1201</v>
      </c>
      <c r="V54" t="s">
        <v>1202</v>
      </c>
      <c r="W54" t="s">
        <v>1203</v>
      </c>
      <c r="X54" t="s">
        <v>1204</v>
      </c>
      <c r="Y54" t="s">
        <v>1205</v>
      </c>
      <c r="Z54" t="s">
        <v>1206</v>
      </c>
      <c r="AA54" t="s">
        <v>1207</v>
      </c>
      <c r="AB54" t="s">
        <v>74</v>
      </c>
      <c r="AC54" t="s">
        <v>1208</v>
      </c>
      <c r="AD54" t="s">
        <v>1209</v>
      </c>
      <c r="AE54" t="s">
        <v>1210</v>
      </c>
      <c r="AF54" t="s">
        <v>74</v>
      </c>
      <c r="AG54">
        <v>84</v>
      </c>
      <c r="AH54">
        <v>14</v>
      </c>
      <c r="AI54">
        <v>15</v>
      </c>
      <c r="AJ54">
        <v>4</v>
      </c>
      <c r="AK54">
        <v>35</v>
      </c>
      <c r="AL54" t="s">
        <v>807</v>
      </c>
      <c r="AM54" t="s">
        <v>808</v>
      </c>
      <c r="AN54" t="s">
        <v>809</v>
      </c>
      <c r="AO54" t="s">
        <v>1188</v>
      </c>
      <c r="AP54" t="s">
        <v>1189</v>
      </c>
      <c r="AQ54" t="s">
        <v>74</v>
      </c>
      <c r="AR54" t="s">
        <v>1190</v>
      </c>
      <c r="AS54" t="s">
        <v>1191</v>
      </c>
      <c r="AT54" t="s">
        <v>1117</v>
      </c>
      <c r="AU54">
        <v>2018</v>
      </c>
      <c r="AV54">
        <v>490</v>
      </c>
      <c r="AW54" t="s">
        <v>74</v>
      </c>
      <c r="AX54" t="s">
        <v>74</v>
      </c>
      <c r="AY54" t="s">
        <v>74</v>
      </c>
      <c r="AZ54" t="s">
        <v>74</v>
      </c>
      <c r="BA54" t="s">
        <v>74</v>
      </c>
      <c r="BB54">
        <v>629</v>
      </c>
      <c r="BC54">
        <v>639</v>
      </c>
      <c r="BD54" t="s">
        <v>74</v>
      </c>
      <c r="BE54" t="s">
        <v>1211</v>
      </c>
      <c r="BF54" t="str">
        <f>HYPERLINK("http://dx.doi.org/10.1016/j.palaeo.2017.11.053","http://dx.doi.org/10.1016/j.palaeo.2017.11.053")</f>
        <v>http://dx.doi.org/10.1016/j.palaeo.2017.11.053</v>
      </c>
      <c r="BG54" t="s">
        <v>74</v>
      </c>
      <c r="BH54" t="s">
        <v>74</v>
      </c>
      <c r="BI54">
        <v>11</v>
      </c>
      <c r="BJ54" t="s">
        <v>1193</v>
      </c>
      <c r="BK54" t="s">
        <v>101</v>
      </c>
      <c r="BL54" t="s">
        <v>1194</v>
      </c>
      <c r="BM54" t="s">
        <v>1195</v>
      </c>
      <c r="BN54" t="s">
        <v>74</v>
      </c>
      <c r="BO54" t="s">
        <v>74</v>
      </c>
      <c r="BP54" t="s">
        <v>74</v>
      </c>
      <c r="BQ54" t="s">
        <v>74</v>
      </c>
      <c r="BR54" t="s">
        <v>105</v>
      </c>
      <c r="BS54" t="s">
        <v>1212</v>
      </c>
      <c r="BT54" t="str">
        <f>HYPERLINK("https%3A%2F%2Fwww.webofscience.com%2Fwos%2Fwoscc%2Ffull-record%2FWOS:000423637900045","View Full Record in Web of Science")</f>
        <v>View Full Record in Web of Science</v>
      </c>
    </row>
    <row r="55" spans="1:72" x14ac:dyDescent="0.15">
      <c r="A55" t="s">
        <v>72</v>
      </c>
      <c r="B55" t="s">
        <v>1213</v>
      </c>
      <c r="C55" t="s">
        <v>74</v>
      </c>
      <c r="D55" t="s">
        <v>74</v>
      </c>
      <c r="E55" t="s">
        <v>74</v>
      </c>
      <c r="F55" t="s">
        <v>1214</v>
      </c>
      <c r="G55" t="s">
        <v>74</v>
      </c>
      <c r="H55" t="s">
        <v>74</v>
      </c>
      <c r="I55" t="s">
        <v>1215</v>
      </c>
      <c r="J55" t="s">
        <v>1216</v>
      </c>
      <c r="K55" t="s">
        <v>74</v>
      </c>
      <c r="L55" t="s">
        <v>74</v>
      </c>
      <c r="M55" t="s">
        <v>78</v>
      </c>
      <c r="N55" t="s">
        <v>79</v>
      </c>
      <c r="O55" t="s">
        <v>74</v>
      </c>
      <c r="P55" t="s">
        <v>74</v>
      </c>
      <c r="Q55" t="s">
        <v>74</v>
      </c>
      <c r="R55" t="s">
        <v>74</v>
      </c>
      <c r="S55" t="s">
        <v>74</v>
      </c>
      <c r="T55" t="s">
        <v>1217</v>
      </c>
      <c r="U55" t="s">
        <v>1218</v>
      </c>
      <c r="V55" t="s">
        <v>1219</v>
      </c>
      <c r="W55" t="s">
        <v>1220</v>
      </c>
      <c r="X55" t="s">
        <v>1221</v>
      </c>
      <c r="Y55" t="s">
        <v>1222</v>
      </c>
      <c r="Z55" t="s">
        <v>1223</v>
      </c>
      <c r="AA55" t="s">
        <v>74</v>
      </c>
      <c r="AB55" t="s">
        <v>1224</v>
      </c>
      <c r="AC55" t="s">
        <v>1225</v>
      </c>
      <c r="AD55" t="s">
        <v>1226</v>
      </c>
      <c r="AE55" t="s">
        <v>1227</v>
      </c>
      <c r="AF55" t="s">
        <v>74</v>
      </c>
      <c r="AG55">
        <v>43</v>
      </c>
      <c r="AH55">
        <v>7</v>
      </c>
      <c r="AI55">
        <v>9</v>
      </c>
      <c r="AJ55">
        <v>1</v>
      </c>
      <c r="AK55">
        <v>15</v>
      </c>
      <c r="AL55" t="s">
        <v>1186</v>
      </c>
      <c r="AM55" t="s">
        <v>808</v>
      </c>
      <c r="AN55" t="s">
        <v>1187</v>
      </c>
      <c r="AO55" t="s">
        <v>1228</v>
      </c>
      <c r="AP55" t="s">
        <v>1229</v>
      </c>
      <c r="AQ55" t="s">
        <v>74</v>
      </c>
      <c r="AR55" t="s">
        <v>1230</v>
      </c>
      <c r="AS55" t="s">
        <v>1231</v>
      </c>
      <c r="AT55" t="s">
        <v>1117</v>
      </c>
      <c r="AU55">
        <v>2018</v>
      </c>
      <c r="AV55">
        <v>482</v>
      </c>
      <c r="AW55" t="s">
        <v>74</v>
      </c>
      <c r="AX55" t="s">
        <v>74</v>
      </c>
      <c r="AY55" t="s">
        <v>74</v>
      </c>
      <c r="AZ55" t="s">
        <v>74</v>
      </c>
      <c r="BA55" t="s">
        <v>74</v>
      </c>
      <c r="BB55">
        <v>396</v>
      </c>
      <c r="BC55">
        <v>406</v>
      </c>
      <c r="BD55" t="s">
        <v>74</v>
      </c>
      <c r="BE55" t="s">
        <v>1232</v>
      </c>
      <c r="BF55" t="str">
        <f>HYPERLINK("http://dx.doi.org/10.1016/j.epsl.2017.11.038","http://dx.doi.org/10.1016/j.epsl.2017.11.038")</f>
        <v>http://dx.doi.org/10.1016/j.epsl.2017.11.038</v>
      </c>
      <c r="BG55" t="s">
        <v>74</v>
      </c>
      <c r="BH55" t="s">
        <v>74</v>
      </c>
      <c r="BI55">
        <v>11</v>
      </c>
      <c r="BJ55" t="s">
        <v>1148</v>
      </c>
      <c r="BK55" t="s">
        <v>101</v>
      </c>
      <c r="BL55" t="s">
        <v>1148</v>
      </c>
      <c r="BM55" t="s">
        <v>1233</v>
      </c>
      <c r="BN55" t="s">
        <v>74</v>
      </c>
      <c r="BO55" t="s">
        <v>1150</v>
      </c>
      <c r="BP55" t="s">
        <v>74</v>
      </c>
      <c r="BQ55" t="s">
        <v>74</v>
      </c>
      <c r="BR55" t="s">
        <v>105</v>
      </c>
      <c r="BS55" t="s">
        <v>1234</v>
      </c>
      <c r="BT55" t="str">
        <f>HYPERLINK("https%3A%2F%2Fwww.webofscience.com%2Fwos%2Fwoscc%2Ffull-record%2FWOS:000423892400038","View Full Record in Web of Science")</f>
        <v>View Full Record in Web of Science</v>
      </c>
    </row>
    <row r="56" spans="1:72" x14ac:dyDescent="0.15">
      <c r="A56" t="s">
        <v>72</v>
      </c>
      <c r="B56" t="s">
        <v>1235</v>
      </c>
      <c r="C56" t="s">
        <v>74</v>
      </c>
      <c r="D56" t="s">
        <v>74</v>
      </c>
      <c r="E56" t="s">
        <v>74</v>
      </c>
      <c r="F56" t="s">
        <v>1236</v>
      </c>
      <c r="G56" t="s">
        <v>74</v>
      </c>
      <c r="H56" t="s">
        <v>74</v>
      </c>
      <c r="I56" t="s">
        <v>1237</v>
      </c>
      <c r="J56" t="s">
        <v>1238</v>
      </c>
      <c r="K56" t="s">
        <v>74</v>
      </c>
      <c r="L56" t="s">
        <v>74</v>
      </c>
      <c r="M56" t="s">
        <v>78</v>
      </c>
      <c r="N56" t="s">
        <v>79</v>
      </c>
      <c r="O56" t="s">
        <v>74</v>
      </c>
      <c r="P56" t="s">
        <v>74</v>
      </c>
      <c r="Q56" t="s">
        <v>74</v>
      </c>
      <c r="R56" t="s">
        <v>74</v>
      </c>
      <c r="S56" t="s">
        <v>74</v>
      </c>
      <c r="T56" t="s">
        <v>74</v>
      </c>
      <c r="U56" t="s">
        <v>1239</v>
      </c>
      <c r="V56" t="s">
        <v>1240</v>
      </c>
      <c r="W56" t="s">
        <v>1241</v>
      </c>
      <c r="X56" t="s">
        <v>1242</v>
      </c>
      <c r="Y56" t="s">
        <v>1243</v>
      </c>
      <c r="Z56" t="s">
        <v>1244</v>
      </c>
      <c r="AA56" t="s">
        <v>1245</v>
      </c>
      <c r="AB56" t="s">
        <v>1246</v>
      </c>
      <c r="AC56" t="s">
        <v>1247</v>
      </c>
      <c r="AD56" t="s">
        <v>1248</v>
      </c>
      <c r="AE56" t="s">
        <v>1249</v>
      </c>
      <c r="AF56" t="s">
        <v>74</v>
      </c>
      <c r="AG56">
        <v>42</v>
      </c>
      <c r="AH56">
        <v>22</v>
      </c>
      <c r="AI56">
        <v>24</v>
      </c>
      <c r="AJ56">
        <v>0</v>
      </c>
      <c r="AK56">
        <v>10</v>
      </c>
      <c r="AL56" t="s">
        <v>149</v>
      </c>
      <c r="AM56" t="s">
        <v>150</v>
      </c>
      <c r="AN56" t="s">
        <v>151</v>
      </c>
      <c r="AO56" t="s">
        <v>1250</v>
      </c>
      <c r="AP56" t="s">
        <v>1251</v>
      </c>
      <c r="AQ56" t="s">
        <v>74</v>
      </c>
      <c r="AR56" t="s">
        <v>1238</v>
      </c>
      <c r="AS56" t="s">
        <v>1252</v>
      </c>
      <c r="AT56" t="s">
        <v>1117</v>
      </c>
      <c r="AU56">
        <v>2018</v>
      </c>
      <c r="AV56">
        <v>9</v>
      </c>
      <c r="AW56">
        <v>1</v>
      </c>
      <c r="AX56" t="s">
        <v>74</v>
      </c>
      <c r="AY56" t="s">
        <v>74</v>
      </c>
      <c r="AZ56" t="s">
        <v>74</v>
      </c>
      <c r="BA56" t="s">
        <v>74</v>
      </c>
      <c r="BB56">
        <v>25</v>
      </c>
      <c r="BC56">
        <v>37</v>
      </c>
      <c r="BD56" t="s">
        <v>74</v>
      </c>
      <c r="BE56" t="s">
        <v>1253</v>
      </c>
      <c r="BF56" t="str">
        <f>HYPERLINK("http://dx.doi.org/10.5194/se-9-25-2018","http://dx.doi.org/10.5194/se-9-25-2018")</f>
        <v>http://dx.doi.org/10.5194/se-9-25-2018</v>
      </c>
      <c r="BG56" t="s">
        <v>74</v>
      </c>
      <c r="BH56" t="s">
        <v>74</v>
      </c>
      <c r="BI56">
        <v>13</v>
      </c>
      <c r="BJ56" t="s">
        <v>1148</v>
      </c>
      <c r="BK56" t="s">
        <v>101</v>
      </c>
      <c r="BL56" t="s">
        <v>1148</v>
      </c>
      <c r="BM56" t="s">
        <v>1254</v>
      </c>
      <c r="BN56" t="s">
        <v>74</v>
      </c>
      <c r="BO56" t="s">
        <v>236</v>
      </c>
      <c r="BP56" t="s">
        <v>74</v>
      </c>
      <c r="BQ56" t="s">
        <v>74</v>
      </c>
      <c r="BR56" t="s">
        <v>105</v>
      </c>
      <c r="BS56" t="s">
        <v>1255</v>
      </c>
      <c r="BT56" t="str">
        <f>HYPERLINK("https%3A%2F%2Fwww.webofscience.com%2Fwos%2Fwoscc%2Ffull-record%2FWOS:000422805000001","View Full Record in Web of Science")</f>
        <v>View Full Record in Web of Science</v>
      </c>
    </row>
    <row r="57" spans="1:72" x14ac:dyDescent="0.15">
      <c r="A57" t="s">
        <v>72</v>
      </c>
      <c r="B57" t="s">
        <v>1256</v>
      </c>
      <c r="C57" t="s">
        <v>74</v>
      </c>
      <c r="D57" t="s">
        <v>74</v>
      </c>
      <c r="E57" t="s">
        <v>74</v>
      </c>
      <c r="F57" t="s">
        <v>1257</v>
      </c>
      <c r="G57" t="s">
        <v>74</v>
      </c>
      <c r="H57" t="s">
        <v>74</v>
      </c>
      <c r="I57" t="s">
        <v>1258</v>
      </c>
      <c r="J57" t="s">
        <v>1259</v>
      </c>
      <c r="K57" t="s">
        <v>74</v>
      </c>
      <c r="L57" t="s">
        <v>74</v>
      </c>
      <c r="M57" t="s">
        <v>78</v>
      </c>
      <c r="N57" t="s">
        <v>79</v>
      </c>
      <c r="O57" t="s">
        <v>74</v>
      </c>
      <c r="P57" t="s">
        <v>74</v>
      </c>
      <c r="Q57" t="s">
        <v>74</v>
      </c>
      <c r="R57" t="s">
        <v>74</v>
      </c>
      <c r="S57" t="s">
        <v>74</v>
      </c>
      <c r="T57" t="s">
        <v>74</v>
      </c>
      <c r="U57" t="s">
        <v>1260</v>
      </c>
      <c r="V57" t="s">
        <v>1261</v>
      </c>
      <c r="W57" t="s">
        <v>1262</v>
      </c>
      <c r="X57" t="s">
        <v>1263</v>
      </c>
      <c r="Y57" t="s">
        <v>1264</v>
      </c>
      <c r="Z57" t="s">
        <v>1265</v>
      </c>
      <c r="AA57" t="s">
        <v>74</v>
      </c>
      <c r="AB57" t="s">
        <v>74</v>
      </c>
      <c r="AC57" t="s">
        <v>74</v>
      </c>
      <c r="AD57" t="s">
        <v>74</v>
      </c>
      <c r="AE57" t="s">
        <v>74</v>
      </c>
      <c r="AF57" t="s">
        <v>74</v>
      </c>
      <c r="AG57">
        <v>58</v>
      </c>
      <c r="AH57">
        <v>47</v>
      </c>
      <c r="AI57">
        <v>54</v>
      </c>
      <c r="AJ57">
        <v>1</v>
      </c>
      <c r="AK57">
        <v>39</v>
      </c>
      <c r="AL57" t="s">
        <v>1266</v>
      </c>
      <c r="AM57" t="s">
        <v>1267</v>
      </c>
      <c r="AN57" t="s">
        <v>1268</v>
      </c>
      <c r="AO57" t="s">
        <v>1269</v>
      </c>
      <c r="AP57" t="s">
        <v>1270</v>
      </c>
      <c r="AQ57" t="s">
        <v>74</v>
      </c>
      <c r="AR57" t="s">
        <v>1259</v>
      </c>
      <c r="AS57" t="s">
        <v>1271</v>
      </c>
      <c r="AT57" t="s">
        <v>1117</v>
      </c>
      <c r="AU57">
        <v>2018</v>
      </c>
      <c r="AV57">
        <v>300</v>
      </c>
      <c r="AW57" t="s">
        <v>74</v>
      </c>
      <c r="AX57" t="s">
        <v>74</v>
      </c>
      <c r="AY57" t="s">
        <v>74</v>
      </c>
      <c r="AZ57" t="s">
        <v>74</v>
      </c>
      <c r="BA57" t="s">
        <v>74</v>
      </c>
      <c r="BB57">
        <v>261</v>
      </c>
      <c r="BC57">
        <v>286</v>
      </c>
      <c r="BD57" t="s">
        <v>74</v>
      </c>
      <c r="BE57" t="s">
        <v>1272</v>
      </c>
      <c r="BF57" t="str">
        <f>HYPERLINK("http://dx.doi.org/10.1016/j.icarus.2017.09.007","http://dx.doi.org/10.1016/j.icarus.2017.09.007")</f>
        <v>http://dx.doi.org/10.1016/j.icarus.2017.09.007</v>
      </c>
      <c r="BG57" t="s">
        <v>74</v>
      </c>
      <c r="BH57" t="s">
        <v>74</v>
      </c>
      <c r="BI57">
        <v>26</v>
      </c>
      <c r="BJ57" t="s">
        <v>787</v>
      </c>
      <c r="BK57" t="s">
        <v>101</v>
      </c>
      <c r="BL57" t="s">
        <v>787</v>
      </c>
      <c r="BM57" t="s">
        <v>1273</v>
      </c>
      <c r="BN57" t="s">
        <v>74</v>
      </c>
      <c r="BO57" t="s">
        <v>74</v>
      </c>
      <c r="BP57" t="s">
        <v>74</v>
      </c>
      <c r="BQ57" t="s">
        <v>74</v>
      </c>
      <c r="BR57" t="s">
        <v>105</v>
      </c>
      <c r="BS57" t="s">
        <v>1274</v>
      </c>
      <c r="BT57" t="str">
        <f>HYPERLINK("https%3A%2F%2Fwww.webofscience.com%2Fwos%2Fwoscc%2Ffull-record%2FWOS:000414507300021","View Full Record in Web of Science")</f>
        <v>View Full Record in Web of Science</v>
      </c>
    </row>
    <row r="58" spans="1:72" x14ac:dyDescent="0.15">
      <c r="A58" t="s">
        <v>72</v>
      </c>
      <c r="B58" t="s">
        <v>1275</v>
      </c>
      <c r="C58" t="s">
        <v>74</v>
      </c>
      <c r="D58" t="s">
        <v>74</v>
      </c>
      <c r="E58" t="s">
        <v>74</v>
      </c>
      <c r="F58" t="s">
        <v>1276</v>
      </c>
      <c r="G58" t="s">
        <v>74</v>
      </c>
      <c r="H58" t="s">
        <v>74</v>
      </c>
      <c r="I58" t="s">
        <v>1277</v>
      </c>
      <c r="J58" t="s">
        <v>1100</v>
      </c>
      <c r="K58" t="s">
        <v>74</v>
      </c>
      <c r="L58" t="s">
        <v>74</v>
      </c>
      <c r="M58" t="s">
        <v>78</v>
      </c>
      <c r="N58" t="s">
        <v>79</v>
      </c>
      <c r="O58" t="s">
        <v>74</v>
      </c>
      <c r="P58" t="s">
        <v>74</v>
      </c>
      <c r="Q58" t="s">
        <v>74</v>
      </c>
      <c r="R58" t="s">
        <v>74</v>
      </c>
      <c r="S58" t="s">
        <v>74</v>
      </c>
      <c r="T58" t="s">
        <v>1278</v>
      </c>
      <c r="U58" t="s">
        <v>1279</v>
      </c>
      <c r="V58" t="s">
        <v>1280</v>
      </c>
      <c r="W58" t="s">
        <v>1281</v>
      </c>
      <c r="X58" t="s">
        <v>1282</v>
      </c>
      <c r="Y58" t="s">
        <v>1283</v>
      </c>
      <c r="Z58" t="s">
        <v>1284</v>
      </c>
      <c r="AA58" t="s">
        <v>74</v>
      </c>
      <c r="AB58" t="s">
        <v>1285</v>
      </c>
      <c r="AC58" t="s">
        <v>1286</v>
      </c>
      <c r="AD58" t="s">
        <v>1286</v>
      </c>
      <c r="AE58" t="s">
        <v>1287</v>
      </c>
      <c r="AF58" t="s">
        <v>74</v>
      </c>
      <c r="AG58">
        <v>61</v>
      </c>
      <c r="AH58">
        <v>8</v>
      </c>
      <c r="AI58">
        <v>8</v>
      </c>
      <c r="AJ58">
        <v>0</v>
      </c>
      <c r="AK58">
        <v>19</v>
      </c>
      <c r="AL58" t="s">
        <v>1186</v>
      </c>
      <c r="AM58" t="s">
        <v>808</v>
      </c>
      <c r="AN58" t="s">
        <v>1187</v>
      </c>
      <c r="AO58" t="s">
        <v>1113</v>
      </c>
      <c r="AP58" t="s">
        <v>1114</v>
      </c>
      <c r="AQ58" t="s">
        <v>74</v>
      </c>
      <c r="AR58" t="s">
        <v>1115</v>
      </c>
      <c r="AS58" t="s">
        <v>1116</v>
      </c>
      <c r="AT58" t="s">
        <v>1117</v>
      </c>
      <c r="AU58">
        <v>2018</v>
      </c>
      <c r="AV58">
        <v>612</v>
      </c>
      <c r="AW58" t="s">
        <v>74</v>
      </c>
      <c r="AX58" t="s">
        <v>74</v>
      </c>
      <c r="AY58" t="s">
        <v>74</v>
      </c>
      <c r="AZ58" t="s">
        <v>74</v>
      </c>
      <c r="BA58" t="s">
        <v>74</v>
      </c>
      <c r="BB58">
        <v>276</v>
      </c>
      <c r="BC58">
        <v>285</v>
      </c>
      <c r="BD58" t="s">
        <v>74</v>
      </c>
      <c r="BE58" t="s">
        <v>1288</v>
      </c>
      <c r="BF58" t="str">
        <f>HYPERLINK("http://dx.doi.org/10.1016/j.scitotenv.2017.08.247","http://dx.doi.org/10.1016/j.scitotenv.2017.08.247")</f>
        <v>http://dx.doi.org/10.1016/j.scitotenv.2017.08.247</v>
      </c>
      <c r="BG58" t="s">
        <v>74</v>
      </c>
      <c r="BH58" t="s">
        <v>74</v>
      </c>
      <c r="BI58">
        <v>10</v>
      </c>
      <c r="BJ58" t="s">
        <v>1119</v>
      </c>
      <c r="BK58" t="s">
        <v>101</v>
      </c>
      <c r="BL58" t="s">
        <v>1120</v>
      </c>
      <c r="BM58" t="s">
        <v>1121</v>
      </c>
      <c r="BN58">
        <v>28850848</v>
      </c>
      <c r="BO58" t="s">
        <v>74</v>
      </c>
      <c r="BP58" t="s">
        <v>74</v>
      </c>
      <c r="BQ58" t="s">
        <v>74</v>
      </c>
      <c r="BR58" t="s">
        <v>105</v>
      </c>
      <c r="BS58" t="s">
        <v>1289</v>
      </c>
      <c r="BT58" t="str">
        <f>HYPERLINK("https%3A%2F%2Fwww.webofscience.com%2Fwos%2Fwoscc%2Ffull-record%2FWOS:000413313700028","View Full Record in Web of Science")</f>
        <v>View Full Record in Web of Science</v>
      </c>
    </row>
    <row r="59" spans="1:72" x14ac:dyDescent="0.15">
      <c r="A59" t="s">
        <v>72</v>
      </c>
      <c r="B59" t="s">
        <v>1290</v>
      </c>
      <c r="C59" t="s">
        <v>74</v>
      </c>
      <c r="D59" t="s">
        <v>74</v>
      </c>
      <c r="E59" t="s">
        <v>74</v>
      </c>
      <c r="F59" t="s">
        <v>1291</v>
      </c>
      <c r="G59" t="s">
        <v>74</v>
      </c>
      <c r="H59" t="s">
        <v>74</v>
      </c>
      <c r="I59" t="s">
        <v>1292</v>
      </c>
      <c r="J59" t="s">
        <v>499</v>
      </c>
      <c r="K59" t="s">
        <v>74</v>
      </c>
      <c r="L59" t="s">
        <v>74</v>
      </c>
      <c r="M59" t="s">
        <v>78</v>
      </c>
      <c r="N59" t="s">
        <v>79</v>
      </c>
      <c r="O59" t="s">
        <v>74</v>
      </c>
      <c r="P59" t="s">
        <v>74</v>
      </c>
      <c r="Q59" t="s">
        <v>74</v>
      </c>
      <c r="R59" t="s">
        <v>74</v>
      </c>
      <c r="S59" t="s">
        <v>74</v>
      </c>
      <c r="T59" t="s">
        <v>1293</v>
      </c>
      <c r="U59" t="s">
        <v>1294</v>
      </c>
      <c r="V59" t="s">
        <v>1295</v>
      </c>
      <c r="W59" t="s">
        <v>1296</v>
      </c>
      <c r="X59" t="s">
        <v>1297</v>
      </c>
      <c r="Y59" t="s">
        <v>1298</v>
      </c>
      <c r="Z59" t="s">
        <v>1299</v>
      </c>
      <c r="AA59" t="s">
        <v>1300</v>
      </c>
      <c r="AB59" t="s">
        <v>1301</v>
      </c>
      <c r="AC59" t="s">
        <v>1302</v>
      </c>
      <c r="AD59" t="s">
        <v>1303</v>
      </c>
      <c r="AE59" t="s">
        <v>1304</v>
      </c>
      <c r="AF59" t="s">
        <v>74</v>
      </c>
      <c r="AG59">
        <v>108</v>
      </c>
      <c r="AH59">
        <v>18</v>
      </c>
      <c r="AI59">
        <v>20</v>
      </c>
      <c r="AJ59">
        <v>0</v>
      </c>
      <c r="AK59">
        <v>36</v>
      </c>
      <c r="AL59" t="s">
        <v>512</v>
      </c>
      <c r="AM59" t="s">
        <v>513</v>
      </c>
      <c r="AN59" t="s">
        <v>514</v>
      </c>
      <c r="AO59" t="s">
        <v>515</v>
      </c>
      <c r="AP59" t="s">
        <v>516</v>
      </c>
      <c r="AQ59" t="s">
        <v>74</v>
      </c>
      <c r="AR59" t="s">
        <v>517</v>
      </c>
      <c r="AS59" t="s">
        <v>518</v>
      </c>
      <c r="AT59" t="s">
        <v>1305</v>
      </c>
      <c r="AU59">
        <v>2018</v>
      </c>
      <c r="AV59">
        <v>586</v>
      </c>
      <c r="AW59" t="s">
        <v>74</v>
      </c>
      <c r="AX59" t="s">
        <v>74</v>
      </c>
      <c r="AY59" t="s">
        <v>74</v>
      </c>
      <c r="AZ59" t="s">
        <v>74</v>
      </c>
      <c r="BA59" t="s">
        <v>74</v>
      </c>
      <c r="BB59">
        <v>91</v>
      </c>
      <c r="BC59">
        <v>112</v>
      </c>
      <c r="BD59" t="s">
        <v>74</v>
      </c>
      <c r="BE59" t="s">
        <v>1306</v>
      </c>
      <c r="BF59" t="str">
        <f>HYPERLINK("http://dx.doi.org/10.3354/meps12367","http://dx.doi.org/10.3354/meps12367")</f>
        <v>http://dx.doi.org/10.3354/meps12367</v>
      </c>
      <c r="BG59" t="s">
        <v>74</v>
      </c>
      <c r="BH59" t="s">
        <v>74</v>
      </c>
      <c r="BI59">
        <v>22</v>
      </c>
      <c r="BJ59" t="s">
        <v>521</v>
      </c>
      <c r="BK59" t="s">
        <v>101</v>
      </c>
      <c r="BL59" t="s">
        <v>522</v>
      </c>
      <c r="BM59" t="s">
        <v>1307</v>
      </c>
      <c r="BN59" t="s">
        <v>74</v>
      </c>
      <c r="BO59" t="s">
        <v>432</v>
      </c>
      <c r="BP59" t="s">
        <v>74</v>
      </c>
      <c r="BQ59" t="s">
        <v>74</v>
      </c>
      <c r="BR59" t="s">
        <v>105</v>
      </c>
      <c r="BS59" t="s">
        <v>1308</v>
      </c>
      <c r="BT59" t="str">
        <f>HYPERLINK("https%3A%2F%2Fwww.webofscience.com%2Fwos%2Fwoscc%2Ffull-record%2FWOS:000422850500007","View Full Record in Web of Science")</f>
        <v>View Full Record in Web of Science</v>
      </c>
    </row>
    <row r="60" spans="1:72" x14ac:dyDescent="0.15">
      <c r="A60" t="s">
        <v>72</v>
      </c>
      <c r="B60" t="s">
        <v>1309</v>
      </c>
      <c r="C60" t="s">
        <v>74</v>
      </c>
      <c r="D60" t="s">
        <v>74</v>
      </c>
      <c r="E60" t="s">
        <v>74</v>
      </c>
      <c r="F60" t="s">
        <v>1310</v>
      </c>
      <c r="G60" t="s">
        <v>74</v>
      </c>
      <c r="H60" t="s">
        <v>74</v>
      </c>
      <c r="I60" t="s">
        <v>1311</v>
      </c>
      <c r="J60" t="s">
        <v>901</v>
      </c>
      <c r="K60" t="s">
        <v>74</v>
      </c>
      <c r="L60" t="s">
        <v>74</v>
      </c>
      <c r="M60" t="s">
        <v>78</v>
      </c>
      <c r="N60" t="s">
        <v>79</v>
      </c>
      <c r="O60" t="s">
        <v>74</v>
      </c>
      <c r="P60" t="s">
        <v>74</v>
      </c>
      <c r="Q60" t="s">
        <v>74</v>
      </c>
      <c r="R60" t="s">
        <v>74</v>
      </c>
      <c r="S60" t="s">
        <v>74</v>
      </c>
      <c r="T60" t="s">
        <v>1312</v>
      </c>
      <c r="U60" t="s">
        <v>1313</v>
      </c>
      <c r="V60" t="s">
        <v>1314</v>
      </c>
      <c r="W60" t="s">
        <v>1315</v>
      </c>
      <c r="X60" t="s">
        <v>1316</v>
      </c>
      <c r="Y60" t="s">
        <v>1317</v>
      </c>
      <c r="Z60" t="s">
        <v>1318</v>
      </c>
      <c r="AA60" t="s">
        <v>1319</v>
      </c>
      <c r="AB60" t="s">
        <v>1320</v>
      </c>
      <c r="AC60" t="s">
        <v>1321</v>
      </c>
      <c r="AD60" t="s">
        <v>1322</v>
      </c>
      <c r="AE60" t="s">
        <v>1323</v>
      </c>
      <c r="AF60" t="s">
        <v>74</v>
      </c>
      <c r="AG60">
        <v>168</v>
      </c>
      <c r="AH60">
        <v>29</v>
      </c>
      <c r="AI60">
        <v>30</v>
      </c>
      <c r="AJ60">
        <v>0</v>
      </c>
      <c r="AK60">
        <v>11</v>
      </c>
      <c r="AL60" t="s">
        <v>913</v>
      </c>
      <c r="AM60" t="s">
        <v>92</v>
      </c>
      <c r="AN60" t="s">
        <v>914</v>
      </c>
      <c r="AO60" t="s">
        <v>915</v>
      </c>
      <c r="AP60" t="s">
        <v>74</v>
      </c>
      <c r="AQ60" t="s">
        <v>74</v>
      </c>
      <c r="AR60" t="s">
        <v>901</v>
      </c>
      <c r="AS60" t="s">
        <v>916</v>
      </c>
      <c r="AT60" t="s">
        <v>1305</v>
      </c>
      <c r="AU60">
        <v>2018</v>
      </c>
      <c r="AV60">
        <v>6</v>
      </c>
      <c r="AW60" t="s">
        <v>74</v>
      </c>
      <c r="AX60" t="s">
        <v>74</v>
      </c>
      <c r="AY60" t="s">
        <v>74</v>
      </c>
      <c r="AZ60" t="s">
        <v>74</v>
      </c>
      <c r="BA60" t="s">
        <v>74</v>
      </c>
      <c r="BB60" t="s">
        <v>74</v>
      </c>
      <c r="BC60" t="s">
        <v>74</v>
      </c>
      <c r="BD60" t="s">
        <v>1324</v>
      </c>
      <c r="BE60" t="s">
        <v>1325</v>
      </c>
      <c r="BF60" t="str">
        <f>HYPERLINK("http://dx.doi.org/10.7717/peerj.4113","http://dx.doi.org/10.7717/peerj.4113")</f>
        <v>http://dx.doi.org/10.7717/peerj.4113</v>
      </c>
      <c r="BG60" t="s">
        <v>74</v>
      </c>
      <c r="BH60" t="s">
        <v>74</v>
      </c>
      <c r="BI60">
        <v>77</v>
      </c>
      <c r="BJ60" t="s">
        <v>129</v>
      </c>
      <c r="BK60" t="s">
        <v>101</v>
      </c>
      <c r="BL60" t="s">
        <v>130</v>
      </c>
      <c r="BM60" t="s">
        <v>1326</v>
      </c>
      <c r="BN60">
        <v>29340228</v>
      </c>
      <c r="BO60" t="s">
        <v>630</v>
      </c>
      <c r="BP60" t="s">
        <v>74</v>
      </c>
      <c r="BQ60" t="s">
        <v>74</v>
      </c>
      <c r="BR60" t="s">
        <v>105</v>
      </c>
      <c r="BS60" t="s">
        <v>1327</v>
      </c>
      <c r="BT60" t="str">
        <f>HYPERLINK("https%3A%2F%2Fwww.webofscience.com%2Fwos%2Fwoscc%2Ffull-record%2FWOS:000423135200004","View Full Record in Web of Science")</f>
        <v>View Full Record in Web of Science</v>
      </c>
    </row>
    <row r="61" spans="1:72" x14ac:dyDescent="0.15">
      <c r="A61" t="s">
        <v>72</v>
      </c>
      <c r="B61" t="s">
        <v>1328</v>
      </c>
      <c r="C61" t="s">
        <v>74</v>
      </c>
      <c r="D61" t="s">
        <v>74</v>
      </c>
      <c r="E61" t="s">
        <v>74</v>
      </c>
      <c r="F61" t="s">
        <v>1329</v>
      </c>
      <c r="G61" t="s">
        <v>74</v>
      </c>
      <c r="H61" t="s">
        <v>74</v>
      </c>
      <c r="I61" t="s">
        <v>1330</v>
      </c>
      <c r="J61" t="s">
        <v>1331</v>
      </c>
      <c r="K61" t="s">
        <v>74</v>
      </c>
      <c r="L61" t="s">
        <v>74</v>
      </c>
      <c r="M61" t="s">
        <v>78</v>
      </c>
      <c r="N61" t="s">
        <v>289</v>
      </c>
      <c r="O61" t="s">
        <v>74</v>
      </c>
      <c r="P61" t="s">
        <v>74</v>
      </c>
      <c r="Q61" t="s">
        <v>74</v>
      </c>
      <c r="R61" t="s">
        <v>74</v>
      </c>
      <c r="S61" t="s">
        <v>74</v>
      </c>
      <c r="T61" t="s">
        <v>1332</v>
      </c>
      <c r="U61" t="s">
        <v>1333</v>
      </c>
      <c r="V61" t="s">
        <v>1334</v>
      </c>
      <c r="W61" t="s">
        <v>1335</v>
      </c>
      <c r="X61" t="s">
        <v>1336</v>
      </c>
      <c r="Y61" t="s">
        <v>1337</v>
      </c>
      <c r="Z61" t="s">
        <v>1338</v>
      </c>
      <c r="AA61" t="s">
        <v>1339</v>
      </c>
      <c r="AB61" t="s">
        <v>1340</v>
      </c>
      <c r="AC61" t="s">
        <v>1341</v>
      </c>
      <c r="AD61" t="s">
        <v>1342</v>
      </c>
      <c r="AE61" t="s">
        <v>1343</v>
      </c>
      <c r="AF61" t="s">
        <v>74</v>
      </c>
      <c r="AG61">
        <v>172</v>
      </c>
      <c r="AH61">
        <v>105</v>
      </c>
      <c r="AI61">
        <v>110</v>
      </c>
      <c r="AJ61">
        <v>5</v>
      </c>
      <c r="AK61">
        <v>93</v>
      </c>
      <c r="AL61" t="s">
        <v>1344</v>
      </c>
      <c r="AM61" t="s">
        <v>1345</v>
      </c>
      <c r="AN61" t="s">
        <v>1346</v>
      </c>
      <c r="AO61" t="s">
        <v>1347</v>
      </c>
      <c r="AP61" t="s">
        <v>74</v>
      </c>
      <c r="AQ61" t="s">
        <v>74</v>
      </c>
      <c r="AR61" t="s">
        <v>1348</v>
      </c>
      <c r="AS61" t="s">
        <v>1349</v>
      </c>
      <c r="AT61" t="s">
        <v>1305</v>
      </c>
      <c r="AU61">
        <v>2018</v>
      </c>
      <c r="AV61">
        <v>6</v>
      </c>
      <c r="AW61" t="s">
        <v>74</v>
      </c>
      <c r="AX61" t="s">
        <v>74</v>
      </c>
      <c r="AY61" t="s">
        <v>74</v>
      </c>
      <c r="AZ61" t="s">
        <v>74</v>
      </c>
      <c r="BA61" t="s">
        <v>74</v>
      </c>
      <c r="BB61" t="s">
        <v>74</v>
      </c>
      <c r="BC61" t="s">
        <v>74</v>
      </c>
      <c r="BD61">
        <v>4</v>
      </c>
      <c r="BE61" t="s">
        <v>1350</v>
      </c>
      <c r="BF61" t="str">
        <f>HYPERLINK("http://dx.doi.org/10.1525/elementa.267","http://dx.doi.org/10.1525/elementa.267")</f>
        <v>http://dx.doi.org/10.1525/elementa.267</v>
      </c>
      <c r="BG61" t="s">
        <v>74</v>
      </c>
      <c r="BH61" t="s">
        <v>74</v>
      </c>
      <c r="BI61">
        <v>25</v>
      </c>
      <c r="BJ61" t="s">
        <v>183</v>
      </c>
      <c r="BK61" t="s">
        <v>101</v>
      </c>
      <c r="BL61" t="s">
        <v>184</v>
      </c>
      <c r="BM61" t="s">
        <v>1351</v>
      </c>
      <c r="BN61" t="s">
        <v>74</v>
      </c>
      <c r="BO61" t="s">
        <v>630</v>
      </c>
      <c r="BP61" t="s">
        <v>74</v>
      </c>
      <c r="BQ61" t="s">
        <v>74</v>
      </c>
      <c r="BR61" t="s">
        <v>105</v>
      </c>
      <c r="BS61" t="s">
        <v>1352</v>
      </c>
      <c r="BT61" t="str">
        <f>HYPERLINK("https%3A%2F%2Fwww.webofscience.com%2Fwos%2Fwoscc%2Ffull-record%2FWOS:000422719500001","View Full Record in Web of Science")</f>
        <v>View Full Record in Web of Science</v>
      </c>
    </row>
    <row r="62" spans="1:72" x14ac:dyDescent="0.15">
      <c r="A62" t="s">
        <v>72</v>
      </c>
      <c r="B62" t="s">
        <v>1353</v>
      </c>
      <c r="C62" t="s">
        <v>74</v>
      </c>
      <c r="D62" t="s">
        <v>74</v>
      </c>
      <c r="E62" t="s">
        <v>74</v>
      </c>
      <c r="F62" t="s">
        <v>1354</v>
      </c>
      <c r="G62" t="s">
        <v>74</v>
      </c>
      <c r="H62" t="s">
        <v>74</v>
      </c>
      <c r="I62" t="s">
        <v>1355</v>
      </c>
      <c r="J62" t="s">
        <v>137</v>
      </c>
      <c r="K62" t="s">
        <v>74</v>
      </c>
      <c r="L62" t="s">
        <v>74</v>
      </c>
      <c r="M62" t="s">
        <v>78</v>
      </c>
      <c r="N62" t="s">
        <v>79</v>
      </c>
      <c r="O62" t="s">
        <v>74</v>
      </c>
      <c r="P62" t="s">
        <v>74</v>
      </c>
      <c r="Q62" t="s">
        <v>74</v>
      </c>
      <c r="R62" t="s">
        <v>74</v>
      </c>
      <c r="S62" t="s">
        <v>74</v>
      </c>
      <c r="T62" t="s">
        <v>74</v>
      </c>
      <c r="U62" t="s">
        <v>1356</v>
      </c>
      <c r="V62" t="s">
        <v>1357</v>
      </c>
      <c r="W62" t="s">
        <v>1358</v>
      </c>
      <c r="X62" t="s">
        <v>1359</v>
      </c>
      <c r="Y62" t="s">
        <v>1360</v>
      </c>
      <c r="Z62" t="s">
        <v>1361</v>
      </c>
      <c r="AA62" t="s">
        <v>1362</v>
      </c>
      <c r="AB62" t="s">
        <v>1363</v>
      </c>
      <c r="AC62" t="s">
        <v>1364</v>
      </c>
      <c r="AD62" t="s">
        <v>1365</v>
      </c>
      <c r="AE62" t="s">
        <v>1366</v>
      </c>
      <c r="AF62" t="s">
        <v>74</v>
      </c>
      <c r="AG62">
        <v>151</v>
      </c>
      <c r="AH62">
        <v>27</v>
      </c>
      <c r="AI62">
        <v>27</v>
      </c>
      <c r="AJ62">
        <v>5</v>
      </c>
      <c r="AK62">
        <v>63</v>
      </c>
      <c r="AL62" t="s">
        <v>149</v>
      </c>
      <c r="AM62" t="s">
        <v>150</v>
      </c>
      <c r="AN62" t="s">
        <v>151</v>
      </c>
      <c r="AO62" t="s">
        <v>152</v>
      </c>
      <c r="AP62" t="s">
        <v>153</v>
      </c>
      <c r="AQ62" t="s">
        <v>74</v>
      </c>
      <c r="AR62" t="s">
        <v>137</v>
      </c>
      <c r="AS62" t="s">
        <v>154</v>
      </c>
      <c r="AT62" t="s">
        <v>1305</v>
      </c>
      <c r="AU62">
        <v>2018</v>
      </c>
      <c r="AV62">
        <v>15</v>
      </c>
      <c r="AW62">
        <v>1</v>
      </c>
      <c r="AX62" t="s">
        <v>74</v>
      </c>
      <c r="AY62" t="s">
        <v>74</v>
      </c>
      <c r="AZ62" t="s">
        <v>74</v>
      </c>
      <c r="BA62" t="s">
        <v>74</v>
      </c>
      <c r="BB62">
        <v>209</v>
      </c>
      <c r="BC62">
        <v>231</v>
      </c>
      <c r="BD62" t="s">
        <v>74</v>
      </c>
      <c r="BE62" t="s">
        <v>1367</v>
      </c>
      <c r="BF62" t="str">
        <f>HYPERLINK("http://dx.doi.org/10.5194/bg-15-209-2018","http://dx.doi.org/10.5194/bg-15-209-2018")</f>
        <v>http://dx.doi.org/10.5194/bg-15-209-2018</v>
      </c>
      <c r="BG62" t="s">
        <v>74</v>
      </c>
      <c r="BH62" t="s">
        <v>74</v>
      </c>
      <c r="BI62">
        <v>23</v>
      </c>
      <c r="BJ62" t="s">
        <v>157</v>
      </c>
      <c r="BK62" t="s">
        <v>101</v>
      </c>
      <c r="BL62" t="s">
        <v>158</v>
      </c>
      <c r="BM62" t="s">
        <v>1368</v>
      </c>
      <c r="BN62" t="s">
        <v>74</v>
      </c>
      <c r="BO62" t="s">
        <v>212</v>
      </c>
      <c r="BP62" t="s">
        <v>74</v>
      </c>
      <c r="BQ62" t="s">
        <v>74</v>
      </c>
      <c r="BR62" t="s">
        <v>105</v>
      </c>
      <c r="BS62" t="s">
        <v>1369</v>
      </c>
      <c r="BT62" t="str">
        <f>HYPERLINK("https%3A%2F%2Fwww.webofscience.com%2Fwos%2Fwoscc%2Ffull-record%2FWOS:000419809100001","View Full Record in Web of Science")</f>
        <v>View Full Record in Web of Science</v>
      </c>
    </row>
    <row r="63" spans="1:72" x14ac:dyDescent="0.15">
      <c r="A63" t="s">
        <v>72</v>
      </c>
      <c r="B63" t="s">
        <v>1370</v>
      </c>
      <c r="C63" t="s">
        <v>74</v>
      </c>
      <c r="D63" t="s">
        <v>74</v>
      </c>
      <c r="E63" t="s">
        <v>74</v>
      </c>
      <c r="F63" t="s">
        <v>1371</v>
      </c>
      <c r="G63" t="s">
        <v>74</v>
      </c>
      <c r="H63" t="s">
        <v>74</v>
      </c>
      <c r="I63" t="s">
        <v>1372</v>
      </c>
      <c r="J63" t="s">
        <v>110</v>
      </c>
      <c r="K63" t="s">
        <v>74</v>
      </c>
      <c r="L63" t="s">
        <v>74</v>
      </c>
      <c r="M63" t="s">
        <v>78</v>
      </c>
      <c r="N63" t="s">
        <v>79</v>
      </c>
      <c r="O63" t="s">
        <v>74</v>
      </c>
      <c r="P63" t="s">
        <v>74</v>
      </c>
      <c r="Q63" t="s">
        <v>74</v>
      </c>
      <c r="R63" t="s">
        <v>74</v>
      </c>
      <c r="S63" t="s">
        <v>74</v>
      </c>
      <c r="T63" t="s">
        <v>74</v>
      </c>
      <c r="U63" t="s">
        <v>1373</v>
      </c>
      <c r="V63" t="s">
        <v>1374</v>
      </c>
      <c r="W63" t="s">
        <v>1375</v>
      </c>
      <c r="X63" t="s">
        <v>1376</v>
      </c>
      <c r="Y63" t="s">
        <v>1377</v>
      </c>
      <c r="Z63" t="s">
        <v>1378</v>
      </c>
      <c r="AA63" t="s">
        <v>1379</v>
      </c>
      <c r="AB63" t="s">
        <v>1380</v>
      </c>
      <c r="AC63" t="s">
        <v>1381</v>
      </c>
      <c r="AD63" t="s">
        <v>1382</v>
      </c>
      <c r="AE63" t="s">
        <v>1383</v>
      </c>
      <c r="AF63" t="s">
        <v>74</v>
      </c>
      <c r="AG63">
        <v>48</v>
      </c>
      <c r="AH63">
        <v>15</v>
      </c>
      <c r="AI63">
        <v>18</v>
      </c>
      <c r="AJ63">
        <v>0</v>
      </c>
      <c r="AK63">
        <v>15</v>
      </c>
      <c r="AL63" t="s">
        <v>122</v>
      </c>
      <c r="AM63" t="s">
        <v>123</v>
      </c>
      <c r="AN63" t="s">
        <v>124</v>
      </c>
      <c r="AO63" t="s">
        <v>125</v>
      </c>
      <c r="AP63" t="s">
        <v>74</v>
      </c>
      <c r="AQ63" t="s">
        <v>74</v>
      </c>
      <c r="AR63" t="s">
        <v>110</v>
      </c>
      <c r="AS63" t="s">
        <v>126</v>
      </c>
      <c r="AT63" t="s">
        <v>1384</v>
      </c>
      <c r="AU63">
        <v>2018</v>
      </c>
      <c r="AV63">
        <v>13</v>
      </c>
      <c r="AW63">
        <v>1</v>
      </c>
      <c r="AX63" t="s">
        <v>74</v>
      </c>
      <c r="AY63" t="s">
        <v>74</v>
      </c>
      <c r="AZ63" t="s">
        <v>74</v>
      </c>
      <c r="BA63" t="s">
        <v>74</v>
      </c>
      <c r="BB63" t="s">
        <v>74</v>
      </c>
      <c r="BC63" t="s">
        <v>74</v>
      </c>
      <c r="BD63" t="s">
        <v>1385</v>
      </c>
      <c r="BE63" t="s">
        <v>1386</v>
      </c>
      <c r="BF63" t="str">
        <f>HYPERLINK("http://dx.doi.org/10.1371/journal.pone.0189865","http://dx.doi.org/10.1371/journal.pone.0189865")</f>
        <v>http://dx.doi.org/10.1371/journal.pone.0189865</v>
      </c>
      <c r="BG63" t="s">
        <v>74</v>
      </c>
      <c r="BH63" t="s">
        <v>74</v>
      </c>
      <c r="BI63">
        <v>15</v>
      </c>
      <c r="BJ63" t="s">
        <v>129</v>
      </c>
      <c r="BK63" t="s">
        <v>101</v>
      </c>
      <c r="BL63" t="s">
        <v>130</v>
      </c>
      <c r="BM63" t="s">
        <v>1387</v>
      </c>
      <c r="BN63">
        <v>29320573</v>
      </c>
      <c r="BO63" t="s">
        <v>560</v>
      </c>
      <c r="BP63" t="s">
        <v>74</v>
      </c>
      <c r="BQ63" t="s">
        <v>74</v>
      </c>
      <c r="BR63" t="s">
        <v>105</v>
      </c>
      <c r="BS63" t="s">
        <v>1388</v>
      </c>
      <c r="BT63" t="str">
        <f>HYPERLINK("https%3A%2F%2Fwww.webofscience.com%2Fwos%2Fwoscc%2Ffull-record%2FWOS:000419689600021","View Full Record in Web of Science")</f>
        <v>View Full Record in Web of Science</v>
      </c>
    </row>
    <row r="64" spans="1:72" x14ac:dyDescent="0.15">
      <c r="A64" t="s">
        <v>72</v>
      </c>
      <c r="B64" t="s">
        <v>1389</v>
      </c>
      <c r="C64" t="s">
        <v>74</v>
      </c>
      <c r="D64" t="s">
        <v>74</v>
      </c>
      <c r="E64" t="s">
        <v>74</v>
      </c>
      <c r="F64" t="s">
        <v>1390</v>
      </c>
      <c r="G64" t="s">
        <v>74</v>
      </c>
      <c r="H64" t="s">
        <v>74</v>
      </c>
      <c r="I64" t="s">
        <v>1391</v>
      </c>
      <c r="J64" t="s">
        <v>217</v>
      </c>
      <c r="K64" t="s">
        <v>74</v>
      </c>
      <c r="L64" t="s">
        <v>74</v>
      </c>
      <c r="M64" t="s">
        <v>78</v>
      </c>
      <c r="N64" t="s">
        <v>79</v>
      </c>
      <c r="O64" t="s">
        <v>74</v>
      </c>
      <c r="P64" t="s">
        <v>74</v>
      </c>
      <c r="Q64" t="s">
        <v>74</v>
      </c>
      <c r="R64" t="s">
        <v>74</v>
      </c>
      <c r="S64" t="s">
        <v>74</v>
      </c>
      <c r="T64" t="s">
        <v>74</v>
      </c>
      <c r="U64" t="s">
        <v>1392</v>
      </c>
      <c r="V64" t="s">
        <v>1393</v>
      </c>
      <c r="W64" t="s">
        <v>1394</v>
      </c>
      <c r="X64" t="s">
        <v>1395</v>
      </c>
      <c r="Y64" t="s">
        <v>1396</v>
      </c>
      <c r="Z64" t="s">
        <v>1397</v>
      </c>
      <c r="AA64" t="s">
        <v>1398</v>
      </c>
      <c r="AB64" t="s">
        <v>1399</v>
      </c>
      <c r="AC64" t="s">
        <v>1400</v>
      </c>
      <c r="AD64" t="s">
        <v>1401</v>
      </c>
      <c r="AE64" t="s">
        <v>1402</v>
      </c>
      <c r="AF64" t="s">
        <v>74</v>
      </c>
      <c r="AG64">
        <v>39</v>
      </c>
      <c r="AH64">
        <v>56</v>
      </c>
      <c r="AI64">
        <v>56</v>
      </c>
      <c r="AJ64">
        <v>0</v>
      </c>
      <c r="AK64">
        <v>9</v>
      </c>
      <c r="AL64" t="s">
        <v>149</v>
      </c>
      <c r="AM64" t="s">
        <v>150</v>
      </c>
      <c r="AN64" t="s">
        <v>151</v>
      </c>
      <c r="AO64" t="s">
        <v>229</v>
      </c>
      <c r="AP64" t="s">
        <v>230</v>
      </c>
      <c r="AQ64" t="s">
        <v>74</v>
      </c>
      <c r="AR64" t="s">
        <v>217</v>
      </c>
      <c r="AS64" t="s">
        <v>231</v>
      </c>
      <c r="AT64" t="s">
        <v>1403</v>
      </c>
      <c r="AU64">
        <v>2018</v>
      </c>
      <c r="AV64">
        <v>12</v>
      </c>
      <c r="AW64">
        <v>1</v>
      </c>
      <c r="AX64" t="s">
        <v>74</v>
      </c>
      <c r="AY64" t="s">
        <v>74</v>
      </c>
      <c r="AZ64" t="s">
        <v>74</v>
      </c>
      <c r="BA64" t="s">
        <v>74</v>
      </c>
      <c r="BB64">
        <v>49</v>
      </c>
      <c r="BC64">
        <v>70</v>
      </c>
      <c r="BD64" t="s">
        <v>74</v>
      </c>
      <c r="BE64" t="s">
        <v>1404</v>
      </c>
      <c r="BF64" t="str">
        <f>HYPERLINK("http://dx.doi.org/10.5194/tc-12-49-2018","http://dx.doi.org/10.5194/tc-12-49-2018")</f>
        <v>http://dx.doi.org/10.5194/tc-12-49-2018</v>
      </c>
      <c r="BG64" t="s">
        <v>74</v>
      </c>
      <c r="BH64" t="s">
        <v>74</v>
      </c>
      <c r="BI64">
        <v>22</v>
      </c>
      <c r="BJ64" t="s">
        <v>233</v>
      </c>
      <c r="BK64" t="s">
        <v>101</v>
      </c>
      <c r="BL64" t="s">
        <v>234</v>
      </c>
      <c r="BM64" t="s">
        <v>1405</v>
      </c>
      <c r="BN64" t="s">
        <v>74</v>
      </c>
      <c r="BO64" t="s">
        <v>1406</v>
      </c>
      <c r="BP64" t="s">
        <v>74</v>
      </c>
      <c r="BQ64" t="s">
        <v>74</v>
      </c>
      <c r="BR64" t="s">
        <v>105</v>
      </c>
      <c r="BS64" t="s">
        <v>1407</v>
      </c>
      <c r="BT64" t="str">
        <f>HYPERLINK("https%3A%2F%2Fwww.webofscience.com%2Fwos%2Fwoscc%2Ffull-record%2FWOS:000419723100001","View Full Record in Web of Science")</f>
        <v>View Full Record in Web of Science</v>
      </c>
    </row>
    <row r="65" spans="1:72" x14ac:dyDescent="0.15">
      <c r="A65" t="s">
        <v>72</v>
      </c>
      <c r="B65" t="s">
        <v>1408</v>
      </c>
      <c r="C65" t="s">
        <v>74</v>
      </c>
      <c r="D65" t="s">
        <v>74</v>
      </c>
      <c r="E65" t="s">
        <v>74</v>
      </c>
      <c r="F65" t="s">
        <v>1409</v>
      </c>
      <c r="G65" t="s">
        <v>74</v>
      </c>
      <c r="H65" t="s">
        <v>74</v>
      </c>
      <c r="I65" t="s">
        <v>1410</v>
      </c>
      <c r="J65" t="s">
        <v>1411</v>
      </c>
      <c r="K65" t="s">
        <v>74</v>
      </c>
      <c r="L65" t="s">
        <v>74</v>
      </c>
      <c r="M65" t="s">
        <v>78</v>
      </c>
      <c r="N65" t="s">
        <v>79</v>
      </c>
      <c r="O65" t="s">
        <v>74</v>
      </c>
      <c r="P65" t="s">
        <v>74</v>
      </c>
      <c r="Q65" t="s">
        <v>74</v>
      </c>
      <c r="R65" t="s">
        <v>74</v>
      </c>
      <c r="S65" t="s">
        <v>74</v>
      </c>
      <c r="T65" t="s">
        <v>1412</v>
      </c>
      <c r="U65" t="s">
        <v>1413</v>
      </c>
      <c r="V65" t="s">
        <v>1414</v>
      </c>
      <c r="W65" t="s">
        <v>1415</v>
      </c>
      <c r="X65" t="s">
        <v>1416</v>
      </c>
      <c r="Y65" t="s">
        <v>1417</v>
      </c>
      <c r="Z65" t="s">
        <v>1418</v>
      </c>
      <c r="AA65" t="s">
        <v>1419</v>
      </c>
      <c r="AB65" t="s">
        <v>1420</v>
      </c>
      <c r="AC65" t="s">
        <v>1421</v>
      </c>
      <c r="AD65" t="s">
        <v>1422</v>
      </c>
      <c r="AE65" t="s">
        <v>1423</v>
      </c>
      <c r="AF65" t="s">
        <v>74</v>
      </c>
      <c r="AG65">
        <v>80</v>
      </c>
      <c r="AH65">
        <v>41</v>
      </c>
      <c r="AI65">
        <v>41</v>
      </c>
      <c r="AJ65">
        <v>1</v>
      </c>
      <c r="AK65">
        <v>20</v>
      </c>
      <c r="AL65" t="s">
        <v>1424</v>
      </c>
      <c r="AM65" t="s">
        <v>1425</v>
      </c>
      <c r="AN65" t="s">
        <v>1426</v>
      </c>
      <c r="AO65" t="s">
        <v>1427</v>
      </c>
      <c r="AP65" t="s">
        <v>74</v>
      </c>
      <c r="AQ65" t="s">
        <v>74</v>
      </c>
      <c r="AR65" t="s">
        <v>1428</v>
      </c>
      <c r="AS65" t="s">
        <v>1429</v>
      </c>
      <c r="AT65" t="s">
        <v>1430</v>
      </c>
      <c r="AU65">
        <v>2018</v>
      </c>
      <c r="AV65">
        <v>609</v>
      </c>
      <c r="AW65" t="s">
        <v>74</v>
      </c>
      <c r="AX65" t="s">
        <v>74</v>
      </c>
      <c r="AY65" t="s">
        <v>74</v>
      </c>
      <c r="AZ65" t="s">
        <v>74</v>
      </c>
      <c r="BA65" t="s">
        <v>74</v>
      </c>
      <c r="BB65" t="s">
        <v>74</v>
      </c>
      <c r="BC65" t="s">
        <v>74</v>
      </c>
      <c r="BD65" t="s">
        <v>1431</v>
      </c>
      <c r="BE65" t="s">
        <v>1432</v>
      </c>
      <c r="BF65" t="str">
        <f>HYPERLINK("http://dx.doi.org/10.1051/0004-6361/201731322","http://dx.doi.org/10.1051/0004-6361/201731322")</f>
        <v>http://dx.doi.org/10.1051/0004-6361/201731322</v>
      </c>
      <c r="BG65" t="s">
        <v>74</v>
      </c>
      <c r="BH65" t="s">
        <v>74</v>
      </c>
      <c r="BI65">
        <v>11</v>
      </c>
      <c r="BJ65" t="s">
        <v>787</v>
      </c>
      <c r="BK65" t="s">
        <v>101</v>
      </c>
      <c r="BL65" t="s">
        <v>787</v>
      </c>
      <c r="BM65" t="s">
        <v>1433</v>
      </c>
      <c r="BN65" t="s">
        <v>74</v>
      </c>
      <c r="BO65" t="s">
        <v>1434</v>
      </c>
      <c r="BP65" t="s">
        <v>74</v>
      </c>
      <c r="BQ65" t="s">
        <v>74</v>
      </c>
      <c r="BR65" t="s">
        <v>105</v>
      </c>
      <c r="BS65" t="s">
        <v>1435</v>
      </c>
      <c r="BT65" t="str">
        <f>HYPERLINK("https%3A%2F%2Fwww.webofscience.com%2Fwos%2Fwoscc%2Ffull-record%2FWOS:000419995800007","View Full Record in Web of Science")</f>
        <v>View Full Record in Web of Science</v>
      </c>
    </row>
    <row r="66" spans="1:72" x14ac:dyDescent="0.15">
      <c r="A66" t="s">
        <v>72</v>
      </c>
      <c r="B66" t="s">
        <v>1436</v>
      </c>
      <c r="C66" t="s">
        <v>74</v>
      </c>
      <c r="D66" t="s">
        <v>74</v>
      </c>
      <c r="E66" t="s">
        <v>74</v>
      </c>
      <c r="F66" t="s">
        <v>1437</v>
      </c>
      <c r="G66" t="s">
        <v>74</v>
      </c>
      <c r="H66" t="s">
        <v>74</v>
      </c>
      <c r="I66" t="s">
        <v>1438</v>
      </c>
      <c r="J66" t="s">
        <v>217</v>
      </c>
      <c r="K66" t="s">
        <v>74</v>
      </c>
      <c r="L66" t="s">
        <v>74</v>
      </c>
      <c r="M66" t="s">
        <v>78</v>
      </c>
      <c r="N66" t="s">
        <v>79</v>
      </c>
      <c r="O66" t="s">
        <v>74</v>
      </c>
      <c r="P66" t="s">
        <v>74</v>
      </c>
      <c r="Q66" t="s">
        <v>74</v>
      </c>
      <c r="R66" t="s">
        <v>74</v>
      </c>
      <c r="S66" t="s">
        <v>74</v>
      </c>
      <c r="T66" t="s">
        <v>74</v>
      </c>
      <c r="U66" t="s">
        <v>1439</v>
      </c>
      <c r="V66" t="s">
        <v>1440</v>
      </c>
      <c r="W66" t="s">
        <v>1441</v>
      </c>
      <c r="X66" t="s">
        <v>1442</v>
      </c>
      <c r="Y66" t="s">
        <v>1443</v>
      </c>
      <c r="Z66" t="s">
        <v>1444</v>
      </c>
      <c r="AA66" t="s">
        <v>1445</v>
      </c>
      <c r="AB66" t="s">
        <v>1446</v>
      </c>
      <c r="AC66" t="s">
        <v>1447</v>
      </c>
      <c r="AD66" t="s">
        <v>1447</v>
      </c>
      <c r="AE66" t="s">
        <v>1448</v>
      </c>
      <c r="AF66" t="s">
        <v>74</v>
      </c>
      <c r="AG66">
        <v>46</v>
      </c>
      <c r="AH66">
        <v>11</v>
      </c>
      <c r="AI66">
        <v>11</v>
      </c>
      <c r="AJ66">
        <v>0</v>
      </c>
      <c r="AK66">
        <v>11</v>
      </c>
      <c r="AL66" t="s">
        <v>149</v>
      </c>
      <c r="AM66" t="s">
        <v>150</v>
      </c>
      <c r="AN66" t="s">
        <v>151</v>
      </c>
      <c r="AO66" t="s">
        <v>229</v>
      </c>
      <c r="AP66" t="s">
        <v>230</v>
      </c>
      <c r="AQ66" t="s">
        <v>74</v>
      </c>
      <c r="AR66" t="s">
        <v>217</v>
      </c>
      <c r="AS66" t="s">
        <v>231</v>
      </c>
      <c r="AT66" t="s">
        <v>1430</v>
      </c>
      <c r="AU66">
        <v>2018</v>
      </c>
      <c r="AV66">
        <v>12</v>
      </c>
      <c r="AW66">
        <v>1</v>
      </c>
      <c r="AX66" t="s">
        <v>74</v>
      </c>
      <c r="AY66" t="s">
        <v>74</v>
      </c>
      <c r="AZ66" t="s">
        <v>74</v>
      </c>
      <c r="BA66" t="s">
        <v>74</v>
      </c>
      <c r="BB66">
        <v>39</v>
      </c>
      <c r="BC66">
        <v>47</v>
      </c>
      <c r="BD66" t="s">
        <v>74</v>
      </c>
      <c r="BE66" t="s">
        <v>1449</v>
      </c>
      <c r="BF66" t="str">
        <f>HYPERLINK("http://dx.doi.org/10.5194/tc-12-39-2018","http://dx.doi.org/10.5194/tc-12-39-2018")</f>
        <v>http://dx.doi.org/10.5194/tc-12-39-2018</v>
      </c>
      <c r="BG66" t="s">
        <v>74</v>
      </c>
      <c r="BH66" t="s">
        <v>74</v>
      </c>
      <c r="BI66">
        <v>9</v>
      </c>
      <c r="BJ66" t="s">
        <v>233</v>
      </c>
      <c r="BK66" t="s">
        <v>101</v>
      </c>
      <c r="BL66" t="s">
        <v>234</v>
      </c>
      <c r="BM66" t="s">
        <v>1450</v>
      </c>
      <c r="BN66" t="s">
        <v>74</v>
      </c>
      <c r="BO66" t="s">
        <v>212</v>
      </c>
      <c r="BP66" t="s">
        <v>74</v>
      </c>
      <c r="BQ66" t="s">
        <v>74</v>
      </c>
      <c r="BR66" t="s">
        <v>105</v>
      </c>
      <c r="BS66" t="s">
        <v>1451</v>
      </c>
      <c r="BT66" t="str">
        <f>HYPERLINK("https%3A%2F%2Fwww.webofscience.com%2Fwos%2Fwoscc%2Ffull-record%2FWOS:000419530400002","View Full Record in Web of Science")</f>
        <v>View Full Record in Web of Science</v>
      </c>
    </row>
    <row r="67" spans="1:72" x14ac:dyDescent="0.15">
      <c r="A67" t="s">
        <v>72</v>
      </c>
      <c r="B67" t="s">
        <v>1452</v>
      </c>
      <c r="C67" t="s">
        <v>74</v>
      </c>
      <c r="D67" t="s">
        <v>74</v>
      </c>
      <c r="E67" t="s">
        <v>74</v>
      </c>
      <c r="F67" t="s">
        <v>1453</v>
      </c>
      <c r="G67" t="s">
        <v>74</v>
      </c>
      <c r="H67" t="s">
        <v>74</v>
      </c>
      <c r="I67" t="s">
        <v>1454</v>
      </c>
      <c r="J67" t="s">
        <v>1455</v>
      </c>
      <c r="K67" t="s">
        <v>74</v>
      </c>
      <c r="L67" t="s">
        <v>74</v>
      </c>
      <c r="M67" t="s">
        <v>78</v>
      </c>
      <c r="N67" t="s">
        <v>1456</v>
      </c>
      <c r="O67" t="s">
        <v>74</v>
      </c>
      <c r="P67" t="s">
        <v>74</v>
      </c>
      <c r="Q67" t="s">
        <v>74</v>
      </c>
      <c r="R67" t="s">
        <v>74</v>
      </c>
      <c r="S67" t="s">
        <v>74</v>
      </c>
      <c r="T67" t="s">
        <v>1457</v>
      </c>
      <c r="U67" t="s">
        <v>1458</v>
      </c>
      <c r="V67" t="s">
        <v>74</v>
      </c>
      <c r="W67" t="s">
        <v>1459</v>
      </c>
      <c r="X67" t="s">
        <v>1460</v>
      </c>
      <c r="Y67" t="s">
        <v>1461</v>
      </c>
      <c r="Z67" t="s">
        <v>1462</v>
      </c>
      <c r="AA67" t="s">
        <v>1463</v>
      </c>
      <c r="AB67" t="s">
        <v>1464</v>
      </c>
      <c r="AC67" t="s">
        <v>1465</v>
      </c>
      <c r="AD67" t="s">
        <v>1466</v>
      </c>
      <c r="AE67" t="s">
        <v>1467</v>
      </c>
      <c r="AF67" t="s">
        <v>74</v>
      </c>
      <c r="AG67">
        <v>31</v>
      </c>
      <c r="AH67">
        <v>7</v>
      </c>
      <c r="AI67">
        <v>8</v>
      </c>
      <c r="AJ67">
        <v>2</v>
      </c>
      <c r="AK67">
        <v>20</v>
      </c>
      <c r="AL67" t="s">
        <v>485</v>
      </c>
      <c r="AM67" t="s">
        <v>486</v>
      </c>
      <c r="AN67" t="s">
        <v>604</v>
      </c>
      <c r="AO67" t="s">
        <v>74</v>
      </c>
      <c r="AP67" t="s">
        <v>1468</v>
      </c>
      <c r="AQ67" t="s">
        <v>74</v>
      </c>
      <c r="AR67" t="s">
        <v>1469</v>
      </c>
      <c r="AS67" t="s">
        <v>1470</v>
      </c>
      <c r="AT67" t="s">
        <v>1430</v>
      </c>
      <c r="AU67">
        <v>2018</v>
      </c>
      <c r="AV67">
        <v>4</v>
      </c>
      <c r="AW67" t="s">
        <v>74</v>
      </c>
      <c r="AX67" t="s">
        <v>74</v>
      </c>
      <c r="AY67" t="s">
        <v>74</v>
      </c>
      <c r="AZ67" t="s">
        <v>74</v>
      </c>
      <c r="BA67" t="s">
        <v>74</v>
      </c>
      <c r="BB67" t="s">
        <v>74</v>
      </c>
      <c r="BC67" t="s">
        <v>74</v>
      </c>
      <c r="BD67">
        <v>89</v>
      </c>
      <c r="BE67" t="s">
        <v>1471</v>
      </c>
      <c r="BF67" t="str">
        <f>HYPERLINK("http://dx.doi.org/10.3389/fmolb.2017.00089","http://dx.doi.org/10.3389/fmolb.2017.00089")</f>
        <v>http://dx.doi.org/10.3389/fmolb.2017.00089</v>
      </c>
      <c r="BG67" t="s">
        <v>74</v>
      </c>
      <c r="BH67" t="s">
        <v>74</v>
      </c>
      <c r="BI67">
        <v>5</v>
      </c>
      <c r="BJ67" t="s">
        <v>1472</v>
      </c>
      <c r="BK67" t="s">
        <v>101</v>
      </c>
      <c r="BL67" t="s">
        <v>1472</v>
      </c>
      <c r="BM67" t="s">
        <v>1473</v>
      </c>
      <c r="BN67">
        <v>29359133</v>
      </c>
      <c r="BO67" t="s">
        <v>681</v>
      </c>
      <c r="BP67" t="s">
        <v>74</v>
      </c>
      <c r="BQ67" t="s">
        <v>74</v>
      </c>
      <c r="BR67" t="s">
        <v>105</v>
      </c>
      <c r="BS67" t="s">
        <v>1474</v>
      </c>
      <c r="BT67" t="str">
        <f>HYPERLINK("https%3A%2F%2Fwww.webofscience.com%2Fwos%2Fwoscc%2Ffull-record%2FWOS:000455195200001","View Full Record in Web of Science")</f>
        <v>View Full Record in Web of Science</v>
      </c>
    </row>
    <row r="68" spans="1:72" x14ac:dyDescent="0.15">
      <c r="A68" t="s">
        <v>72</v>
      </c>
      <c r="B68" t="s">
        <v>1475</v>
      </c>
      <c r="C68" t="s">
        <v>74</v>
      </c>
      <c r="D68" t="s">
        <v>74</v>
      </c>
      <c r="E68" t="s">
        <v>74</v>
      </c>
      <c r="F68" t="s">
        <v>1476</v>
      </c>
      <c r="G68" t="s">
        <v>74</v>
      </c>
      <c r="H68" t="s">
        <v>74</v>
      </c>
      <c r="I68" t="s">
        <v>1477</v>
      </c>
      <c r="J68" t="s">
        <v>1478</v>
      </c>
      <c r="K68" t="s">
        <v>74</v>
      </c>
      <c r="L68" t="s">
        <v>74</v>
      </c>
      <c r="M68" t="s">
        <v>78</v>
      </c>
      <c r="N68" t="s">
        <v>79</v>
      </c>
      <c r="O68" t="s">
        <v>74</v>
      </c>
      <c r="P68" t="s">
        <v>74</v>
      </c>
      <c r="Q68" t="s">
        <v>74</v>
      </c>
      <c r="R68" t="s">
        <v>74</v>
      </c>
      <c r="S68" t="s">
        <v>74</v>
      </c>
      <c r="T68" t="s">
        <v>74</v>
      </c>
      <c r="U68" t="s">
        <v>1479</v>
      </c>
      <c r="V68" t="s">
        <v>1480</v>
      </c>
      <c r="W68" t="s">
        <v>1481</v>
      </c>
      <c r="X68" t="s">
        <v>1482</v>
      </c>
      <c r="Y68" t="s">
        <v>1483</v>
      </c>
      <c r="Z68" t="s">
        <v>1484</v>
      </c>
      <c r="AA68" t="s">
        <v>1485</v>
      </c>
      <c r="AB68" t="s">
        <v>1486</v>
      </c>
      <c r="AC68" t="s">
        <v>1487</v>
      </c>
      <c r="AD68" t="s">
        <v>1488</v>
      </c>
      <c r="AE68" t="s">
        <v>1489</v>
      </c>
      <c r="AF68" t="s">
        <v>74</v>
      </c>
      <c r="AG68">
        <v>191</v>
      </c>
      <c r="AH68">
        <v>6</v>
      </c>
      <c r="AI68">
        <v>8</v>
      </c>
      <c r="AJ68">
        <v>0</v>
      </c>
      <c r="AK68">
        <v>7</v>
      </c>
      <c r="AL68" t="s">
        <v>149</v>
      </c>
      <c r="AM68" t="s">
        <v>150</v>
      </c>
      <c r="AN68" t="s">
        <v>151</v>
      </c>
      <c r="AO68" t="s">
        <v>1490</v>
      </c>
      <c r="AP68" t="s">
        <v>1491</v>
      </c>
      <c r="AQ68" t="s">
        <v>74</v>
      </c>
      <c r="AR68" t="s">
        <v>1492</v>
      </c>
      <c r="AS68" t="s">
        <v>1493</v>
      </c>
      <c r="AT68" t="s">
        <v>1494</v>
      </c>
      <c r="AU68">
        <v>2018</v>
      </c>
      <c r="AV68">
        <v>37</v>
      </c>
      <c r="AW68">
        <v>1</v>
      </c>
      <c r="AX68" t="s">
        <v>74</v>
      </c>
      <c r="AY68" t="s">
        <v>74</v>
      </c>
      <c r="AZ68" t="s">
        <v>74</v>
      </c>
      <c r="BA68" t="s">
        <v>74</v>
      </c>
      <c r="BB68">
        <v>25</v>
      </c>
      <c r="BC68">
        <v>71</v>
      </c>
      <c r="BD68" t="s">
        <v>74</v>
      </c>
      <c r="BE68" t="s">
        <v>1495</v>
      </c>
      <c r="BF68" t="str">
        <f>HYPERLINK("http://dx.doi.org/10.5194/jm-37-25-2018","http://dx.doi.org/10.5194/jm-37-25-2018")</f>
        <v>http://dx.doi.org/10.5194/jm-37-25-2018</v>
      </c>
      <c r="BG68" t="s">
        <v>74</v>
      </c>
      <c r="BH68" t="s">
        <v>74</v>
      </c>
      <c r="BI68">
        <v>47</v>
      </c>
      <c r="BJ68" t="s">
        <v>1496</v>
      </c>
      <c r="BK68" t="s">
        <v>101</v>
      </c>
      <c r="BL68" t="s">
        <v>1496</v>
      </c>
      <c r="BM68" t="s">
        <v>1497</v>
      </c>
      <c r="BN68" t="s">
        <v>74</v>
      </c>
      <c r="BO68" t="s">
        <v>1498</v>
      </c>
      <c r="BP68" t="s">
        <v>74</v>
      </c>
      <c r="BQ68" t="s">
        <v>74</v>
      </c>
      <c r="BR68" t="s">
        <v>105</v>
      </c>
      <c r="BS68" t="s">
        <v>1499</v>
      </c>
      <c r="BT68" t="str">
        <f>HYPERLINK("https%3A%2F%2Fwww.webofscience.com%2Fwos%2Fwoscc%2Ffull-record%2FWOS:000419816200005","View Full Record in Web of Science")</f>
        <v>View Full Record in Web of Science</v>
      </c>
    </row>
    <row r="69" spans="1:72" x14ac:dyDescent="0.15">
      <c r="A69" t="s">
        <v>72</v>
      </c>
      <c r="B69" t="s">
        <v>1500</v>
      </c>
      <c r="C69" t="s">
        <v>74</v>
      </c>
      <c r="D69" t="s">
        <v>74</v>
      </c>
      <c r="E69" t="s">
        <v>74</v>
      </c>
      <c r="F69" t="s">
        <v>1501</v>
      </c>
      <c r="G69" t="s">
        <v>74</v>
      </c>
      <c r="H69" t="s">
        <v>74</v>
      </c>
      <c r="I69" t="s">
        <v>1502</v>
      </c>
      <c r="J69" t="s">
        <v>1503</v>
      </c>
      <c r="K69" t="s">
        <v>74</v>
      </c>
      <c r="L69" t="s">
        <v>74</v>
      </c>
      <c r="M69" t="s">
        <v>78</v>
      </c>
      <c r="N69" t="s">
        <v>79</v>
      </c>
      <c r="O69" t="s">
        <v>74</v>
      </c>
      <c r="P69" t="s">
        <v>74</v>
      </c>
      <c r="Q69" t="s">
        <v>74</v>
      </c>
      <c r="R69" t="s">
        <v>74</v>
      </c>
      <c r="S69" t="s">
        <v>74</v>
      </c>
      <c r="T69" t="s">
        <v>1504</v>
      </c>
      <c r="U69" t="s">
        <v>1505</v>
      </c>
      <c r="V69" t="s">
        <v>1506</v>
      </c>
      <c r="W69" t="s">
        <v>1507</v>
      </c>
      <c r="X69" t="s">
        <v>1508</v>
      </c>
      <c r="Y69" t="s">
        <v>1509</v>
      </c>
      <c r="Z69" t="s">
        <v>1510</v>
      </c>
      <c r="AA69" t="s">
        <v>74</v>
      </c>
      <c r="AB69" t="s">
        <v>74</v>
      </c>
      <c r="AC69" t="s">
        <v>1511</v>
      </c>
      <c r="AD69" t="s">
        <v>1512</v>
      </c>
      <c r="AE69" t="s">
        <v>1513</v>
      </c>
      <c r="AF69" t="s">
        <v>74</v>
      </c>
      <c r="AG69">
        <v>49</v>
      </c>
      <c r="AH69">
        <v>4</v>
      </c>
      <c r="AI69">
        <v>4</v>
      </c>
      <c r="AJ69">
        <v>0</v>
      </c>
      <c r="AK69">
        <v>9</v>
      </c>
      <c r="AL69" t="s">
        <v>648</v>
      </c>
      <c r="AM69" t="s">
        <v>649</v>
      </c>
      <c r="AN69" t="s">
        <v>650</v>
      </c>
      <c r="AO69" t="s">
        <v>1514</v>
      </c>
      <c r="AP69" t="s">
        <v>1515</v>
      </c>
      <c r="AQ69" t="s">
        <v>74</v>
      </c>
      <c r="AR69" t="s">
        <v>1503</v>
      </c>
      <c r="AS69" t="s">
        <v>1516</v>
      </c>
      <c r="AT69" t="s">
        <v>1494</v>
      </c>
      <c r="AU69">
        <v>2018</v>
      </c>
      <c r="AV69">
        <v>333</v>
      </c>
      <c r="AW69">
        <v>1</v>
      </c>
      <c r="AX69" t="s">
        <v>74</v>
      </c>
      <c r="AY69" t="s">
        <v>74</v>
      </c>
      <c r="AZ69" t="s">
        <v>74</v>
      </c>
      <c r="BA69" t="s">
        <v>74</v>
      </c>
      <c r="BB69">
        <v>108</v>
      </c>
      <c r="BC69">
        <v>116</v>
      </c>
      <c r="BD69" t="s">
        <v>74</v>
      </c>
      <c r="BE69" t="s">
        <v>1517</v>
      </c>
      <c r="BF69" t="str">
        <f>HYPERLINK("http://dx.doi.org/10.11646/phytotaxa.333.1.8","http://dx.doi.org/10.11646/phytotaxa.333.1.8")</f>
        <v>http://dx.doi.org/10.11646/phytotaxa.333.1.8</v>
      </c>
      <c r="BG69" t="s">
        <v>74</v>
      </c>
      <c r="BH69" t="s">
        <v>74</v>
      </c>
      <c r="BI69">
        <v>9</v>
      </c>
      <c r="BJ69" t="s">
        <v>492</v>
      </c>
      <c r="BK69" t="s">
        <v>101</v>
      </c>
      <c r="BL69" t="s">
        <v>492</v>
      </c>
      <c r="BM69" t="s">
        <v>1518</v>
      </c>
      <c r="BN69" t="s">
        <v>74</v>
      </c>
      <c r="BO69" t="s">
        <v>74</v>
      </c>
      <c r="BP69" t="s">
        <v>74</v>
      </c>
      <c r="BQ69" t="s">
        <v>74</v>
      </c>
      <c r="BR69" t="s">
        <v>105</v>
      </c>
      <c r="BS69" t="s">
        <v>1519</v>
      </c>
      <c r="BT69" t="str">
        <f>HYPERLINK("https%3A%2F%2Fwww.webofscience.com%2Fwos%2Fwoscc%2Ffull-record%2FWOS:000419733100008","View Full Record in Web of Science")</f>
        <v>View Full Record in Web of Science</v>
      </c>
    </row>
    <row r="70" spans="1:72" x14ac:dyDescent="0.15">
      <c r="A70" t="s">
        <v>72</v>
      </c>
      <c r="B70" t="s">
        <v>1520</v>
      </c>
      <c r="C70" t="s">
        <v>74</v>
      </c>
      <c r="D70" t="s">
        <v>74</v>
      </c>
      <c r="E70" t="s">
        <v>74</v>
      </c>
      <c r="F70" t="s">
        <v>1521</v>
      </c>
      <c r="G70" t="s">
        <v>74</v>
      </c>
      <c r="H70" t="s">
        <v>74</v>
      </c>
      <c r="I70" t="s">
        <v>1522</v>
      </c>
      <c r="J70" t="s">
        <v>1523</v>
      </c>
      <c r="K70" t="s">
        <v>74</v>
      </c>
      <c r="L70" t="s">
        <v>74</v>
      </c>
      <c r="M70" t="s">
        <v>78</v>
      </c>
      <c r="N70" t="s">
        <v>79</v>
      </c>
      <c r="O70" t="s">
        <v>74</v>
      </c>
      <c r="P70" t="s">
        <v>74</v>
      </c>
      <c r="Q70" t="s">
        <v>74</v>
      </c>
      <c r="R70" t="s">
        <v>74</v>
      </c>
      <c r="S70" t="s">
        <v>74</v>
      </c>
      <c r="T70" t="s">
        <v>1524</v>
      </c>
      <c r="U70" t="s">
        <v>1525</v>
      </c>
      <c r="V70" t="s">
        <v>1526</v>
      </c>
      <c r="W70" t="s">
        <v>1527</v>
      </c>
      <c r="X70" t="s">
        <v>1528</v>
      </c>
      <c r="Y70" t="s">
        <v>1529</v>
      </c>
      <c r="Z70" t="s">
        <v>1530</v>
      </c>
      <c r="AA70" t="s">
        <v>1531</v>
      </c>
      <c r="AB70" t="s">
        <v>1532</v>
      </c>
      <c r="AC70" t="s">
        <v>1533</v>
      </c>
      <c r="AD70" t="s">
        <v>1534</v>
      </c>
      <c r="AE70" t="s">
        <v>1535</v>
      </c>
      <c r="AF70" t="s">
        <v>74</v>
      </c>
      <c r="AG70">
        <v>81</v>
      </c>
      <c r="AH70">
        <v>39</v>
      </c>
      <c r="AI70">
        <v>44</v>
      </c>
      <c r="AJ70">
        <v>1</v>
      </c>
      <c r="AK70">
        <v>49</v>
      </c>
      <c r="AL70" t="s">
        <v>1536</v>
      </c>
      <c r="AM70" t="s">
        <v>92</v>
      </c>
      <c r="AN70" t="s">
        <v>1537</v>
      </c>
      <c r="AO70" t="s">
        <v>1538</v>
      </c>
      <c r="AP70" t="s">
        <v>1539</v>
      </c>
      <c r="AQ70" t="s">
        <v>74</v>
      </c>
      <c r="AR70" t="s">
        <v>1540</v>
      </c>
      <c r="AS70" t="s">
        <v>1541</v>
      </c>
      <c r="AT70" t="s">
        <v>1494</v>
      </c>
      <c r="AU70">
        <v>2018</v>
      </c>
      <c r="AV70">
        <v>200</v>
      </c>
      <c r="AW70" t="s">
        <v>74</v>
      </c>
      <c r="AX70" t="s">
        <v>74</v>
      </c>
      <c r="AY70" t="s">
        <v>74</v>
      </c>
      <c r="AZ70" t="s">
        <v>74</v>
      </c>
      <c r="BA70" t="s">
        <v>74</v>
      </c>
      <c r="BB70">
        <v>141</v>
      </c>
      <c r="BC70">
        <v>151</v>
      </c>
      <c r="BD70" t="s">
        <v>74</v>
      </c>
      <c r="BE70" t="s">
        <v>1542</v>
      </c>
      <c r="BF70" t="str">
        <f>HYPERLINK("http://dx.doi.org/10.1016/j.ecss.2017.10.015","http://dx.doi.org/10.1016/j.ecss.2017.10.015")</f>
        <v>http://dx.doi.org/10.1016/j.ecss.2017.10.015</v>
      </c>
      <c r="BG70" t="s">
        <v>74</v>
      </c>
      <c r="BH70" t="s">
        <v>74</v>
      </c>
      <c r="BI70">
        <v>11</v>
      </c>
      <c r="BJ70" t="s">
        <v>1543</v>
      </c>
      <c r="BK70" t="s">
        <v>101</v>
      </c>
      <c r="BL70" t="s">
        <v>1543</v>
      </c>
      <c r="BM70" t="s">
        <v>1544</v>
      </c>
      <c r="BN70" t="s">
        <v>74</v>
      </c>
      <c r="BO70" t="s">
        <v>857</v>
      </c>
      <c r="BP70" t="s">
        <v>74</v>
      </c>
      <c r="BQ70" t="s">
        <v>74</v>
      </c>
      <c r="BR70" t="s">
        <v>105</v>
      </c>
      <c r="BS70" t="s">
        <v>1545</v>
      </c>
      <c r="BT70" t="str">
        <f>HYPERLINK("https%3A%2F%2Fwww.webofscience.com%2Fwos%2Fwoscc%2Ffull-record%2FWOS:000424308600013","View Full Record in Web of Science")</f>
        <v>View Full Record in Web of Science</v>
      </c>
    </row>
    <row r="71" spans="1:72" x14ac:dyDescent="0.15">
      <c r="A71" t="s">
        <v>72</v>
      </c>
      <c r="B71" t="s">
        <v>1546</v>
      </c>
      <c r="C71" t="s">
        <v>74</v>
      </c>
      <c r="D71" t="s">
        <v>74</v>
      </c>
      <c r="E71" t="s">
        <v>74</v>
      </c>
      <c r="F71" t="s">
        <v>1547</v>
      </c>
      <c r="G71" t="s">
        <v>74</v>
      </c>
      <c r="H71" t="s">
        <v>74</v>
      </c>
      <c r="I71" t="s">
        <v>1548</v>
      </c>
      <c r="J71" t="s">
        <v>1549</v>
      </c>
      <c r="K71" t="s">
        <v>74</v>
      </c>
      <c r="L71" t="s">
        <v>74</v>
      </c>
      <c r="M71" t="s">
        <v>78</v>
      </c>
      <c r="N71" t="s">
        <v>79</v>
      </c>
      <c r="O71" t="s">
        <v>74</v>
      </c>
      <c r="P71" t="s">
        <v>74</v>
      </c>
      <c r="Q71" t="s">
        <v>74</v>
      </c>
      <c r="R71" t="s">
        <v>74</v>
      </c>
      <c r="S71" t="s">
        <v>74</v>
      </c>
      <c r="T71" t="s">
        <v>74</v>
      </c>
      <c r="U71" t="s">
        <v>1550</v>
      </c>
      <c r="V71" t="s">
        <v>1551</v>
      </c>
      <c r="W71" t="s">
        <v>1552</v>
      </c>
      <c r="X71" t="s">
        <v>1553</v>
      </c>
      <c r="Y71" t="s">
        <v>1554</v>
      </c>
      <c r="Z71" t="s">
        <v>1555</v>
      </c>
      <c r="AA71" t="s">
        <v>1556</v>
      </c>
      <c r="AB71" t="s">
        <v>1557</v>
      </c>
      <c r="AC71" t="s">
        <v>1558</v>
      </c>
      <c r="AD71" t="s">
        <v>1559</v>
      </c>
      <c r="AE71" t="s">
        <v>1560</v>
      </c>
      <c r="AF71" t="s">
        <v>74</v>
      </c>
      <c r="AG71">
        <v>71</v>
      </c>
      <c r="AH71">
        <v>114</v>
      </c>
      <c r="AI71">
        <v>121</v>
      </c>
      <c r="AJ71">
        <v>6</v>
      </c>
      <c r="AK71">
        <v>178</v>
      </c>
      <c r="AL71" t="s">
        <v>892</v>
      </c>
      <c r="AM71" t="s">
        <v>698</v>
      </c>
      <c r="AN71" t="s">
        <v>699</v>
      </c>
      <c r="AO71" t="s">
        <v>1561</v>
      </c>
      <c r="AP71" t="s">
        <v>1562</v>
      </c>
      <c r="AQ71" t="s">
        <v>74</v>
      </c>
      <c r="AR71" t="s">
        <v>1549</v>
      </c>
      <c r="AS71" t="s">
        <v>1563</v>
      </c>
      <c r="AT71" t="s">
        <v>1564</v>
      </c>
      <c r="AU71">
        <v>2018</v>
      </c>
      <c r="AV71">
        <v>553</v>
      </c>
      <c r="AW71">
        <v>7686</v>
      </c>
      <c r="AX71" t="s">
        <v>74</v>
      </c>
      <c r="AY71" t="s">
        <v>74</v>
      </c>
      <c r="AZ71" t="s">
        <v>74</v>
      </c>
      <c r="BA71" t="s">
        <v>74</v>
      </c>
      <c r="BB71">
        <v>39</v>
      </c>
      <c r="BC71" t="s">
        <v>1565</v>
      </c>
      <c r="BD71" t="s">
        <v>74</v>
      </c>
      <c r="BE71" t="s">
        <v>1566</v>
      </c>
      <c r="BF71" t="str">
        <f>HYPERLINK("http://dx.doi.org/10.1038/nature25152","http://dx.doi.org/10.1038/nature25152")</f>
        <v>http://dx.doi.org/10.1038/nature25152</v>
      </c>
      <c r="BG71" t="s">
        <v>74</v>
      </c>
      <c r="BH71" t="s">
        <v>74</v>
      </c>
      <c r="BI71">
        <v>15</v>
      </c>
      <c r="BJ71" t="s">
        <v>129</v>
      </c>
      <c r="BK71" t="s">
        <v>101</v>
      </c>
      <c r="BL71" t="s">
        <v>130</v>
      </c>
      <c r="BM71" t="s">
        <v>1567</v>
      </c>
      <c r="BN71">
        <v>29300008</v>
      </c>
      <c r="BO71" t="s">
        <v>1568</v>
      </c>
      <c r="BP71" t="s">
        <v>74</v>
      </c>
      <c r="BQ71" t="s">
        <v>74</v>
      </c>
      <c r="BR71" t="s">
        <v>105</v>
      </c>
      <c r="BS71" t="s">
        <v>1569</v>
      </c>
      <c r="BT71" t="str">
        <f>HYPERLINK("https%3A%2F%2Fwww.webofscience.com%2Fwos%2Fwoscc%2Ffull-record%2FWOS:000419769300025","View Full Record in Web of Science")</f>
        <v>View Full Record in Web of Science</v>
      </c>
    </row>
    <row r="72" spans="1:72" x14ac:dyDescent="0.15">
      <c r="A72" t="s">
        <v>72</v>
      </c>
      <c r="B72" t="s">
        <v>1570</v>
      </c>
      <c r="C72" t="s">
        <v>74</v>
      </c>
      <c r="D72" t="s">
        <v>74</v>
      </c>
      <c r="E72" t="s">
        <v>74</v>
      </c>
      <c r="F72" t="s">
        <v>1571</v>
      </c>
      <c r="G72" t="s">
        <v>74</v>
      </c>
      <c r="H72" t="s">
        <v>74</v>
      </c>
      <c r="I72" t="s">
        <v>1572</v>
      </c>
      <c r="J72" t="s">
        <v>635</v>
      </c>
      <c r="K72" t="s">
        <v>74</v>
      </c>
      <c r="L72" t="s">
        <v>74</v>
      </c>
      <c r="M72" t="s">
        <v>78</v>
      </c>
      <c r="N72" t="s">
        <v>79</v>
      </c>
      <c r="O72" t="s">
        <v>74</v>
      </c>
      <c r="P72" t="s">
        <v>74</v>
      </c>
      <c r="Q72" t="s">
        <v>74</v>
      </c>
      <c r="R72" t="s">
        <v>74</v>
      </c>
      <c r="S72" t="s">
        <v>74</v>
      </c>
      <c r="T72" t="s">
        <v>1573</v>
      </c>
      <c r="U72" t="s">
        <v>1574</v>
      </c>
      <c r="V72" t="s">
        <v>1575</v>
      </c>
      <c r="W72" t="s">
        <v>1576</v>
      </c>
      <c r="X72" t="s">
        <v>1577</v>
      </c>
      <c r="Y72" t="s">
        <v>1578</v>
      </c>
      <c r="Z72" t="s">
        <v>1579</v>
      </c>
      <c r="AA72" t="s">
        <v>74</v>
      </c>
      <c r="AB72" t="s">
        <v>1580</v>
      </c>
      <c r="AC72" t="s">
        <v>1581</v>
      </c>
      <c r="AD72" t="s">
        <v>1582</v>
      </c>
      <c r="AE72" t="s">
        <v>1583</v>
      </c>
      <c r="AF72" t="s">
        <v>74</v>
      </c>
      <c r="AG72">
        <v>21</v>
      </c>
      <c r="AH72">
        <v>3</v>
      </c>
      <c r="AI72">
        <v>3</v>
      </c>
      <c r="AJ72">
        <v>0</v>
      </c>
      <c r="AK72">
        <v>3</v>
      </c>
      <c r="AL72" t="s">
        <v>648</v>
      </c>
      <c r="AM72" t="s">
        <v>649</v>
      </c>
      <c r="AN72" t="s">
        <v>650</v>
      </c>
      <c r="AO72" t="s">
        <v>651</v>
      </c>
      <c r="AP72" t="s">
        <v>652</v>
      </c>
      <c r="AQ72" t="s">
        <v>74</v>
      </c>
      <c r="AR72" t="s">
        <v>635</v>
      </c>
      <c r="AS72" t="s">
        <v>653</v>
      </c>
      <c r="AT72" t="s">
        <v>1564</v>
      </c>
      <c r="AU72">
        <v>2018</v>
      </c>
      <c r="AV72">
        <v>4369</v>
      </c>
      <c r="AW72">
        <v>2</v>
      </c>
      <c r="AX72" t="s">
        <v>74</v>
      </c>
      <c r="AY72" t="s">
        <v>74</v>
      </c>
      <c r="AZ72" t="s">
        <v>74</v>
      </c>
      <c r="BA72" t="s">
        <v>74</v>
      </c>
      <c r="BB72">
        <v>186</v>
      </c>
      <c r="BC72">
        <v>196</v>
      </c>
      <c r="BD72" t="s">
        <v>74</v>
      </c>
      <c r="BE72" t="s">
        <v>1584</v>
      </c>
      <c r="BF72" t="str">
        <f>HYPERLINK("http://dx.doi.org/10.11646/zootaxa.4369.2.2","http://dx.doi.org/10.11646/zootaxa.4369.2.2")</f>
        <v>http://dx.doi.org/10.11646/zootaxa.4369.2.2</v>
      </c>
      <c r="BG72" t="s">
        <v>74</v>
      </c>
      <c r="BH72" t="s">
        <v>74</v>
      </c>
      <c r="BI72">
        <v>11</v>
      </c>
      <c r="BJ72" t="s">
        <v>655</v>
      </c>
      <c r="BK72" t="s">
        <v>101</v>
      </c>
      <c r="BL72" t="s">
        <v>655</v>
      </c>
      <c r="BM72" t="s">
        <v>1585</v>
      </c>
      <c r="BN72">
        <v>29689886</v>
      </c>
      <c r="BO72" t="s">
        <v>74</v>
      </c>
      <c r="BP72" t="s">
        <v>74</v>
      </c>
      <c r="BQ72" t="s">
        <v>74</v>
      </c>
      <c r="BR72" t="s">
        <v>105</v>
      </c>
      <c r="BS72" t="s">
        <v>1586</v>
      </c>
      <c r="BT72" t="str">
        <f>HYPERLINK("https%3A%2F%2Fwww.webofscience.com%2Fwos%2Fwoscc%2Ffull-record%2FWOS:000419729900002","View Full Record in Web of Science")</f>
        <v>View Full Record in Web of Science</v>
      </c>
    </row>
    <row r="73" spans="1:72" x14ac:dyDescent="0.15">
      <c r="A73" t="s">
        <v>72</v>
      </c>
      <c r="B73" t="s">
        <v>1587</v>
      </c>
      <c r="C73" t="s">
        <v>74</v>
      </c>
      <c r="D73" t="s">
        <v>74</v>
      </c>
      <c r="E73" t="s">
        <v>74</v>
      </c>
      <c r="F73" t="s">
        <v>1588</v>
      </c>
      <c r="G73" t="s">
        <v>74</v>
      </c>
      <c r="H73" t="s">
        <v>74</v>
      </c>
      <c r="I73" t="s">
        <v>1589</v>
      </c>
      <c r="J73" t="s">
        <v>901</v>
      </c>
      <c r="K73" t="s">
        <v>74</v>
      </c>
      <c r="L73" t="s">
        <v>74</v>
      </c>
      <c r="M73" t="s">
        <v>78</v>
      </c>
      <c r="N73" t="s">
        <v>79</v>
      </c>
      <c r="O73" t="s">
        <v>74</v>
      </c>
      <c r="P73" t="s">
        <v>74</v>
      </c>
      <c r="Q73" t="s">
        <v>74</v>
      </c>
      <c r="R73" t="s">
        <v>74</v>
      </c>
      <c r="S73" t="s">
        <v>74</v>
      </c>
      <c r="T73" t="s">
        <v>1590</v>
      </c>
      <c r="U73" t="s">
        <v>1591</v>
      </c>
      <c r="V73" t="s">
        <v>1592</v>
      </c>
      <c r="W73" t="s">
        <v>1593</v>
      </c>
      <c r="X73" t="s">
        <v>1594</v>
      </c>
      <c r="Y73" t="s">
        <v>1595</v>
      </c>
      <c r="Z73" t="s">
        <v>1596</v>
      </c>
      <c r="AA73" t="s">
        <v>1597</v>
      </c>
      <c r="AB73" t="s">
        <v>1598</v>
      </c>
      <c r="AC73" t="s">
        <v>1599</v>
      </c>
      <c r="AD73" t="s">
        <v>1600</v>
      </c>
      <c r="AE73" t="s">
        <v>1601</v>
      </c>
      <c r="AF73" t="s">
        <v>74</v>
      </c>
      <c r="AG73">
        <v>79</v>
      </c>
      <c r="AH73">
        <v>27</v>
      </c>
      <c r="AI73">
        <v>32</v>
      </c>
      <c r="AJ73">
        <v>1</v>
      </c>
      <c r="AK73">
        <v>38</v>
      </c>
      <c r="AL73" t="s">
        <v>913</v>
      </c>
      <c r="AM73" t="s">
        <v>92</v>
      </c>
      <c r="AN73" t="s">
        <v>914</v>
      </c>
      <c r="AO73" t="s">
        <v>915</v>
      </c>
      <c r="AP73" t="s">
        <v>74</v>
      </c>
      <c r="AQ73" t="s">
        <v>74</v>
      </c>
      <c r="AR73" t="s">
        <v>901</v>
      </c>
      <c r="AS73" t="s">
        <v>916</v>
      </c>
      <c r="AT73" t="s">
        <v>1564</v>
      </c>
      <c r="AU73">
        <v>2018</v>
      </c>
      <c r="AV73">
        <v>6</v>
      </c>
      <c r="AW73" t="s">
        <v>74</v>
      </c>
      <c r="AX73" t="s">
        <v>74</v>
      </c>
      <c r="AY73" t="s">
        <v>74</v>
      </c>
      <c r="AZ73" t="s">
        <v>74</v>
      </c>
      <c r="BA73" t="s">
        <v>74</v>
      </c>
      <c r="BB73" t="s">
        <v>74</v>
      </c>
      <c r="BC73" t="s">
        <v>74</v>
      </c>
      <c r="BD73" t="s">
        <v>1602</v>
      </c>
      <c r="BE73" t="s">
        <v>1603</v>
      </c>
      <c r="BF73" t="str">
        <f>HYPERLINK("http://dx.doi.org/10.7717/peerj.4124","http://dx.doi.org/10.7717/peerj.4124")</f>
        <v>http://dx.doi.org/10.7717/peerj.4124</v>
      </c>
      <c r="BG73" t="s">
        <v>74</v>
      </c>
      <c r="BH73" t="s">
        <v>74</v>
      </c>
      <c r="BI73">
        <v>25</v>
      </c>
      <c r="BJ73" t="s">
        <v>129</v>
      </c>
      <c r="BK73" t="s">
        <v>101</v>
      </c>
      <c r="BL73" t="s">
        <v>130</v>
      </c>
      <c r="BM73" t="s">
        <v>1604</v>
      </c>
      <c r="BN73">
        <v>29312813</v>
      </c>
      <c r="BO73" t="s">
        <v>560</v>
      </c>
      <c r="BP73" t="s">
        <v>74</v>
      </c>
      <c r="BQ73" t="s">
        <v>74</v>
      </c>
      <c r="BR73" t="s">
        <v>105</v>
      </c>
      <c r="BS73" t="s">
        <v>1605</v>
      </c>
      <c r="BT73" t="str">
        <f>HYPERLINK("https%3A%2F%2Fwww.webofscience.com%2Fwos%2Fwoscc%2Ffull-record%2FWOS:000419200900002","View Full Record in Web of Science")</f>
        <v>View Full Record in Web of Science</v>
      </c>
    </row>
    <row r="74" spans="1:72" x14ac:dyDescent="0.15">
      <c r="A74" t="s">
        <v>72</v>
      </c>
      <c r="B74" t="s">
        <v>1606</v>
      </c>
      <c r="C74" t="s">
        <v>74</v>
      </c>
      <c r="D74" t="s">
        <v>74</v>
      </c>
      <c r="E74" t="s">
        <v>74</v>
      </c>
      <c r="F74" t="s">
        <v>1607</v>
      </c>
      <c r="G74" t="s">
        <v>74</v>
      </c>
      <c r="H74" t="s">
        <v>74</v>
      </c>
      <c r="I74" t="s">
        <v>1608</v>
      </c>
      <c r="J74" t="s">
        <v>137</v>
      </c>
      <c r="K74" t="s">
        <v>74</v>
      </c>
      <c r="L74" t="s">
        <v>74</v>
      </c>
      <c r="M74" t="s">
        <v>78</v>
      </c>
      <c r="N74" t="s">
        <v>79</v>
      </c>
      <c r="O74" t="s">
        <v>74</v>
      </c>
      <c r="P74" t="s">
        <v>74</v>
      </c>
      <c r="Q74" t="s">
        <v>74</v>
      </c>
      <c r="R74" t="s">
        <v>74</v>
      </c>
      <c r="S74" t="s">
        <v>74</v>
      </c>
      <c r="T74" t="s">
        <v>74</v>
      </c>
      <c r="U74" t="s">
        <v>1609</v>
      </c>
      <c r="V74" t="s">
        <v>1610</v>
      </c>
      <c r="W74" t="s">
        <v>1611</v>
      </c>
      <c r="X74" t="s">
        <v>1612</v>
      </c>
      <c r="Y74" t="s">
        <v>1613</v>
      </c>
      <c r="Z74" t="s">
        <v>1614</v>
      </c>
      <c r="AA74" t="s">
        <v>1615</v>
      </c>
      <c r="AB74" t="s">
        <v>1616</v>
      </c>
      <c r="AC74" t="s">
        <v>1617</v>
      </c>
      <c r="AD74" t="s">
        <v>1618</v>
      </c>
      <c r="AE74" t="s">
        <v>1619</v>
      </c>
      <c r="AF74" t="s">
        <v>74</v>
      </c>
      <c r="AG74">
        <v>81</v>
      </c>
      <c r="AH74">
        <v>19</v>
      </c>
      <c r="AI74">
        <v>21</v>
      </c>
      <c r="AJ74">
        <v>2</v>
      </c>
      <c r="AK74">
        <v>15</v>
      </c>
      <c r="AL74" t="s">
        <v>149</v>
      </c>
      <c r="AM74" t="s">
        <v>150</v>
      </c>
      <c r="AN74" t="s">
        <v>151</v>
      </c>
      <c r="AO74" t="s">
        <v>152</v>
      </c>
      <c r="AP74" t="s">
        <v>153</v>
      </c>
      <c r="AQ74" t="s">
        <v>74</v>
      </c>
      <c r="AR74" t="s">
        <v>137</v>
      </c>
      <c r="AS74" t="s">
        <v>154</v>
      </c>
      <c r="AT74" t="s">
        <v>1564</v>
      </c>
      <c r="AU74">
        <v>2018</v>
      </c>
      <c r="AV74">
        <v>15</v>
      </c>
      <c r="AW74">
        <v>1</v>
      </c>
      <c r="AX74" t="s">
        <v>74</v>
      </c>
      <c r="AY74" t="s">
        <v>74</v>
      </c>
      <c r="AZ74" t="s">
        <v>74</v>
      </c>
      <c r="BA74" t="s">
        <v>74</v>
      </c>
      <c r="BB74">
        <v>73</v>
      </c>
      <c r="BC74">
        <v>90</v>
      </c>
      <c r="BD74" t="s">
        <v>74</v>
      </c>
      <c r="BE74" t="s">
        <v>1620</v>
      </c>
      <c r="BF74" t="str">
        <f>HYPERLINK("http://dx.doi.org/10.5194/bg-15-73-2018","http://dx.doi.org/10.5194/bg-15-73-2018")</f>
        <v>http://dx.doi.org/10.5194/bg-15-73-2018</v>
      </c>
      <c r="BG74" t="s">
        <v>74</v>
      </c>
      <c r="BH74" t="s">
        <v>74</v>
      </c>
      <c r="BI74">
        <v>18</v>
      </c>
      <c r="BJ74" t="s">
        <v>157</v>
      </c>
      <c r="BK74" t="s">
        <v>101</v>
      </c>
      <c r="BL74" t="s">
        <v>158</v>
      </c>
      <c r="BM74" t="s">
        <v>1621</v>
      </c>
      <c r="BN74" t="s">
        <v>74</v>
      </c>
      <c r="BO74" t="s">
        <v>236</v>
      </c>
      <c r="BP74" t="s">
        <v>74</v>
      </c>
      <c r="BQ74" t="s">
        <v>74</v>
      </c>
      <c r="BR74" t="s">
        <v>105</v>
      </c>
      <c r="BS74" t="s">
        <v>1622</v>
      </c>
      <c r="BT74" t="str">
        <f>HYPERLINK("https%3A%2F%2Fwww.webofscience.com%2Fwos%2Fwoscc%2Ffull-record%2FWOS:000419149600001","View Full Record in Web of Science")</f>
        <v>View Full Record in Web of Science</v>
      </c>
    </row>
    <row r="75" spans="1:72" x14ac:dyDescent="0.15">
      <c r="A75" t="s">
        <v>72</v>
      </c>
      <c r="B75" t="s">
        <v>1623</v>
      </c>
      <c r="C75" t="s">
        <v>74</v>
      </c>
      <c r="D75" t="s">
        <v>74</v>
      </c>
      <c r="E75" t="s">
        <v>74</v>
      </c>
      <c r="F75" t="s">
        <v>1624</v>
      </c>
      <c r="G75" t="s">
        <v>74</v>
      </c>
      <c r="H75" t="s">
        <v>74</v>
      </c>
      <c r="I75" t="s">
        <v>1625</v>
      </c>
      <c r="J75" t="s">
        <v>137</v>
      </c>
      <c r="K75" t="s">
        <v>74</v>
      </c>
      <c r="L75" t="s">
        <v>74</v>
      </c>
      <c r="M75" t="s">
        <v>78</v>
      </c>
      <c r="N75" t="s">
        <v>79</v>
      </c>
      <c r="O75" t="s">
        <v>74</v>
      </c>
      <c r="P75" t="s">
        <v>74</v>
      </c>
      <c r="Q75" t="s">
        <v>74</v>
      </c>
      <c r="R75" t="s">
        <v>74</v>
      </c>
      <c r="S75" t="s">
        <v>74</v>
      </c>
      <c r="T75" t="s">
        <v>74</v>
      </c>
      <c r="U75" t="s">
        <v>1626</v>
      </c>
      <c r="V75" t="s">
        <v>1627</v>
      </c>
      <c r="W75" t="s">
        <v>1628</v>
      </c>
      <c r="X75" t="s">
        <v>1629</v>
      </c>
      <c r="Y75" t="s">
        <v>1630</v>
      </c>
      <c r="Z75" t="s">
        <v>1631</v>
      </c>
      <c r="AA75" t="s">
        <v>1632</v>
      </c>
      <c r="AB75" t="s">
        <v>1633</v>
      </c>
      <c r="AC75" t="s">
        <v>1634</v>
      </c>
      <c r="AD75" t="s">
        <v>1634</v>
      </c>
      <c r="AE75" t="s">
        <v>1635</v>
      </c>
      <c r="AF75" t="s">
        <v>74</v>
      </c>
      <c r="AG75">
        <v>93</v>
      </c>
      <c r="AH75">
        <v>23</v>
      </c>
      <c r="AI75">
        <v>23</v>
      </c>
      <c r="AJ75">
        <v>1</v>
      </c>
      <c r="AK75">
        <v>44</v>
      </c>
      <c r="AL75" t="s">
        <v>149</v>
      </c>
      <c r="AM75" t="s">
        <v>150</v>
      </c>
      <c r="AN75" t="s">
        <v>151</v>
      </c>
      <c r="AO75" t="s">
        <v>152</v>
      </c>
      <c r="AP75" t="s">
        <v>153</v>
      </c>
      <c r="AQ75" t="s">
        <v>74</v>
      </c>
      <c r="AR75" t="s">
        <v>137</v>
      </c>
      <c r="AS75" t="s">
        <v>154</v>
      </c>
      <c r="AT75" t="s">
        <v>1636</v>
      </c>
      <c r="AU75">
        <v>2018</v>
      </c>
      <c r="AV75">
        <v>15</v>
      </c>
      <c r="AW75">
        <v>1</v>
      </c>
      <c r="AX75" t="s">
        <v>74</v>
      </c>
      <c r="AY75" t="s">
        <v>74</v>
      </c>
      <c r="AZ75" t="s">
        <v>74</v>
      </c>
      <c r="BA75" t="s">
        <v>74</v>
      </c>
      <c r="BB75">
        <v>31</v>
      </c>
      <c r="BC75">
        <v>49</v>
      </c>
      <c r="BD75" t="s">
        <v>74</v>
      </c>
      <c r="BE75" t="s">
        <v>1637</v>
      </c>
      <c r="BF75" t="str">
        <f>HYPERLINK("http://dx.doi.org/10.5194/bg-15-31-2018","http://dx.doi.org/10.5194/bg-15-31-2018")</f>
        <v>http://dx.doi.org/10.5194/bg-15-31-2018</v>
      </c>
      <c r="BG75" t="s">
        <v>74</v>
      </c>
      <c r="BH75" t="s">
        <v>74</v>
      </c>
      <c r="BI75">
        <v>19</v>
      </c>
      <c r="BJ75" t="s">
        <v>157</v>
      </c>
      <c r="BK75" t="s">
        <v>101</v>
      </c>
      <c r="BL75" t="s">
        <v>158</v>
      </c>
      <c r="BM75" t="s">
        <v>1638</v>
      </c>
      <c r="BN75" t="s">
        <v>74</v>
      </c>
      <c r="BO75" t="s">
        <v>236</v>
      </c>
      <c r="BP75" t="s">
        <v>74</v>
      </c>
      <c r="BQ75" t="s">
        <v>74</v>
      </c>
      <c r="BR75" t="s">
        <v>105</v>
      </c>
      <c r="BS75" t="s">
        <v>1639</v>
      </c>
      <c r="BT75" t="str">
        <f>HYPERLINK("https%3A%2F%2Fwww.webofscience.com%2Fwos%2Fwoscc%2Ffull-record%2FWOS:000419091200002","View Full Record in Web of Science")</f>
        <v>View Full Record in Web of Science</v>
      </c>
    </row>
    <row r="76" spans="1:72" x14ac:dyDescent="0.15">
      <c r="A76" t="s">
        <v>72</v>
      </c>
      <c r="B76" t="s">
        <v>1640</v>
      </c>
      <c r="C76" t="s">
        <v>74</v>
      </c>
      <c r="D76" t="s">
        <v>74</v>
      </c>
      <c r="E76" t="s">
        <v>74</v>
      </c>
      <c r="F76" t="s">
        <v>1641</v>
      </c>
      <c r="G76" t="s">
        <v>74</v>
      </c>
      <c r="H76" t="s">
        <v>74</v>
      </c>
      <c r="I76" t="s">
        <v>1642</v>
      </c>
      <c r="J76" t="s">
        <v>1643</v>
      </c>
      <c r="K76" t="s">
        <v>74</v>
      </c>
      <c r="L76" t="s">
        <v>74</v>
      </c>
      <c r="M76" t="s">
        <v>78</v>
      </c>
      <c r="N76" t="s">
        <v>1644</v>
      </c>
      <c r="O76" t="s">
        <v>74</v>
      </c>
      <c r="P76" t="s">
        <v>74</v>
      </c>
      <c r="Q76" t="s">
        <v>74</v>
      </c>
      <c r="R76" t="s">
        <v>74</v>
      </c>
      <c r="S76" t="s">
        <v>74</v>
      </c>
      <c r="T76" t="s">
        <v>74</v>
      </c>
      <c r="U76" t="s">
        <v>74</v>
      </c>
      <c r="V76" t="s">
        <v>74</v>
      </c>
      <c r="W76" t="s">
        <v>1645</v>
      </c>
      <c r="X76" t="s">
        <v>1646</v>
      </c>
      <c r="Y76" t="s">
        <v>1647</v>
      </c>
      <c r="Z76" t="s">
        <v>74</v>
      </c>
      <c r="AA76" t="s">
        <v>74</v>
      </c>
      <c r="AB76" t="s">
        <v>74</v>
      </c>
      <c r="AC76" t="s">
        <v>74</v>
      </c>
      <c r="AD76" t="s">
        <v>74</v>
      </c>
      <c r="AE76" t="s">
        <v>74</v>
      </c>
      <c r="AF76" t="s">
        <v>74</v>
      </c>
      <c r="AG76">
        <v>0</v>
      </c>
      <c r="AH76">
        <v>0</v>
      </c>
      <c r="AI76">
        <v>0</v>
      </c>
      <c r="AJ76">
        <v>0</v>
      </c>
      <c r="AK76">
        <v>3</v>
      </c>
      <c r="AL76" t="s">
        <v>1648</v>
      </c>
      <c r="AM76" t="s">
        <v>1649</v>
      </c>
      <c r="AN76" t="s">
        <v>1650</v>
      </c>
      <c r="AO76" t="s">
        <v>1651</v>
      </c>
      <c r="AP76" t="s">
        <v>1652</v>
      </c>
      <c r="AQ76" t="s">
        <v>74</v>
      </c>
      <c r="AR76" t="s">
        <v>1653</v>
      </c>
      <c r="AS76" t="s">
        <v>1654</v>
      </c>
      <c r="AT76" t="s">
        <v>1636</v>
      </c>
      <c r="AU76">
        <v>2018</v>
      </c>
      <c r="AV76">
        <v>50</v>
      </c>
      <c r="AW76">
        <v>1</v>
      </c>
      <c r="AX76" t="s">
        <v>74</v>
      </c>
      <c r="AY76" t="s">
        <v>74</v>
      </c>
      <c r="AZ76" t="s">
        <v>74</v>
      </c>
      <c r="BA76" t="s">
        <v>74</v>
      </c>
      <c r="BB76" t="s">
        <v>74</v>
      </c>
      <c r="BC76" t="s">
        <v>74</v>
      </c>
      <c r="BD76" t="s">
        <v>1655</v>
      </c>
      <c r="BE76" t="s">
        <v>1656</v>
      </c>
      <c r="BF76" t="str">
        <f>HYPERLINK("http://dx.doi.org/10.1080/15230430.2017.1420851","http://dx.doi.org/10.1080/15230430.2017.1420851")</f>
        <v>http://dx.doi.org/10.1080/15230430.2017.1420851</v>
      </c>
      <c r="BG76" t="s">
        <v>74</v>
      </c>
      <c r="BH76" t="s">
        <v>74</v>
      </c>
      <c r="BI76">
        <v>2</v>
      </c>
      <c r="BJ76" t="s">
        <v>1657</v>
      </c>
      <c r="BK76" t="s">
        <v>101</v>
      </c>
      <c r="BL76" t="s">
        <v>1658</v>
      </c>
      <c r="BM76" t="s">
        <v>1659</v>
      </c>
      <c r="BN76" t="s">
        <v>74</v>
      </c>
      <c r="BO76" t="s">
        <v>160</v>
      </c>
      <c r="BP76" t="s">
        <v>74</v>
      </c>
      <c r="BQ76" t="s">
        <v>74</v>
      </c>
      <c r="BR76" t="s">
        <v>105</v>
      </c>
      <c r="BS76" t="s">
        <v>1660</v>
      </c>
      <c r="BT76" t="str">
        <f>HYPERLINK("https%3A%2F%2Fwww.webofscience.com%2Fwos%2Fwoscc%2Ffull-record%2FWOS:000438728400001","View Full Record in Web of Science")</f>
        <v>View Full Record in Web of Science</v>
      </c>
    </row>
    <row r="77" spans="1:72" x14ac:dyDescent="0.15">
      <c r="A77" t="s">
        <v>72</v>
      </c>
      <c r="B77" t="s">
        <v>1661</v>
      </c>
      <c r="C77" t="s">
        <v>74</v>
      </c>
      <c r="D77" t="s">
        <v>74</v>
      </c>
      <c r="E77" t="s">
        <v>74</v>
      </c>
      <c r="F77" t="s">
        <v>1662</v>
      </c>
      <c r="G77" t="s">
        <v>74</v>
      </c>
      <c r="H77" t="s">
        <v>74</v>
      </c>
      <c r="I77" t="s">
        <v>1663</v>
      </c>
      <c r="J77" t="s">
        <v>1664</v>
      </c>
      <c r="K77" t="s">
        <v>74</v>
      </c>
      <c r="L77" t="s">
        <v>74</v>
      </c>
      <c r="M77" t="s">
        <v>78</v>
      </c>
      <c r="N77" t="s">
        <v>79</v>
      </c>
      <c r="O77" t="s">
        <v>74</v>
      </c>
      <c r="P77" t="s">
        <v>74</v>
      </c>
      <c r="Q77" t="s">
        <v>74</v>
      </c>
      <c r="R77" t="s">
        <v>74</v>
      </c>
      <c r="S77" t="s">
        <v>74</v>
      </c>
      <c r="T77" t="s">
        <v>1665</v>
      </c>
      <c r="U77" t="s">
        <v>1666</v>
      </c>
      <c r="V77" t="s">
        <v>1667</v>
      </c>
      <c r="W77" t="s">
        <v>1668</v>
      </c>
      <c r="X77" t="s">
        <v>1669</v>
      </c>
      <c r="Y77" t="s">
        <v>1670</v>
      </c>
      <c r="Z77" t="s">
        <v>1671</v>
      </c>
      <c r="AA77" t="s">
        <v>1672</v>
      </c>
      <c r="AB77" t="s">
        <v>1673</v>
      </c>
      <c r="AC77" t="s">
        <v>1674</v>
      </c>
      <c r="AD77" t="s">
        <v>1675</v>
      </c>
      <c r="AE77" t="s">
        <v>1676</v>
      </c>
      <c r="AF77" t="s">
        <v>74</v>
      </c>
      <c r="AG77">
        <v>88</v>
      </c>
      <c r="AH77">
        <v>20</v>
      </c>
      <c r="AI77">
        <v>20</v>
      </c>
      <c r="AJ77">
        <v>0</v>
      </c>
      <c r="AK77">
        <v>11</v>
      </c>
      <c r="AL77" t="s">
        <v>807</v>
      </c>
      <c r="AM77" t="s">
        <v>808</v>
      </c>
      <c r="AN77" t="s">
        <v>809</v>
      </c>
      <c r="AO77" t="s">
        <v>1677</v>
      </c>
      <c r="AP77" t="s">
        <v>1678</v>
      </c>
      <c r="AQ77" t="s">
        <v>74</v>
      </c>
      <c r="AR77" t="s">
        <v>1664</v>
      </c>
      <c r="AS77" t="s">
        <v>1679</v>
      </c>
      <c r="AT77" t="s">
        <v>1680</v>
      </c>
      <c r="AU77">
        <v>2018</v>
      </c>
      <c r="AV77">
        <v>722</v>
      </c>
      <c r="AW77" t="s">
        <v>74</v>
      </c>
      <c r="AX77" t="s">
        <v>74</v>
      </c>
      <c r="AY77" t="s">
        <v>74</v>
      </c>
      <c r="AZ77" t="s">
        <v>74</v>
      </c>
      <c r="BA77" t="s">
        <v>74</v>
      </c>
      <c r="BB77">
        <v>249</v>
      </c>
      <c r="BC77">
        <v>264</v>
      </c>
      <c r="BD77" t="s">
        <v>74</v>
      </c>
      <c r="BE77" t="s">
        <v>1681</v>
      </c>
      <c r="BF77" t="str">
        <f>HYPERLINK("http://dx.doi.org/10.1016/j.tecto.2017.11.011","http://dx.doi.org/10.1016/j.tecto.2017.11.011")</f>
        <v>http://dx.doi.org/10.1016/j.tecto.2017.11.011</v>
      </c>
      <c r="BG77" t="s">
        <v>74</v>
      </c>
      <c r="BH77" t="s">
        <v>74</v>
      </c>
      <c r="BI77">
        <v>16</v>
      </c>
      <c r="BJ77" t="s">
        <v>1148</v>
      </c>
      <c r="BK77" t="s">
        <v>101</v>
      </c>
      <c r="BL77" t="s">
        <v>1148</v>
      </c>
      <c r="BM77" t="s">
        <v>1682</v>
      </c>
      <c r="BN77" t="s">
        <v>74</v>
      </c>
      <c r="BO77" t="s">
        <v>389</v>
      </c>
      <c r="BP77" t="s">
        <v>74</v>
      </c>
      <c r="BQ77" t="s">
        <v>74</v>
      </c>
      <c r="BR77" t="s">
        <v>105</v>
      </c>
      <c r="BS77" t="s">
        <v>1683</v>
      </c>
      <c r="BT77" t="str">
        <f>HYPERLINK("https%3A%2F%2Fwww.webofscience.com%2Fwos%2Fwoscc%2Ffull-record%2FWOS:000426022800017","View Full Record in Web of Science")</f>
        <v>View Full Record in Web of Science</v>
      </c>
    </row>
    <row r="78" spans="1:72" x14ac:dyDescent="0.15">
      <c r="A78" t="s">
        <v>72</v>
      </c>
      <c r="B78" t="s">
        <v>1684</v>
      </c>
      <c r="C78" t="s">
        <v>74</v>
      </c>
      <c r="D78" t="s">
        <v>74</v>
      </c>
      <c r="E78" t="s">
        <v>74</v>
      </c>
      <c r="F78" t="s">
        <v>1685</v>
      </c>
      <c r="G78" t="s">
        <v>74</v>
      </c>
      <c r="H78" t="s">
        <v>74</v>
      </c>
      <c r="I78" t="s">
        <v>1686</v>
      </c>
      <c r="J78" t="s">
        <v>1687</v>
      </c>
      <c r="K78" t="s">
        <v>74</v>
      </c>
      <c r="L78" t="s">
        <v>74</v>
      </c>
      <c r="M78" t="s">
        <v>78</v>
      </c>
      <c r="N78" t="s">
        <v>79</v>
      </c>
      <c r="O78" t="s">
        <v>74</v>
      </c>
      <c r="P78" t="s">
        <v>74</v>
      </c>
      <c r="Q78" t="s">
        <v>74</v>
      </c>
      <c r="R78" t="s">
        <v>74</v>
      </c>
      <c r="S78" t="s">
        <v>74</v>
      </c>
      <c r="T78" t="s">
        <v>1688</v>
      </c>
      <c r="U78" t="s">
        <v>1689</v>
      </c>
      <c r="V78" t="s">
        <v>1690</v>
      </c>
      <c r="W78" t="s">
        <v>1691</v>
      </c>
      <c r="X78" t="s">
        <v>1692</v>
      </c>
      <c r="Y78" t="s">
        <v>1693</v>
      </c>
      <c r="Z78" t="s">
        <v>1694</v>
      </c>
      <c r="AA78" t="s">
        <v>1695</v>
      </c>
      <c r="AB78" t="s">
        <v>1696</v>
      </c>
      <c r="AC78" t="s">
        <v>1697</v>
      </c>
      <c r="AD78" t="s">
        <v>1698</v>
      </c>
      <c r="AE78" t="s">
        <v>1699</v>
      </c>
      <c r="AF78" t="s">
        <v>74</v>
      </c>
      <c r="AG78">
        <v>68</v>
      </c>
      <c r="AH78">
        <v>23</v>
      </c>
      <c r="AI78">
        <v>25</v>
      </c>
      <c r="AJ78">
        <v>1</v>
      </c>
      <c r="AK78">
        <v>18</v>
      </c>
      <c r="AL78" t="s">
        <v>1700</v>
      </c>
      <c r="AM78" t="s">
        <v>1701</v>
      </c>
      <c r="AN78" t="s">
        <v>1702</v>
      </c>
      <c r="AO78" t="s">
        <v>1703</v>
      </c>
      <c r="AP78" t="s">
        <v>74</v>
      </c>
      <c r="AQ78" t="s">
        <v>74</v>
      </c>
      <c r="AR78" t="s">
        <v>1704</v>
      </c>
      <c r="AS78" t="s">
        <v>1705</v>
      </c>
      <c r="AT78" t="s">
        <v>1680</v>
      </c>
      <c r="AU78">
        <v>2018</v>
      </c>
      <c r="AV78">
        <v>70</v>
      </c>
      <c r="AW78" t="s">
        <v>74</v>
      </c>
      <c r="AX78" t="s">
        <v>74</v>
      </c>
      <c r="AY78" t="s">
        <v>74</v>
      </c>
      <c r="AZ78" t="s">
        <v>74</v>
      </c>
      <c r="BA78" t="s">
        <v>74</v>
      </c>
      <c r="BB78" t="s">
        <v>74</v>
      </c>
      <c r="BC78" t="s">
        <v>74</v>
      </c>
      <c r="BD78">
        <v>1414571</v>
      </c>
      <c r="BE78" t="s">
        <v>1706</v>
      </c>
      <c r="BF78" t="str">
        <f>HYPERLINK("http://dx.doi.org/10.1080/16000889.2017.1414571","http://dx.doi.org/10.1080/16000889.2017.1414571")</f>
        <v>http://dx.doi.org/10.1080/16000889.2017.1414571</v>
      </c>
      <c r="BG78" t="s">
        <v>74</v>
      </c>
      <c r="BH78" t="s">
        <v>74</v>
      </c>
      <c r="BI78">
        <v>16</v>
      </c>
      <c r="BJ78" t="s">
        <v>430</v>
      </c>
      <c r="BK78" t="s">
        <v>101</v>
      </c>
      <c r="BL78" t="s">
        <v>430</v>
      </c>
      <c r="BM78" t="s">
        <v>1707</v>
      </c>
      <c r="BN78" t="s">
        <v>74</v>
      </c>
      <c r="BO78" t="s">
        <v>160</v>
      </c>
      <c r="BP78" t="s">
        <v>74</v>
      </c>
      <c r="BQ78" t="s">
        <v>74</v>
      </c>
      <c r="BR78" t="s">
        <v>105</v>
      </c>
      <c r="BS78" t="s">
        <v>1708</v>
      </c>
      <c r="BT78" t="str">
        <f>HYPERLINK("https%3A%2F%2Fwww.webofscience.com%2Fwos%2Fwoscc%2Ffull-record%2FWOS:000423143800001","View Full Record in Web of Science")</f>
        <v>View Full Record in Web of Science</v>
      </c>
    </row>
    <row r="79" spans="1:72" x14ac:dyDescent="0.15">
      <c r="A79" t="s">
        <v>72</v>
      </c>
      <c r="B79" t="s">
        <v>1709</v>
      </c>
      <c r="C79" t="s">
        <v>74</v>
      </c>
      <c r="D79" t="s">
        <v>74</v>
      </c>
      <c r="E79" t="s">
        <v>74</v>
      </c>
      <c r="F79" t="s">
        <v>1710</v>
      </c>
      <c r="G79" t="s">
        <v>74</v>
      </c>
      <c r="H79" t="s">
        <v>74</v>
      </c>
      <c r="I79" t="s">
        <v>1711</v>
      </c>
      <c r="J79" t="s">
        <v>110</v>
      </c>
      <c r="K79" t="s">
        <v>74</v>
      </c>
      <c r="L79" t="s">
        <v>74</v>
      </c>
      <c r="M79" t="s">
        <v>78</v>
      </c>
      <c r="N79" t="s">
        <v>79</v>
      </c>
      <c r="O79" t="s">
        <v>74</v>
      </c>
      <c r="P79" t="s">
        <v>74</v>
      </c>
      <c r="Q79" t="s">
        <v>74</v>
      </c>
      <c r="R79" t="s">
        <v>74</v>
      </c>
      <c r="S79" t="s">
        <v>74</v>
      </c>
      <c r="T79" t="s">
        <v>74</v>
      </c>
      <c r="U79" t="s">
        <v>1712</v>
      </c>
      <c r="V79" t="s">
        <v>1713</v>
      </c>
      <c r="W79" t="s">
        <v>1714</v>
      </c>
      <c r="X79" t="s">
        <v>1715</v>
      </c>
      <c r="Y79" t="s">
        <v>1716</v>
      </c>
      <c r="Z79" t="s">
        <v>1717</v>
      </c>
      <c r="AA79" t="s">
        <v>1718</v>
      </c>
      <c r="AB79" t="s">
        <v>74</v>
      </c>
      <c r="AC79" t="s">
        <v>1719</v>
      </c>
      <c r="AD79" t="s">
        <v>1720</v>
      </c>
      <c r="AE79" t="s">
        <v>1721</v>
      </c>
      <c r="AF79" t="s">
        <v>74</v>
      </c>
      <c r="AG79">
        <v>37</v>
      </c>
      <c r="AH79">
        <v>17</v>
      </c>
      <c r="AI79">
        <v>23</v>
      </c>
      <c r="AJ79">
        <v>2</v>
      </c>
      <c r="AK79">
        <v>20</v>
      </c>
      <c r="AL79" t="s">
        <v>122</v>
      </c>
      <c r="AM79" t="s">
        <v>123</v>
      </c>
      <c r="AN79" t="s">
        <v>124</v>
      </c>
      <c r="AO79" t="s">
        <v>125</v>
      </c>
      <c r="AP79" t="s">
        <v>74</v>
      </c>
      <c r="AQ79" t="s">
        <v>74</v>
      </c>
      <c r="AR79" t="s">
        <v>110</v>
      </c>
      <c r="AS79" t="s">
        <v>126</v>
      </c>
      <c r="AT79" t="s">
        <v>1680</v>
      </c>
      <c r="AU79">
        <v>2018</v>
      </c>
      <c r="AV79">
        <v>13</v>
      </c>
      <c r="AW79">
        <v>1</v>
      </c>
      <c r="AX79" t="s">
        <v>74</v>
      </c>
      <c r="AY79" t="s">
        <v>74</v>
      </c>
      <c r="AZ79" t="s">
        <v>74</v>
      </c>
      <c r="BA79" t="s">
        <v>74</v>
      </c>
      <c r="BB79" t="s">
        <v>74</v>
      </c>
      <c r="BC79" t="s">
        <v>74</v>
      </c>
      <c r="BD79" t="s">
        <v>1722</v>
      </c>
      <c r="BE79" t="s">
        <v>1723</v>
      </c>
      <c r="BF79" t="str">
        <f>HYPERLINK("http://dx.doi.org/10.1371/journal.pone.0190531","http://dx.doi.org/10.1371/journal.pone.0190531")</f>
        <v>http://dx.doi.org/10.1371/journal.pone.0190531</v>
      </c>
      <c r="BG79" t="s">
        <v>74</v>
      </c>
      <c r="BH79" t="s">
        <v>74</v>
      </c>
      <c r="BI79">
        <v>9</v>
      </c>
      <c r="BJ79" t="s">
        <v>129</v>
      </c>
      <c r="BK79" t="s">
        <v>101</v>
      </c>
      <c r="BL79" t="s">
        <v>130</v>
      </c>
      <c r="BM79" t="s">
        <v>1724</v>
      </c>
      <c r="BN79">
        <v>29293608</v>
      </c>
      <c r="BO79" t="s">
        <v>1725</v>
      </c>
      <c r="BP79" t="s">
        <v>74</v>
      </c>
      <c r="BQ79" t="s">
        <v>74</v>
      </c>
      <c r="BR79" t="s">
        <v>105</v>
      </c>
      <c r="BS79" t="s">
        <v>1726</v>
      </c>
      <c r="BT79" t="str">
        <f>HYPERLINK("https%3A%2F%2Fwww.webofscience.com%2Fwos%2Fwoscc%2Ffull-record%2FWOS:000419101600139","View Full Record in Web of Science")</f>
        <v>View Full Record in Web of Science</v>
      </c>
    </row>
    <row r="80" spans="1:72" x14ac:dyDescent="0.15">
      <c r="A80" t="s">
        <v>72</v>
      </c>
      <c r="B80" t="s">
        <v>1727</v>
      </c>
      <c r="C80" t="s">
        <v>74</v>
      </c>
      <c r="D80" t="s">
        <v>74</v>
      </c>
      <c r="E80" t="s">
        <v>74</v>
      </c>
      <c r="F80" t="s">
        <v>1728</v>
      </c>
      <c r="G80" t="s">
        <v>74</v>
      </c>
      <c r="H80" t="s">
        <v>74</v>
      </c>
      <c r="I80" t="s">
        <v>1729</v>
      </c>
      <c r="J80" t="s">
        <v>1730</v>
      </c>
      <c r="K80" t="s">
        <v>74</v>
      </c>
      <c r="L80" t="s">
        <v>74</v>
      </c>
      <c r="M80" t="s">
        <v>78</v>
      </c>
      <c r="N80" t="s">
        <v>79</v>
      </c>
      <c r="O80" t="s">
        <v>74</v>
      </c>
      <c r="P80" t="s">
        <v>74</v>
      </c>
      <c r="Q80" t="s">
        <v>74</v>
      </c>
      <c r="R80" t="s">
        <v>74</v>
      </c>
      <c r="S80" t="s">
        <v>74</v>
      </c>
      <c r="T80" t="s">
        <v>1731</v>
      </c>
      <c r="U80" t="s">
        <v>1732</v>
      </c>
      <c r="V80" t="s">
        <v>1733</v>
      </c>
      <c r="W80" t="s">
        <v>1734</v>
      </c>
      <c r="X80" t="s">
        <v>1735</v>
      </c>
      <c r="Y80" t="s">
        <v>1736</v>
      </c>
      <c r="Z80" t="s">
        <v>1737</v>
      </c>
      <c r="AA80" t="s">
        <v>1738</v>
      </c>
      <c r="AB80" t="s">
        <v>1739</v>
      </c>
      <c r="AC80" t="s">
        <v>1740</v>
      </c>
      <c r="AD80" t="s">
        <v>1741</v>
      </c>
      <c r="AE80" t="s">
        <v>1742</v>
      </c>
      <c r="AF80" t="s">
        <v>74</v>
      </c>
      <c r="AG80">
        <v>66</v>
      </c>
      <c r="AH80">
        <v>54</v>
      </c>
      <c r="AI80">
        <v>60</v>
      </c>
      <c r="AJ80">
        <v>5</v>
      </c>
      <c r="AK80">
        <v>53</v>
      </c>
      <c r="AL80" t="s">
        <v>1743</v>
      </c>
      <c r="AM80" t="s">
        <v>272</v>
      </c>
      <c r="AN80" t="s">
        <v>1744</v>
      </c>
      <c r="AO80" t="s">
        <v>1745</v>
      </c>
      <c r="AP80" t="s">
        <v>1746</v>
      </c>
      <c r="AQ80" t="s">
        <v>74</v>
      </c>
      <c r="AR80" t="s">
        <v>1747</v>
      </c>
      <c r="AS80" t="s">
        <v>1748</v>
      </c>
      <c r="AT80" t="s">
        <v>1680</v>
      </c>
      <c r="AU80">
        <v>2018</v>
      </c>
      <c r="AV80">
        <v>115</v>
      </c>
      <c r="AW80">
        <v>1</v>
      </c>
      <c r="AX80" t="s">
        <v>74</v>
      </c>
      <c r="AY80" t="s">
        <v>74</v>
      </c>
      <c r="AZ80" t="s">
        <v>74</v>
      </c>
      <c r="BA80" t="s">
        <v>74</v>
      </c>
      <c r="BB80">
        <v>145</v>
      </c>
      <c r="BC80">
        <v>150</v>
      </c>
      <c r="BD80" t="s">
        <v>74</v>
      </c>
      <c r="BE80" t="s">
        <v>1749</v>
      </c>
      <c r="BF80" t="str">
        <f>HYPERLINK("http://dx.doi.org/10.1073/pnas.1715598115","http://dx.doi.org/10.1073/pnas.1715598115")</f>
        <v>http://dx.doi.org/10.1073/pnas.1715598115</v>
      </c>
      <c r="BG80" t="s">
        <v>74</v>
      </c>
      <c r="BH80" t="s">
        <v>74</v>
      </c>
      <c r="BI80">
        <v>6</v>
      </c>
      <c r="BJ80" t="s">
        <v>129</v>
      </c>
      <c r="BK80" t="s">
        <v>101</v>
      </c>
      <c r="BL80" t="s">
        <v>130</v>
      </c>
      <c r="BM80" t="s">
        <v>1750</v>
      </c>
      <c r="BN80">
        <v>29255020</v>
      </c>
      <c r="BO80" t="s">
        <v>1751</v>
      </c>
      <c r="BP80" t="s">
        <v>74</v>
      </c>
      <c r="BQ80" t="s">
        <v>74</v>
      </c>
      <c r="BR80" t="s">
        <v>105</v>
      </c>
      <c r="BS80" t="s">
        <v>1752</v>
      </c>
      <c r="BT80" t="str">
        <f>HYPERLINK("https%3A%2F%2Fwww.webofscience.com%2Fwos%2Fwoscc%2Ffull-record%2FWOS:000419128700042","View Full Record in Web of Science")</f>
        <v>View Full Record in Web of Science</v>
      </c>
    </row>
    <row r="81" spans="1:72" x14ac:dyDescent="0.15">
      <c r="A81" t="s">
        <v>72</v>
      </c>
      <c r="B81" t="s">
        <v>1753</v>
      </c>
      <c r="C81" t="s">
        <v>74</v>
      </c>
      <c r="D81" t="s">
        <v>74</v>
      </c>
      <c r="E81" t="s">
        <v>74</v>
      </c>
      <c r="F81" t="s">
        <v>1754</v>
      </c>
      <c r="G81" t="s">
        <v>74</v>
      </c>
      <c r="H81" t="s">
        <v>74</v>
      </c>
      <c r="I81" t="s">
        <v>1755</v>
      </c>
      <c r="J81" t="s">
        <v>1756</v>
      </c>
      <c r="K81" t="s">
        <v>74</v>
      </c>
      <c r="L81" t="s">
        <v>74</v>
      </c>
      <c r="M81" t="s">
        <v>78</v>
      </c>
      <c r="N81" t="s">
        <v>289</v>
      </c>
      <c r="O81" t="s">
        <v>74</v>
      </c>
      <c r="P81" t="s">
        <v>74</v>
      </c>
      <c r="Q81" t="s">
        <v>74</v>
      </c>
      <c r="R81" t="s">
        <v>74</v>
      </c>
      <c r="S81" t="s">
        <v>74</v>
      </c>
      <c r="T81" t="s">
        <v>1757</v>
      </c>
      <c r="U81" t="s">
        <v>1758</v>
      </c>
      <c r="V81" t="s">
        <v>1759</v>
      </c>
      <c r="W81" t="s">
        <v>1760</v>
      </c>
      <c r="X81" t="s">
        <v>1761</v>
      </c>
      <c r="Y81" t="s">
        <v>1762</v>
      </c>
      <c r="Z81" t="s">
        <v>1763</v>
      </c>
      <c r="AA81" t="s">
        <v>1764</v>
      </c>
      <c r="AB81" t="s">
        <v>1765</v>
      </c>
      <c r="AC81" t="s">
        <v>1766</v>
      </c>
      <c r="AD81" t="s">
        <v>1767</v>
      </c>
      <c r="AE81" t="s">
        <v>1768</v>
      </c>
      <c r="AF81" t="s">
        <v>74</v>
      </c>
      <c r="AG81">
        <v>126</v>
      </c>
      <c r="AH81">
        <v>30</v>
      </c>
      <c r="AI81">
        <v>31</v>
      </c>
      <c r="AJ81">
        <v>3</v>
      </c>
      <c r="AK81">
        <v>49</v>
      </c>
      <c r="AL81" t="s">
        <v>1186</v>
      </c>
      <c r="AM81" t="s">
        <v>808</v>
      </c>
      <c r="AN81" t="s">
        <v>1187</v>
      </c>
      <c r="AO81" t="s">
        <v>1769</v>
      </c>
      <c r="AP81" t="s">
        <v>1770</v>
      </c>
      <c r="AQ81" t="s">
        <v>74</v>
      </c>
      <c r="AR81" t="s">
        <v>1771</v>
      </c>
      <c r="AS81" t="s">
        <v>1772</v>
      </c>
      <c r="AT81" t="s">
        <v>1680</v>
      </c>
      <c r="AU81">
        <v>2018</v>
      </c>
      <c r="AV81">
        <v>243</v>
      </c>
      <c r="AW81" t="s">
        <v>74</v>
      </c>
      <c r="AX81" t="s">
        <v>74</v>
      </c>
      <c r="AY81" t="s">
        <v>74</v>
      </c>
      <c r="AZ81" t="s">
        <v>74</v>
      </c>
      <c r="BA81" t="s">
        <v>74</v>
      </c>
      <c r="BB81">
        <v>91</v>
      </c>
      <c r="BC81">
        <v>105</v>
      </c>
      <c r="BD81" t="s">
        <v>74</v>
      </c>
      <c r="BE81" t="s">
        <v>1773</v>
      </c>
      <c r="BF81" t="str">
        <f>HYPERLINK("http://dx.doi.org/10.1016/j.virusres.2017.10.017","http://dx.doi.org/10.1016/j.virusres.2017.10.017")</f>
        <v>http://dx.doi.org/10.1016/j.virusres.2017.10.017</v>
      </c>
      <c r="BG81" t="s">
        <v>74</v>
      </c>
      <c r="BH81" t="s">
        <v>74</v>
      </c>
      <c r="BI81">
        <v>15</v>
      </c>
      <c r="BJ81" t="s">
        <v>585</v>
      </c>
      <c r="BK81" t="s">
        <v>101</v>
      </c>
      <c r="BL81" t="s">
        <v>585</v>
      </c>
      <c r="BM81" t="s">
        <v>1774</v>
      </c>
      <c r="BN81">
        <v>29111456</v>
      </c>
      <c r="BO81" t="s">
        <v>1751</v>
      </c>
      <c r="BP81" t="s">
        <v>74</v>
      </c>
      <c r="BQ81" t="s">
        <v>74</v>
      </c>
      <c r="BR81" t="s">
        <v>105</v>
      </c>
      <c r="BS81" t="s">
        <v>1775</v>
      </c>
      <c r="BT81" t="str">
        <f>HYPERLINK("https%3A%2F%2Fwww.webofscience.com%2Fwos%2Fwoscc%2Ffull-record%2FWOS:000417664700014","View Full Record in Web of Science")</f>
        <v>View Full Record in Web of Science</v>
      </c>
    </row>
    <row r="82" spans="1:72" x14ac:dyDescent="0.15">
      <c r="A82" t="s">
        <v>1776</v>
      </c>
      <c r="B82" t="s">
        <v>1777</v>
      </c>
      <c r="C82" t="s">
        <v>74</v>
      </c>
      <c r="D82" t="s">
        <v>74</v>
      </c>
      <c r="E82" t="s">
        <v>1778</v>
      </c>
      <c r="F82" t="s">
        <v>1779</v>
      </c>
      <c r="G82" t="s">
        <v>74</v>
      </c>
      <c r="H82" t="s">
        <v>74</v>
      </c>
      <c r="I82" t="s">
        <v>1780</v>
      </c>
      <c r="J82" t="s">
        <v>1781</v>
      </c>
      <c r="K82" t="s">
        <v>74</v>
      </c>
      <c r="L82" t="s">
        <v>74</v>
      </c>
      <c r="M82" t="s">
        <v>78</v>
      </c>
      <c r="N82" t="s">
        <v>1782</v>
      </c>
      <c r="O82" t="s">
        <v>1783</v>
      </c>
      <c r="P82" t="s">
        <v>1784</v>
      </c>
      <c r="Q82" t="s">
        <v>1785</v>
      </c>
      <c r="R82" t="s">
        <v>74</v>
      </c>
      <c r="S82" t="s">
        <v>1786</v>
      </c>
      <c r="T82" t="s">
        <v>1787</v>
      </c>
      <c r="U82" t="s">
        <v>74</v>
      </c>
      <c r="V82" t="s">
        <v>1788</v>
      </c>
      <c r="W82" t="s">
        <v>1789</v>
      </c>
      <c r="X82" t="s">
        <v>1790</v>
      </c>
      <c r="Y82" t="s">
        <v>1791</v>
      </c>
      <c r="Z82" t="s">
        <v>1792</v>
      </c>
      <c r="AA82" t="s">
        <v>1793</v>
      </c>
      <c r="AB82" t="s">
        <v>1794</v>
      </c>
      <c r="AC82" t="s">
        <v>1795</v>
      </c>
      <c r="AD82" t="s">
        <v>1795</v>
      </c>
      <c r="AE82" t="s">
        <v>1796</v>
      </c>
      <c r="AF82" t="s">
        <v>74</v>
      </c>
      <c r="AG82">
        <v>14</v>
      </c>
      <c r="AH82">
        <v>0</v>
      </c>
      <c r="AI82">
        <v>0</v>
      </c>
      <c r="AJ82">
        <v>0</v>
      </c>
      <c r="AK82">
        <v>2</v>
      </c>
      <c r="AL82" t="s">
        <v>1778</v>
      </c>
      <c r="AM82" t="s">
        <v>1797</v>
      </c>
      <c r="AN82" t="s">
        <v>1798</v>
      </c>
      <c r="AO82" t="s">
        <v>74</v>
      </c>
      <c r="AP82" t="s">
        <v>74</v>
      </c>
      <c r="AQ82" t="s">
        <v>1799</v>
      </c>
      <c r="AR82" t="s">
        <v>74</v>
      </c>
      <c r="AS82" t="s">
        <v>74</v>
      </c>
      <c r="AT82" t="s">
        <v>74</v>
      </c>
      <c r="AU82">
        <v>2018</v>
      </c>
      <c r="AV82" t="s">
        <v>74</v>
      </c>
      <c r="AW82" t="s">
        <v>74</v>
      </c>
      <c r="AX82" t="s">
        <v>74</v>
      </c>
      <c r="AY82" t="s">
        <v>74</v>
      </c>
      <c r="AZ82" t="s">
        <v>74</v>
      </c>
      <c r="BA82" t="s">
        <v>74</v>
      </c>
      <c r="BB82" t="s">
        <v>74</v>
      </c>
      <c r="BC82" t="s">
        <v>74</v>
      </c>
      <c r="BD82" t="s">
        <v>74</v>
      </c>
      <c r="BE82" t="s">
        <v>74</v>
      </c>
      <c r="BF82" t="s">
        <v>74</v>
      </c>
      <c r="BG82" t="s">
        <v>74</v>
      </c>
      <c r="BH82" t="s">
        <v>74</v>
      </c>
      <c r="BI82">
        <v>6</v>
      </c>
      <c r="BJ82" t="s">
        <v>1800</v>
      </c>
      <c r="BK82" t="s">
        <v>1801</v>
      </c>
      <c r="BL82" t="s">
        <v>1802</v>
      </c>
      <c r="BM82" t="s">
        <v>1803</v>
      </c>
      <c r="BN82" t="s">
        <v>74</v>
      </c>
      <c r="BO82" t="s">
        <v>74</v>
      </c>
      <c r="BP82" t="s">
        <v>74</v>
      </c>
      <c r="BQ82" t="s">
        <v>74</v>
      </c>
      <c r="BR82" t="s">
        <v>105</v>
      </c>
      <c r="BS82" t="s">
        <v>1804</v>
      </c>
      <c r="BT82" t="str">
        <f>HYPERLINK("https%3A%2F%2Fwww.webofscience.com%2Fwos%2Fwoscc%2Ffull-record%2FWOS:000492901600066","View Full Record in Web of Science")</f>
        <v>View Full Record in Web of Science</v>
      </c>
    </row>
    <row r="83" spans="1:72" x14ac:dyDescent="0.15">
      <c r="A83" t="s">
        <v>1776</v>
      </c>
      <c r="B83" t="s">
        <v>1805</v>
      </c>
      <c r="C83" t="s">
        <v>74</v>
      </c>
      <c r="D83" t="s">
        <v>74</v>
      </c>
      <c r="E83" t="s">
        <v>1778</v>
      </c>
      <c r="F83" t="s">
        <v>1806</v>
      </c>
      <c r="G83" t="s">
        <v>74</v>
      </c>
      <c r="H83" t="s">
        <v>74</v>
      </c>
      <c r="I83" t="s">
        <v>1807</v>
      </c>
      <c r="J83" t="s">
        <v>1781</v>
      </c>
      <c r="K83" t="s">
        <v>74</v>
      </c>
      <c r="L83" t="s">
        <v>74</v>
      </c>
      <c r="M83" t="s">
        <v>78</v>
      </c>
      <c r="N83" t="s">
        <v>1782</v>
      </c>
      <c r="O83" t="s">
        <v>1783</v>
      </c>
      <c r="P83" t="s">
        <v>1784</v>
      </c>
      <c r="Q83" t="s">
        <v>1785</v>
      </c>
      <c r="R83" t="s">
        <v>74</v>
      </c>
      <c r="S83" t="s">
        <v>1786</v>
      </c>
      <c r="T83" t="s">
        <v>1808</v>
      </c>
      <c r="U83" t="s">
        <v>1809</v>
      </c>
      <c r="V83" t="s">
        <v>1810</v>
      </c>
      <c r="W83" t="s">
        <v>1811</v>
      </c>
      <c r="X83" t="s">
        <v>1812</v>
      </c>
      <c r="Y83" t="s">
        <v>1813</v>
      </c>
      <c r="Z83" t="s">
        <v>1814</v>
      </c>
      <c r="AA83" t="s">
        <v>1815</v>
      </c>
      <c r="AB83" t="s">
        <v>1816</v>
      </c>
      <c r="AC83" t="s">
        <v>1817</v>
      </c>
      <c r="AD83" t="s">
        <v>1817</v>
      </c>
      <c r="AE83" t="s">
        <v>1818</v>
      </c>
      <c r="AF83" t="s">
        <v>74</v>
      </c>
      <c r="AG83">
        <v>30</v>
      </c>
      <c r="AH83">
        <v>0</v>
      </c>
      <c r="AI83">
        <v>0</v>
      </c>
      <c r="AJ83">
        <v>0</v>
      </c>
      <c r="AK83">
        <v>8</v>
      </c>
      <c r="AL83" t="s">
        <v>1778</v>
      </c>
      <c r="AM83" t="s">
        <v>1797</v>
      </c>
      <c r="AN83" t="s">
        <v>1798</v>
      </c>
      <c r="AO83" t="s">
        <v>74</v>
      </c>
      <c r="AP83" t="s">
        <v>74</v>
      </c>
      <c r="AQ83" t="s">
        <v>1799</v>
      </c>
      <c r="AR83" t="s">
        <v>74</v>
      </c>
      <c r="AS83" t="s">
        <v>74</v>
      </c>
      <c r="AT83" t="s">
        <v>74</v>
      </c>
      <c r="AU83">
        <v>2018</v>
      </c>
      <c r="AV83" t="s">
        <v>74</v>
      </c>
      <c r="AW83" t="s">
        <v>74</v>
      </c>
      <c r="AX83" t="s">
        <v>74</v>
      </c>
      <c r="AY83" t="s">
        <v>74</v>
      </c>
      <c r="AZ83" t="s">
        <v>74</v>
      </c>
      <c r="BA83" t="s">
        <v>74</v>
      </c>
      <c r="BB83" t="s">
        <v>74</v>
      </c>
      <c r="BC83" t="s">
        <v>74</v>
      </c>
      <c r="BD83" t="s">
        <v>74</v>
      </c>
      <c r="BE83" t="s">
        <v>74</v>
      </c>
      <c r="BF83" t="s">
        <v>74</v>
      </c>
      <c r="BG83" t="s">
        <v>74</v>
      </c>
      <c r="BH83" t="s">
        <v>74</v>
      </c>
      <c r="BI83">
        <v>7</v>
      </c>
      <c r="BJ83" t="s">
        <v>1800</v>
      </c>
      <c r="BK83" t="s">
        <v>1801</v>
      </c>
      <c r="BL83" t="s">
        <v>1802</v>
      </c>
      <c r="BM83" t="s">
        <v>1803</v>
      </c>
      <c r="BN83" t="s">
        <v>74</v>
      </c>
      <c r="BO83" t="s">
        <v>74</v>
      </c>
      <c r="BP83" t="s">
        <v>74</v>
      </c>
      <c r="BQ83" t="s">
        <v>74</v>
      </c>
      <c r="BR83" t="s">
        <v>105</v>
      </c>
      <c r="BS83" t="s">
        <v>1819</v>
      </c>
      <c r="BT83" t="str">
        <f>HYPERLINK("https%3A%2F%2Fwww.webofscience.com%2Fwos%2Fwoscc%2Ffull-record%2FWOS:000492901600059","View Full Record in Web of Science")</f>
        <v>View Full Record in Web of Science</v>
      </c>
    </row>
    <row r="84" spans="1:72" x14ac:dyDescent="0.15">
      <c r="A84" t="s">
        <v>1776</v>
      </c>
      <c r="B84" t="s">
        <v>1820</v>
      </c>
      <c r="C84" t="s">
        <v>74</v>
      </c>
      <c r="D84" t="s">
        <v>74</v>
      </c>
      <c r="E84" t="s">
        <v>1778</v>
      </c>
      <c r="F84" t="s">
        <v>1821</v>
      </c>
      <c r="G84" t="s">
        <v>74</v>
      </c>
      <c r="H84" t="s">
        <v>74</v>
      </c>
      <c r="I84" t="s">
        <v>1822</v>
      </c>
      <c r="J84" t="s">
        <v>1781</v>
      </c>
      <c r="K84" t="s">
        <v>74</v>
      </c>
      <c r="L84" t="s">
        <v>74</v>
      </c>
      <c r="M84" t="s">
        <v>78</v>
      </c>
      <c r="N84" t="s">
        <v>1782</v>
      </c>
      <c r="O84" t="s">
        <v>1783</v>
      </c>
      <c r="P84" t="s">
        <v>1784</v>
      </c>
      <c r="Q84" t="s">
        <v>1785</v>
      </c>
      <c r="R84" t="s">
        <v>74</v>
      </c>
      <c r="S84" t="s">
        <v>1786</v>
      </c>
      <c r="T84" t="s">
        <v>1823</v>
      </c>
      <c r="U84" t="s">
        <v>74</v>
      </c>
      <c r="V84" t="s">
        <v>1824</v>
      </c>
      <c r="W84" t="s">
        <v>1825</v>
      </c>
      <c r="X84" t="s">
        <v>1826</v>
      </c>
      <c r="Y84" t="s">
        <v>1827</v>
      </c>
      <c r="Z84" t="s">
        <v>1828</v>
      </c>
      <c r="AA84" t="s">
        <v>1829</v>
      </c>
      <c r="AB84" t="s">
        <v>74</v>
      </c>
      <c r="AC84" t="s">
        <v>74</v>
      </c>
      <c r="AD84" t="s">
        <v>74</v>
      </c>
      <c r="AE84" t="s">
        <v>74</v>
      </c>
      <c r="AF84" t="s">
        <v>74</v>
      </c>
      <c r="AG84">
        <v>10</v>
      </c>
      <c r="AH84">
        <v>0</v>
      </c>
      <c r="AI84">
        <v>0</v>
      </c>
      <c r="AJ84">
        <v>0</v>
      </c>
      <c r="AK84">
        <v>1</v>
      </c>
      <c r="AL84" t="s">
        <v>1778</v>
      </c>
      <c r="AM84" t="s">
        <v>1797</v>
      </c>
      <c r="AN84" t="s">
        <v>1798</v>
      </c>
      <c r="AO84" t="s">
        <v>74</v>
      </c>
      <c r="AP84" t="s">
        <v>74</v>
      </c>
      <c r="AQ84" t="s">
        <v>1799</v>
      </c>
      <c r="AR84" t="s">
        <v>74</v>
      </c>
      <c r="AS84" t="s">
        <v>74</v>
      </c>
      <c r="AT84" t="s">
        <v>74</v>
      </c>
      <c r="AU84">
        <v>2018</v>
      </c>
      <c r="AV84" t="s">
        <v>74</v>
      </c>
      <c r="AW84" t="s">
        <v>74</v>
      </c>
      <c r="AX84" t="s">
        <v>74</v>
      </c>
      <c r="AY84" t="s">
        <v>74</v>
      </c>
      <c r="AZ84" t="s">
        <v>74</v>
      </c>
      <c r="BA84" t="s">
        <v>74</v>
      </c>
      <c r="BB84" t="s">
        <v>74</v>
      </c>
      <c r="BC84" t="s">
        <v>74</v>
      </c>
      <c r="BD84" t="s">
        <v>74</v>
      </c>
      <c r="BE84" t="s">
        <v>74</v>
      </c>
      <c r="BF84" t="s">
        <v>74</v>
      </c>
      <c r="BG84" t="s">
        <v>74</v>
      </c>
      <c r="BH84" t="s">
        <v>74</v>
      </c>
      <c r="BI84">
        <v>6</v>
      </c>
      <c r="BJ84" t="s">
        <v>1800</v>
      </c>
      <c r="BK84" t="s">
        <v>1801</v>
      </c>
      <c r="BL84" t="s">
        <v>1802</v>
      </c>
      <c r="BM84" t="s">
        <v>1803</v>
      </c>
      <c r="BN84" t="s">
        <v>74</v>
      </c>
      <c r="BO84" t="s">
        <v>74</v>
      </c>
      <c r="BP84" t="s">
        <v>74</v>
      </c>
      <c r="BQ84" t="s">
        <v>74</v>
      </c>
      <c r="BR84" t="s">
        <v>105</v>
      </c>
      <c r="BS84" t="s">
        <v>1830</v>
      </c>
      <c r="BT84" t="str">
        <f>HYPERLINK("https%3A%2F%2Fwww.webofscience.com%2Fwos%2Fwoscc%2Ffull-record%2FWOS:000492901600097","View Full Record in Web of Science")</f>
        <v>View Full Record in Web of Science</v>
      </c>
    </row>
    <row r="85" spans="1:72" x14ac:dyDescent="0.15">
      <c r="A85" t="s">
        <v>1831</v>
      </c>
      <c r="B85" t="s">
        <v>1832</v>
      </c>
      <c r="C85" t="s">
        <v>74</v>
      </c>
      <c r="D85" t="s">
        <v>1833</v>
      </c>
      <c r="E85" t="s">
        <v>74</v>
      </c>
      <c r="F85" t="s">
        <v>1834</v>
      </c>
      <c r="G85" t="s">
        <v>74</v>
      </c>
      <c r="H85" t="s">
        <v>74</v>
      </c>
      <c r="I85" t="s">
        <v>1835</v>
      </c>
      <c r="J85" t="s">
        <v>1836</v>
      </c>
      <c r="K85" t="s">
        <v>1837</v>
      </c>
      <c r="L85" t="s">
        <v>74</v>
      </c>
      <c r="M85" t="s">
        <v>78</v>
      </c>
      <c r="N85" t="s">
        <v>1838</v>
      </c>
      <c r="O85" t="s">
        <v>74</v>
      </c>
      <c r="P85" t="s">
        <v>74</v>
      </c>
      <c r="Q85" t="s">
        <v>74</v>
      </c>
      <c r="R85" t="s">
        <v>74</v>
      </c>
      <c r="S85" t="s">
        <v>74</v>
      </c>
      <c r="T85" t="s">
        <v>1839</v>
      </c>
      <c r="U85" t="s">
        <v>1840</v>
      </c>
      <c r="V85" t="s">
        <v>1841</v>
      </c>
      <c r="W85" t="s">
        <v>1842</v>
      </c>
      <c r="X85" t="s">
        <v>1843</v>
      </c>
      <c r="Y85" t="s">
        <v>1844</v>
      </c>
      <c r="Z85" t="s">
        <v>1845</v>
      </c>
      <c r="AA85" t="s">
        <v>1846</v>
      </c>
      <c r="AB85" t="s">
        <v>1847</v>
      </c>
      <c r="AC85" t="s">
        <v>74</v>
      </c>
      <c r="AD85" t="s">
        <v>74</v>
      </c>
      <c r="AE85" t="s">
        <v>74</v>
      </c>
      <c r="AF85" t="s">
        <v>74</v>
      </c>
      <c r="AG85">
        <v>75</v>
      </c>
      <c r="AH85">
        <v>7</v>
      </c>
      <c r="AI85">
        <v>8</v>
      </c>
      <c r="AJ85">
        <v>0</v>
      </c>
      <c r="AK85">
        <v>2</v>
      </c>
      <c r="AL85" t="s">
        <v>1848</v>
      </c>
      <c r="AM85" t="s">
        <v>698</v>
      </c>
      <c r="AN85" t="s">
        <v>1849</v>
      </c>
      <c r="AO85" t="s">
        <v>1850</v>
      </c>
      <c r="AP85" t="s">
        <v>1851</v>
      </c>
      <c r="AQ85" t="s">
        <v>1852</v>
      </c>
      <c r="AR85" t="s">
        <v>1853</v>
      </c>
      <c r="AS85" t="s">
        <v>74</v>
      </c>
      <c r="AT85" t="s">
        <v>74</v>
      </c>
      <c r="AU85">
        <v>2018</v>
      </c>
      <c r="AV85" t="s">
        <v>74</v>
      </c>
      <c r="AW85" t="s">
        <v>74</v>
      </c>
      <c r="AX85" t="s">
        <v>74</v>
      </c>
      <c r="AY85" t="s">
        <v>74</v>
      </c>
      <c r="AZ85" t="s">
        <v>74</v>
      </c>
      <c r="BA85" t="s">
        <v>74</v>
      </c>
      <c r="BB85">
        <v>3</v>
      </c>
      <c r="BC85">
        <v>29</v>
      </c>
      <c r="BD85" t="s">
        <v>74</v>
      </c>
      <c r="BE85" t="s">
        <v>1854</v>
      </c>
      <c r="BF85" t="str">
        <f>HYPERLINK("http://dx.doi.org/10.1007/978-3-319-67774-3_1","http://dx.doi.org/10.1007/978-3-319-67774-3_1")</f>
        <v>http://dx.doi.org/10.1007/978-3-319-67774-3_1</v>
      </c>
      <c r="BG85" t="s">
        <v>1855</v>
      </c>
      <c r="BH85" t="s">
        <v>74</v>
      </c>
      <c r="BI85">
        <v>27</v>
      </c>
      <c r="BJ85" t="s">
        <v>280</v>
      </c>
      <c r="BK85" t="s">
        <v>1856</v>
      </c>
      <c r="BL85" t="s">
        <v>281</v>
      </c>
      <c r="BM85" t="s">
        <v>1857</v>
      </c>
      <c r="BN85" t="s">
        <v>74</v>
      </c>
      <c r="BO85" t="s">
        <v>74</v>
      </c>
      <c r="BP85" t="s">
        <v>74</v>
      </c>
      <c r="BQ85" t="s">
        <v>74</v>
      </c>
      <c r="BR85" t="s">
        <v>105</v>
      </c>
      <c r="BS85" t="s">
        <v>1858</v>
      </c>
      <c r="BT85" t="str">
        <f>HYPERLINK("https%3A%2F%2Fwww.webofscience.com%2Fwos%2Fwoscc%2Ffull-record%2FWOS:000482979000002","View Full Record in Web of Science")</f>
        <v>View Full Record in Web of Science</v>
      </c>
    </row>
    <row r="86" spans="1:72" x14ac:dyDescent="0.15">
      <c r="A86" t="s">
        <v>1831</v>
      </c>
      <c r="B86" t="s">
        <v>1859</v>
      </c>
      <c r="C86" t="s">
        <v>74</v>
      </c>
      <c r="D86" t="s">
        <v>1833</v>
      </c>
      <c r="E86" t="s">
        <v>74</v>
      </c>
      <c r="F86" t="s">
        <v>1860</v>
      </c>
      <c r="G86" t="s">
        <v>74</v>
      </c>
      <c r="H86" t="s">
        <v>74</v>
      </c>
      <c r="I86" t="s">
        <v>1861</v>
      </c>
      <c r="J86" t="s">
        <v>1836</v>
      </c>
      <c r="K86" t="s">
        <v>1837</v>
      </c>
      <c r="L86" t="s">
        <v>74</v>
      </c>
      <c r="M86" t="s">
        <v>78</v>
      </c>
      <c r="N86" t="s">
        <v>1862</v>
      </c>
      <c r="O86" t="s">
        <v>74</v>
      </c>
      <c r="P86" t="s">
        <v>74</v>
      </c>
      <c r="Q86" t="s">
        <v>74</v>
      </c>
      <c r="R86" t="s">
        <v>74</v>
      </c>
      <c r="S86" t="s">
        <v>74</v>
      </c>
      <c r="T86" t="s">
        <v>1863</v>
      </c>
      <c r="U86" t="s">
        <v>1864</v>
      </c>
      <c r="V86" t="s">
        <v>1865</v>
      </c>
      <c r="W86" t="s">
        <v>1866</v>
      </c>
      <c r="X86" t="s">
        <v>1867</v>
      </c>
      <c r="Y86" t="s">
        <v>1868</v>
      </c>
      <c r="Z86" t="s">
        <v>1869</v>
      </c>
      <c r="AA86" t="s">
        <v>74</v>
      </c>
      <c r="AB86" t="s">
        <v>74</v>
      </c>
      <c r="AC86" t="s">
        <v>74</v>
      </c>
      <c r="AD86" t="s">
        <v>74</v>
      </c>
      <c r="AE86" t="s">
        <v>74</v>
      </c>
      <c r="AF86" t="s">
        <v>74</v>
      </c>
      <c r="AG86">
        <v>57</v>
      </c>
      <c r="AH86">
        <v>14</v>
      </c>
      <c r="AI86">
        <v>14</v>
      </c>
      <c r="AJ86">
        <v>0</v>
      </c>
      <c r="AK86">
        <v>1</v>
      </c>
      <c r="AL86" t="s">
        <v>1848</v>
      </c>
      <c r="AM86" t="s">
        <v>698</v>
      </c>
      <c r="AN86" t="s">
        <v>1849</v>
      </c>
      <c r="AO86" t="s">
        <v>1850</v>
      </c>
      <c r="AP86" t="s">
        <v>1851</v>
      </c>
      <c r="AQ86" t="s">
        <v>1852</v>
      </c>
      <c r="AR86" t="s">
        <v>1853</v>
      </c>
      <c r="AS86" t="s">
        <v>74</v>
      </c>
      <c r="AT86" t="s">
        <v>74</v>
      </c>
      <c r="AU86">
        <v>2018</v>
      </c>
      <c r="AV86" t="s">
        <v>74</v>
      </c>
      <c r="AW86" t="s">
        <v>74</v>
      </c>
      <c r="AX86" t="s">
        <v>74</v>
      </c>
      <c r="AY86" t="s">
        <v>74</v>
      </c>
      <c r="AZ86" t="s">
        <v>74</v>
      </c>
      <c r="BA86" t="s">
        <v>74</v>
      </c>
      <c r="BB86">
        <v>191</v>
      </c>
      <c r="BC86">
        <v>222</v>
      </c>
      <c r="BD86" t="s">
        <v>74</v>
      </c>
      <c r="BE86" t="s">
        <v>1870</v>
      </c>
      <c r="BF86" t="str">
        <f>HYPERLINK("http://dx.doi.org/10.1007/978-3-319-67774-3_8","http://dx.doi.org/10.1007/978-3-319-67774-3_8")</f>
        <v>http://dx.doi.org/10.1007/978-3-319-67774-3_8</v>
      </c>
      <c r="BG86" t="s">
        <v>1855</v>
      </c>
      <c r="BH86" t="s">
        <v>74</v>
      </c>
      <c r="BI86">
        <v>32</v>
      </c>
      <c r="BJ86" t="s">
        <v>280</v>
      </c>
      <c r="BK86" t="s">
        <v>1856</v>
      </c>
      <c r="BL86" t="s">
        <v>281</v>
      </c>
      <c r="BM86" t="s">
        <v>1857</v>
      </c>
      <c r="BN86" t="s">
        <v>74</v>
      </c>
      <c r="BO86" t="s">
        <v>74</v>
      </c>
      <c r="BP86" t="s">
        <v>74</v>
      </c>
      <c r="BQ86" t="s">
        <v>74</v>
      </c>
      <c r="BR86" t="s">
        <v>105</v>
      </c>
      <c r="BS86" t="s">
        <v>1871</v>
      </c>
      <c r="BT86" t="str">
        <f>HYPERLINK("https%3A%2F%2Fwww.webofscience.com%2Fwos%2Fwoscc%2Ffull-record%2FWOS:000482979000009","View Full Record in Web of Science")</f>
        <v>View Full Record in Web of Science</v>
      </c>
    </row>
    <row r="87" spans="1:72" x14ac:dyDescent="0.15">
      <c r="A87" t="s">
        <v>1831</v>
      </c>
      <c r="B87" t="s">
        <v>1872</v>
      </c>
      <c r="C87" t="s">
        <v>74</v>
      </c>
      <c r="D87" t="s">
        <v>1833</v>
      </c>
      <c r="E87" t="s">
        <v>74</v>
      </c>
      <c r="F87" t="s">
        <v>1873</v>
      </c>
      <c r="G87" t="s">
        <v>74</v>
      </c>
      <c r="H87" t="s">
        <v>74</v>
      </c>
      <c r="I87" t="s">
        <v>1874</v>
      </c>
      <c r="J87" t="s">
        <v>1836</v>
      </c>
      <c r="K87" t="s">
        <v>1837</v>
      </c>
      <c r="L87" t="s">
        <v>74</v>
      </c>
      <c r="M87" t="s">
        <v>78</v>
      </c>
      <c r="N87" t="s">
        <v>1862</v>
      </c>
      <c r="O87" t="s">
        <v>74</v>
      </c>
      <c r="P87" t="s">
        <v>74</v>
      </c>
      <c r="Q87" t="s">
        <v>74</v>
      </c>
      <c r="R87" t="s">
        <v>74</v>
      </c>
      <c r="S87" t="s">
        <v>74</v>
      </c>
      <c r="T87" t="s">
        <v>1875</v>
      </c>
      <c r="U87" t="s">
        <v>1876</v>
      </c>
      <c r="V87" t="s">
        <v>1877</v>
      </c>
      <c r="W87" t="s">
        <v>1878</v>
      </c>
      <c r="X87" t="s">
        <v>1879</v>
      </c>
      <c r="Y87" t="s">
        <v>1880</v>
      </c>
      <c r="Z87" t="s">
        <v>1881</v>
      </c>
      <c r="AA87" t="s">
        <v>74</v>
      </c>
      <c r="AB87" t="s">
        <v>1882</v>
      </c>
      <c r="AC87" t="s">
        <v>74</v>
      </c>
      <c r="AD87" t="s">
        <v>74</v>
      </c>
      <c r="AE87" t="s">
        <v>74</v>
      </c>
      <c r="AF87" t="s">
        <v>74</v>
      </c>
      <c r="AG87">
        <v>118</v>
      </c>
      <c r="AH87">
        <v>6</v>
      </c>
      <c r="AI87">
        <v>6</v>
      </c>
      <c r="AJ87">
        <v>0</v>
      </c>
      <c r="AK87">
        <v>0</v>
      </c>
      <c r="AL87" t="s">
        <v>1848</v>
      </c>
      <c r="AM87" t="s">
        <v>698</v>
      </c>
      <c r="AN87" t="s">
        <v>1849</v>
      </c>
      <c r="AO87" t="s">
        <v>1850</v>
      </c>
      <c r="AP87" t="s">
        <v>1851</v>
      </c>
      <c r="AQ87" t="s">
        <v>1852</v>
      </c>
      <c r="AR87" t="s">
        <v>1853</v>
      </c>
      <c r="AS87" t="s">
        <v>74</v>
      </c>
      <c r="AT87" t="s">
        <v>74</v>
      </c>
      <c r="AU87">
        <v>2018</v>
      </c>
      <c r="AV87" t="s">
        <v>74</v>
      </c>
      <c r="AW87" t="s">
        <v>74</v>
      </c>
      <c r="AX87" t="s">
        <v>74</v>
      </c>
      <c r="AY87" t="s">
        <v>74</v>
      </c>
      <c r="AZ87" t="s">
        <v>74</v>
      </c>
      <c r="BA87" t="s">
        <v>74</v>
      </c>
      <c r="BB87">
        <v>245</v>
      </c>
      <c r="BC87">
        <v>271</v>
      </c>
      <c r="BD87" t="s">
        <v>74</v>
      </c>
      <c r="BE87" t="s">
        <v>1883</v>
      </c>
      <c r="BF87" t="str">
        <f>HYPERLINK("http://dx.doi.org/10.1007/978-3-319-67774-3_10","http://dx.doi.org/10.1007/978-3-319-67774-3_10")</f>
        <v>http://dx.doi.org/10.1007/978-3-319-67774-3_10</v>
      </c>
      <c r="BG87" t="s">
        <v>1855</v>
      </c>
      <c r="BH87" t="s">
        <v>74</v>
      </c>
      <c r="BI87">
        <v>27</v>
      </c>
      <c r="BJ87" t="s">
        <v>280</v>
      </c>
      <c r="BK87" t="s">
        <v>1856</v>
      </c>
      <c r="BL87" t="s">
        <v>281</v>
      </c>
      <c r="BM87" t="s">
        <v>1857</v>
      </c>
      <c r="BN87" t="s">
        <v>74</v>
      </c>
      <c r="BO87" t="s">
        <v>74</v>
      </c>
      <c r="BP87" t="s">
        <v>74</v>
      </c>
      <c r="BQ87" t="s">
        <v>74</v>
      </c>
      <c r="BR87" t="s">
        <v>105</v>
      </c>
      <c r="BS87" t="s">
        <v>1884</v>
      </c>
      <c r="BT87" t="str">
        <f>HYPERLINK("https%3A%2F%2Fwww.webofscience.com%2Fwos%2Fwoscc%2Ffull-record%2FWOS:000482979000011","View Full Record in Web of Science")</f>
        <v>View Full Record in Web of Science</v>
      </c>
    </row>
    <row r="88" spans="1:72" x14ac:dyDescent="0.15">
      <c r="A88" t="s">
        <v>1831</v>
      </c>
      <c r="B88" t="s">
        <v>1885</v>
      </c>
      <c r="C88" t="s">
        <v>74</v>
      </c>
      <c r="D88" t="s">
        <v>1886</v>
      </c>
      <c r="E88" t="s">
        <v>74</v>
      </c>
      <c r="F88" t="s">
        <v>1887</v>
      </c>
      <c r="G88" t="s">
        <v>74</v>
      </c>
      <c r="H88" t="s">
        <v>74</v>
      </c>
      <c r="I88" t="s">
        <v>1888</v>
      </c>
      <c r="J88" t="s">
        <v>1889</v>
      </c>
      <c r="K88" t="s">
        <v>1890</v>
      </c>
      <c r="L88" t="s">
        <v>74</v>
      </c>
      <c r="M88" t="s">
        <v>78</v>
      </c>
      <c r="N88" t="s">
        <v>1862</v>
      </c>
      <c r="O88" t="s">
        <v>74</v>
      </c>
      <c r="P88" t="s">
        <v>74</v>
      </c>
      <c r="Q88" t="s">
        <v>74</v>
      </c>
      <c r="R88" t="s">
        <v>74</v>
      </c>
      <c r="S88" t="s">
        <v>74</v>
      </c>
      <c r="T88" t="s">
        <v>74</v>
      </c>
      <c r="U88" t="s">
        <v>1891</v>
      </c>
      <c r="V88" t="s">
        <v>1892</v>
      </c>
      <c r="W88" t="s">
        <v>1893</v>
      </c>
      <c r="X88" t="s">
        <v>1894</v>
      </c>
      <c r="Y88" t="s">
        <v>1895</v>
      </c>
      <c r="Z88" t="s">
        <v>1896</v>
      </c>
      <c r="AA88" t="s">
        <v>1897</v>
      </c>
      <c r="AB88" t="s">
        <v>74</v>
      </c>
      <c r="AC88" t="s">
        <v>74</v>
      </c>
      <c r="AD88" t="s">
        <v>74</v>
      </c>
      <c r="AE88" t="s">
        <v>74</v>
      </c>
      <c r="AF88" t="s">
        <v>74</v>
      </c>
      <c r="AG88">
        <v>39</v>
      </c>
      <c r="AH88">
        <v>0</v>
      </c>
      <c r="AI88">
        <v>0</v>
      </c>
      <c r="AJ88">
        <v>0</v>
      </c>
      <c r="AK88">
        <v>0</v>
      </c>
      <c r="AL88" t="s">
        <v>1898</v>
      </c>
      <c r="AM88" t="s">
        <v>1899</v>
      </c>
      <c r="AN88" t="s">
        <v>1900</v>
      </c>
      <c r="AO88" t="s">
        <v>1901</v>
      </c>
      <c r="AP88" t="s">
        <v>1902</v>
      </c>
      <c r="AQ88" t="s">
        <v>1903</v>
      </c>
      <c r="AR88" t="s">
        <v>1904</v>
      </c>
      <c r="AS88" t="s">
        <v>74</v>
      </c>
      <c r="AT88" t="s">
        <v>74</v>
      </c>
      <c r="AU88">
        <v>2018</v>
      </c>
      <c r="AV88" t="s">
        <v>74</v>
      </c>
      <c r="AW88" t="s">
        <v>74</v>
      </c>
      <c r="AX88" t="s">
        <v>74</v>
      </c>
      <c r="AY88" t="s">
        <v>74</v>
      </c>
      <c r="AZ88" t="s">
        <v>74</v>
      </c>
      <c r="BA88" t="s">
        <v>74</v>
      </c>
      <c r="BB88">
        <v>303</v>
      </c>
      <c r="BC88">
        <v>313</v>
      </c>
      <c r="BD88" t="s">
        <v>74</v>
      </c>
      <c r="BE88" t="s">
        <v>1905</v>
      </c>
      <c r="BF88" t="str">
        <f>HYPERLINK("http://dx.doi.org/10.1007/978-3-319-66493-4_15","http://dx.doi.org/10.1007/978-3-319-66493-4_15")</f>
        <v>http://dx.doi.org/10.1007/978-3-319-66493-4_15</v>
      </c>
      <c r="BG88" t="s">
        <v>1906</v>
      </c>
      <c r="BH88" t="s">
        <v>74</v>
      </c>
      <c r="BI88">
        <v>11</v>
      </c>
      <c r="BJ88" t="s">
        <v>1907</v>
      </c>
      <c r="BK88" t="s">
        <v>1856</v>
      </c>
      <c r="BL88" t="s">
        <v>1907</v>
      </c>
      <c r="BM88" t="s">
        <v>1908</v>
      </c>
      <c r="BN88" t="s">
        <v>74</v>
      </c>
      <c r="BO88" t="s">
        <v>74</v>
      </c>
      <c r="BP88" t="s">
        <v>74</v>
      </c>
      <c r="BQ88" t="s">
        <v>74</v>
      </c>
      <c r="BR88" t="s">
        <v>105</v>
      </c>
      <c r="BS88" t="s">
        <v>1909</v>
      </c>
      <c r="BT88" t="str">
        <f>HYPERLINK("https%3A%2F%2Fwww.webofscience.com%2Fwos%2Fwoscc%2Ffull-record%2FWOS:000482667200017","View Full Record in Web of Science")</f>
        <v>View Full Record in Web of Science</v>
      </c>
    </row>
    <row r="89" spans="1:72" x14ac:dyDescent="0.15">
      <c r="A89" t="s">
        <v>1831</v>
      </c>
      <c r="B89" t="s">
        <v>1910</v>
      </c>
      <c r="C89" t="s">
        <v>74</v>
      </c>
      <c r="D89" t="s">
        <v>1911</v>
      </c>
      <c r="E89" t="s">
        <v>74</v>
      </c>
      <c r="F89" t="s">
        <v>1912</v>
      </c>
      <c r="G89" t="s">
        <v>74</v>
      </c>
      <c r="H89" t="s">
        <v>74</v>
      </c>
      <c r="I89" t="s">
        <v>1913</v>
      </c>
      <c r="J89" t="s">
        <v>1914</v>
      </c>
      <c r="K89" t="s">
        <v>1890</v>
      </c>
      <c r="L89" t="s">
        <v>74</v>
      </c>
      <c r="M89" t="s">
        <v>78</v>
      </c>
      <c r="N89" t="s">
        <v>1862</v>
      </c>
      <c r="O89" t="s">
        <v>74</v>
      </c>
      <c r="P89" t="s">
        <v>74</v>
      </c>
      <c r="Q89" t="s">
        <v>74</v>
      </c>
      <c r="R89" t="s">
        <v>74</v>
      </c>
      <c r="S89" t="s">
        <v>74</v>
      </c>
      <c r="T89" t="s">
        <v>74</v>
      </c>
      <c r="U89" t="s">
        <v>1915</v>
      </c>
      <c r="V89" t="s">
        <v>74</v>
      </c>
      <c r="W89" t="s">
        <v>1916</v>
      </c>
      <c r="X89" t="s">
        <v>1917</v>
      </c>
      <c r="Y89" t="s">
        <v>1918</v>
      </c>
      <c r="Z89" t="s">
        <v>1919</v>
      </c>
      <c r="AA89" t="s">
        <v>1920</v>
      </c>
      <c r="AB89" t="s">
        <v>1921</v>
      </c>
      <c r="AC89" t="s">
        <v>1922</v>
      </c>
      <c r="AD89" t="s">
        <v>1923</v>
      </c>
      <c r="AE89" t="s">
        <v>74</v>
      </c>
      <c r="AF89" t="s">
        <v>74</v>
      </c>
      <c r="AG89">
        <v>18</v>
      </c>
      <c r="AH89">
        <v>1</v>
      </c>
      <c r="AI89">
        <v>1</v>
      </c>
      <c r="AJ89">
        <v>0</v>
      </c>
      <c r="AK89">
        <v>1</v>
      </c>
      <c r="AL89" t="s">
        <v>1898</v>
      </c>
      <c r="AM89" t="s">
        <v>1899</v>
      </c>
      <c r="AN89" t="s">
        <v>1900</v>
      </c>
      <c r="AO89" t="s">
        <v>1901</v>
      </c>
      <c r="AP89" t="s">
        <v>1902</v>
      </c>
      <c r="AQ89" t="s">
        <v>1924</v>
      </c>
      <c r="AR89" t="s">
        <v>1904</v>
      </c>
      <c r="AS89" t="s">
        <v>74</v>
      </c>
      <c r="AT89" t="s">
        <v>74</v>
      </c>
      <c r="AU89">
        <v>2018</v>
      </c>
      <c r="AV89" t="s">
        <v>74</v>
      </c>
      <c r="AW89" t="s">
        <v>74</v>
      </c>
      <c r="AX89" t="s">
        <v>74</v>
      </c>
      <c r="AY89" t="s">
        <v>74</v>
      </c>
      <c r="AZ89" t="s">
        <v>74</v>
      </c>
      <c r="BA89" t="s">
        <v>74</v>
      </c>
      <c r="BB89">
        <v>361</v>
      </c>
      <c r="BC89">
        <v>396</v>
      </c>
      <c r="BD89" t="s">
        <v>74</v>
      </c>
      <c r="BE89" t="s">
        <v>1925</v>
      </c>
      <c r="BF89" t="str">
        <f>HYPERLINK("http://dx.doi.org/10.1007/978-3-319-71934-4_23","http://dx.doi.org/10.1007/978-3-319-71934-4_23")</f>
        <v>http://dx.doi.org/10.1007/978-3-319-71934-4_23</v>
      </c>
      <c r="BG89" t="s">
        <v>1926</v>
      </c>
      <c r="BH89" t="s">
        <v>74</v>
      </c>
      <c r="BI89">
        <v>36</v>
      </c>
      <c r="BJ89" t="s">
        <v>1907</v>
      </c>
      <c r="BK89" t="s">
        <v>1856</v>
      </c>
      <c r="BL89" t="s">
        <v>1907</v>
      </c>
      <c r="BM89" t="s">
        <v>1927</v>
      </c>
      <c r="BN89" t="s">
        <v>74</v>
      </c>
      <c r="BO89" t="s">
        <v>74</v>
      </c>
      <c r="BP89" t="s">
        <v>74</v>
      </c>
      <c r="BQ89" t="s">
        <v>74</v>
      </c>
      <c r="BR89" t="s">
        <v>105</v>
      </c>
      <c r="BS89" t="s">
        <v>1928</v>
      </c>
      <c r="BT89" t="str">
        <f>HYPERLINK("https%3A%2F%2Fwww.webofscience.com%2Fwos%2Fwoscc%2Ffull-record%2FWOS:000482664600020","View Full Record in Web of Science")</f>
        <v>View Full Record in Web of Science</v>
      </c>
    </row>
    <row r="90" spans="1:72" x14ac:dyDescent="0.15">
      <c r="A90" t="s">
        <v>1831</v>
      </c>
      <c r="B90" t="s">
        <v>1929</v>
      </c>
      <c r="C90" t="s">
        <v>74</v>
      </c>
      <c r="D90" t="s">
        <v>1911</v>
      </c>
      <c r="E90" t="s">
        <v>74</v>
      </c>
      <c r="F90" t="s">
        <v>1930</v>
      </c>
      <c r="G90" t="s">
        <v>74</v>
      </c>
      <c r="H90" t="s">
        <v>74</v>
      </c>
      <c r="I90" t="s">
        <v>1931</v>
      </c>
      <c r="J90" t="s">
        <v>1914</v>
      </c>
      <c r="K90" t="s">
        <v>1890</v>
      </c>
      <c r="L90" t="s">
        <v>74</v>
      </c>
      <c r="M90" t="s">
        <v>78</v>
      </c>
      <c r="N90" t="s">
        <v>1862</v>
      </c>
      <c r="O90" t="s">
        <v>74</v>
      </c>
      <c r="P90" t="s">
        <v>74</v>
      </c>
      <c r="Q90" t="s">
        <v>74</v>
      </c>
      <c r="R90" t="s">
        <v>74</v>
      </c>
      <c r="S90" t="s">
        <v>74</v>
      </c>
      <c r="T90" t="s">
        <v>74</v>
      </c>
      <c r="U90" t="s">
        <v>1932</v>
      </c>
      <c r="V90" t="s">
        <v>74</v>
      </c>
      <c r="W90" t="s">
        <v>1933</v>
      </c>
      <c r="X90" t="s">
        <v>1917</v>
      </c>
      <c r="Y90" t="s">
        <v>1934</v>
      </c>
      <c r="Z90" t="s">
        <v>1935</v>
      </c>
      <c r="AA90" t="s">
        <v>1936</v>
      </c>
      <c r="AB90" t="s">
        <v>1937</v>
      </c>
      <c r="AC90" t="s">
        <v>1922</v>
      </c>
      <c r="AD90" t="s">
        <v>1923</v>
      </c>
      <c r="AE90" t="s">
        <v>74</v>
      </c>
      <c r="AF90" t="s">
        <v>74</v>
      </c>
      <c r="AG90">
        <v>23</v>
      </c>
      <c r="AH90">
        <v>1</v>
      </c>
      <c r="AI90">
        <v>1</v>
      </c>
      <c r="AJ90">
        <v>0</v>
      </c>
      <c r="AK90">
        <v>0</v>
      </c>
      <c r="AL90" t="s">
        <v>1898</v>
      </c>
      <c r="AM90" t="s">
        <v>1899</v>
      </c>
      <c r="AN90" t="s">
        <v>1900</v>
      </c>
      <c r="AO90" t="s">
        <v>1901</v>
      </c>
      <c r="AP90" t="s">
        <v>1902</v>
      </c>
      <c r="AQ90" t="s">
        <v>1924</v>
      </c>
      <c r="AR90" t="s">
        <v>1904</v>
      </c>
      <c r="AS90" t="s">
        <v>74</v>
      </c>
      <c r="AT90" t="s">
        <v>74</v>
      </c>
      <c r="AU90">
        <v>2018</v>
      </c>
      <c r="AV90" t="s">
        <v>74</v>
      </c>
      <c r="AW90" t="s">
        <v>74</v>
      </c>
      <c r="AX90" t="s">
        <v>74</v>
      </c>
      <c r="AY90" t="s">
        <v>74</v>
      </c>
      <c r="AZ90" t="s">
        <v>74</v>
      </c>
      <c r="BA90" t="s">
        <v>74</v>
      </c>
      <c r="BB90">
        <v>487</v>
      </c>
      <c r="BC90">
        <v>493</v>
      </c>
      <c r="BD90" t="s">
        <v>74</v>
      </c>
      <c r="BE90" t="s">
        <v>1938</v>
      </c>
      <c r="BF90" t="str">
        <f>HYPERLINK("http://dx.doi.org/10.1007/978-3-319-71934-4_30","http://dx.doi.org/10.1007/978-3-319-71934-4_30")</f>
        <v>http://dx.doi.org/10.1007/978-3-319-71934-4_30</v>
      </c>
      <c r="BG90" t="s">
        <v>1926</v>
      </c>
      <c r="BH90" t="s">
        <v>74</v>
      </c>
      <c r="BI90">
        <v>7</v>
      </c>
      <c r="BJ90" t="s">
        <v>1907</v>
      </c>
      <c r="BK90" t="s">
        <v>1856</v>
      </c>
      <c r="BL90" t="s">
        <v>1907</v>
      </c>
      <c r="BM90" t="s">
        <v>1927</v>
      </c>
      <c r="BN90" t="s">
        <v>74</v>
      </c>
      <c r="BO90" t="s">
        <v>74</v>
      </c>
      <c r="BP90" t="s">
        <v>74</v>
      </c>
      <c r="BQ90" t="s">
        <v>74</v>
      </c>
      <c r="BR90" t="s">
        <v>105</v>
      </c>
      <c r="BS90" t="s">
        <v>1939</v>
      </c>
      <c r="BT90" t="str">
        <f>HYPERLINK("https%3A%2F%2Fwww.webofscience.com%2Fwos%2Fwoscc%2Ffull-record%2FWOS:000482664600027","View Full Record in Web of Science")</f>
        <v>View Full Record in Web of Science</v>
      </c>
    </row>
    <row r="91" spans="1:72" x14ac:dyDescent="0.15">
      <c r="A91" t="s">
        <v>1831</v>
      </c>
      <c r="B91" t="s">
        <v>1940</v>
      </c>
      <c r="C91" t="s">
        <v>74</v>
      </c>
      <c r="D91" t="s">
        <v>1911</v>
      </c>
      <c r="E91" t="s">
        <v>74</v>
      </c>
      <c r="F91" t="s">
        <v>1941</v>
      </c>
      <c r="G91" t="s">
        <v>74</v>
      </c>
      <c r="H91" t="s">
        <v>74</v>
      </c>
      <c r="I91" t="s">
        <v>1942</v>
      </c>
      <c r="J91" t="s">
        <v>1914</v>
      </c>
      <c r="K91" t="s">
        <v>1890</v>
      </c>
      <c r="L91" t="s">
        <v>74</v>
      </c>
      <c r="M91" t="s">
        <v>78</v>
      </c>
      <c r="N91" t="s">
        <v>1862</v>
      </c>
      <c r="O91" t="s">
        <v>74</v>
      </c>
      <c r="P91" t="s">
        <v>74</v>
      </c>
      <c r="Q91" t="s">
        <v>74</v>
      </c>
      <c r="R91" t="s">
        <v>74</v>
      </c>
      <c r="S91" t="s">
        <v>74</v>
      </c>
      <c r="T91" t="s">
        <v>74</v>
      </c>
      <c r="U91" t="s">
        <v>1943</v>
      </c>
      <c r="V91" t="s">
        <v>74</v>
      </c>
      <c r="W91" t="s">
        <v>1944</v>
      </c>
      <c r="X91" t="s">
        <v>1945</v>
      </c>
      <c r="Y91" t="s">
        <v>1946</v>
      </c>
      <c r="Z91" t="s">
        <v>1947</v>
      </c>
      <c r="AA91" t="s">
        <v>1948</v>
      </c>
      <c r="AB91" t="s">
        <v>1949</v>
      </c>
      <c r="AC91" t="s">
        <v>74</v>
      </c>
      <c r="AD91" t="s">
        <v>74</v>
      </c>
      <c r="AE91" t="s">
        <v>74</v>
      </c>
      <c r="AF91" t="s">
        <v>74</v>
      </c>
      <c r="AG91">
        <v>30</v>
      </c>
      <c r="AH91">
        <v>3</v>
      </c>
      <c r="AI91">
        <v>3</v>
      </c>
      <c r="AJ91">
        <v>0</v>
      </c>
      <c r="AK91">
        <v>0</v>
      </c>
      <c r="AL91" t="s">
        <v>1898</v>
      </c>
      <c r="AM91" t="s">
        <v>1899</v>
      </c>
      <c r="AN91" t="s">
        <v>1900</v>
      </c>
      <c r="AO91" t="s">
        <v>1901</v>
      </c>
      <c r="AP91" t="s">
        <v>1902</v>
      </c>
      <c r="AQ91" t="s">
        <v>1924</v>
      </c>
      <c r="AR91" t="s">
        <v>1904</v>
      </c>
      <c r="AS91" t="s">
        <v>74</v>
      </c>
      <c r="AT91" t="s">
        <v>74</v>
      </c>
      <c r="AU91">
        <v>2018</v>
      </c>
      <c r="AV91" t="s">
        <v>74</v>
      </c>
      <c r="AW91" t="s">
        <v>74</v>
      </c>
      <c r="AX91" t="s">
        <v>74</v>
      </c>
      <c r="AY91" t="s">
        <v>74</v>
      </c>
      <c r="AZ91" t="s">
        <v>74</v>
      </c>
      <c r="BA91" t="s">
        <v>74</v>
      </c>
      <c r="BB91">
        <v>611</v>
      </c>
      <c r="BC91">
        <v>625</v>
      </c>
      <c r="BD91" t="s">
        <v>74</v>
      </c>
      <c r="BE91" t="s">
        <v>1950</v>
      </c>
      <c r="BF91" t="str">
        <f>HYPERLINK("http://dx.doi.org/10.1007/978-3-319-71934-4_39","http://dx.doi.org/10.1007/978-3-319-71934-4_39")</f>
        <v>http://dx.doi.org/10.1007/978-3-319-71934-4_39</v>
      </c>
      <c r="BG91" t="s">
        <v>1926</v>
      </c>
      <c r="BH91" t="s">
        <v>74</v>
      </c>
      <c r="BI91">
        <v>15</v>
      </c>
      <c r="BJ91" t="s">
        <v>1907</v>
      </c>
      <c r="BK91" t="s">
        <v>1856</v>
      </c>
      <c r="BL91" t="s">
        <v>1907</v>
      </c>
      <c r="BM91" t="s">
        <v>1927</v>
      </c>
      <c r="BN91" t="s">
        <v>74</v>
      </c>
      <c r="BO91" t="s">
        <v>74</v>
      </c>
      <c r="BP91" t="s">
        <v>74</v>
      </c>
      <c r="BQ91" t="s">
        <v>74</v>
      </c>
      <c r="BR91" t="s">
        <v>105</v>
      </c>
      <c r="BS91" t="s">
        <v>1951</v>
      </c>
      <c r="BT91" t="str">
        <f>HYPERLINK("https%3A%2F%2Fwww.webofscience.com%2Fwos%2Fwoscc%2Ffull-record%2FWOS:000482664600036","View Full Record in Web of Science")</f>
        <v>View Full Record in Web of Science</v>
      </c>
    </row>
    <row r="92" spans="1:72" x14ac:dyDescent="0.15">
      <c r="A92" t="s">
        <v>1776</v>
      </c>
      <c r="B92" t="s">
        <v>1952</v>
      </c>
      <c r="C92" t="s">
        <v>74</v>
      </c>
      <c r="D92" t="s">
        <v>1953</v>
      </c>
      <c r="E92" t="s">
        <v>74</v>
      </c>
      <c r="F92" t="s">
        <v>1954</v>
      </c>
      <c r="G92" t="s">
        <v>74</v>
      </c>
      <c r="H92" t="s">
        <v>74</v>
      </c>
      <c r="I92" t="s">
        <v>1955</v>
      </c>
      <c r="J92" t="s">
        <v>1956</v>
      </c>
      <c r="K92" t="s">
        <v>1957</v>
      </c>
      <c r="L92" t="s">
        <v>74</v>
      </c>
      <c r="M92" t="s">
        <v>78</v>
      </c>
      <c r="N92" t="s">
        <v>1782</v>
      </c>
      <c r="O92" t="s">
        <v>1958</v>
      </c>
      <c r="P92" t="s">
        <v>1959</v>
      </c>
      <c r="Q92" t="s">
        <v>1960</v>
      </c>
      <c r="R92" t="s">
        <v>74</v>
      </c>
      <c r="S92" t="s">
        <v>74</v>
      </c>
      <c r="T92" t="s">
        <v>1961</v>
      </c>
      <c r="U92" t="s">
        <v>1962</v>
      </c>
      <c r="V92" t="s">
        <v>1963</v>
      </c>
      <c r="W92" t="s">
        <v>1964</v>
      </c>
      <c r="X92" t="s">
        <v>1965</v>
      </c>
      <c r="Y92" t="s">
        <v>1966</v>
      </c>
      <c r="Z92" t="s">
        <v>1967</v>
      </c>
      <c r="AA92" t="s">
        <v>1968</v>
      </c>
      <c r="AB92" t="s">
        <v>1969</v>
      </c>
      <c r="AC92" t="s">
        <v>1970</v>
      </c>
      <c r="AD92" t="s">
        <v>1971</v>
      </c>
      <c r="AE92" t="s">
        <v>1972</v>
      </c>
      <c r="AF92" t="s">
        <v>74</v>
      </c>
      <c r="AG92">
        <v>29</v>
      </c>
      <c r="AH92">
        <v>5</v>
      </c>
      <c r="AI92">
        <v>6</v>
      </c>
      <c r="AJ92">
        <v>1</v>
      </c>
      <c r="AK92">
        <v>7</v>
      </c>
      <c r="AL92" t="s">
        <v>1973</v>
      </c>
      <c r="AM92" t="s">
        <v>1797</v>
      </c>
      <c r="AN92" t="s">
        <v>1974</v>
      </c>
      <c r="AO92" t="s">
        <v>1975</v>
      </c>
      <c r="AP92" t="s">
        <v>1976</v>
      </c>
      <c r="AQ92" t="s">
        <v>1977</v>
      </c>
      <c r="AR92" t="s">
        <v>1978</v>
      </c>
      <c r="AS92" t="s">
        <v>74</v>
      </c>
      <c r="AT92" t="s">
        <v>74</v>
      </c>
      <c r="AU92">
        <v>2018</v>
      </c>
      <c r="AV92">
        <v>497</v>
      </c>
      <c r="AW92" t="s">
        <v>74</v>
      </c>
      <c r="AX92" t="s">
        <v>74</v>
      </c>
      <c r="AY92" t="s">
        <v>74</v>
      </c>
      <c r="AZ92" t="s">
        <v>74</v>
      </c>
      <c r="BA92" t="s">
        <v>74</v>
      </c>
      <c r="BB92">
        <v>297</v>
      </c>
      <c r="BC92">
        <v>309</v>
      </c>
      <c r="BD92" t="s">
        <v>74</v>
      </c>
      <c r="BE92" t="s">
        <v>1979</v>
      </c>
      <c r="BF92" t="str">
        <f>HYPERLINK("http://dx.doi.org/10.1007/978-981-13-0005-9_25","http://dx.doi.org/10.1007/978-981-13-0005-9_25")</f>
        <v>http://dx.doi.org/10.1007/978-981-13-0005-9_25</v>
      </c>
      <c r="BG92" t="s">
        <v>74</v>
      </c>
      <c r="BH92" t="s">
        <v>74</v>
      </c>
      <c r="BI92">
        <v>13</v>
      </c>
      <c r="BJ92" t="s">
        <v>1980</v>
      </c>
      <c r="BK92" t="s">
        <v>1801</v>
      </c>
      <c r="BL92" t="s">
        <v>1980</v>
      </c>
      <c r="BM92" t="s">
        <v>1981</v>
      </c>
      <c r="BN92" t="s">
        <v>74</v>
      </c>
      <c r="BO92" t="s">
        <v>74</v>
      </c>
      <c r="BP92" t="s">
        <v>74</v>
      </c>
      <c r="BQ92" t="s">
        <v>74</v>
      </c>
      <c r="BR92" t="s">
        <v>105</v>
      </c>
      <c r="BS92" t="s">
        <v>1982</v>
      </c>
      <c r="BT92" t="str">
        <f>HYPERLINK("https%3A%2F%2Fwww.webofscience.com%2Fwos%2Fwoscc%2Ffull-record%2FWOS:000448603200025","View Full Record in Web of Science")</f>
        <v>View Full Record in Web of Science</v>
      </c>
    </row>
    <row r="93" spans="1:72" x14ac:dyDescent="0.15">
      <c r="A93" t="s">
        <v>1776</v>
      </c>
      <c r="B93" t="s">
        <v>1983</v>
      </c>
      <c r="C93" t="s">
        <v>74</v>
      </c>
      <c r="D93" t="s">
        <v>1984</v>
      </c>
      <c r="E93" t="s">
        <v>74</v>
      </c>
      <c r="F93" t="s">
        <v>1985</v>
      </c>
      <c r="G93" t="s">
        <v>74</v>
      </c>
      <c r="H93" t="s">
        <v>74</v>
      </c>
      <c r="I93" t="s">
        <v>1986</v>
      </c>
      <c r="J93" t="s">
        <v>1987</v>
      </c>
      <c r="K93" t="s">
        <v>1988</v>
      </c>
      <c r="L93" t="s">
        <v>74</v>
      </c>
      <c r="M93" t="s">
        <v>78</v>
      </c>
      <c r="N93" t="s">
        <v>1782</v>
      </c>
      <c r="O93" t="s">
        <v>1989</v>
      </c>
      <c r="P93" t="s">
        <v>1990</v>
      </c>
      <c r="Q93" t="s">
        <v>1991</v>
      </c>
      <c r="R93" t="s">
        <v>74</v>
      </c>
      <c r="S93" t="s">
        <v>74</v>
      </c>
      <c r="T93" t="s">
        <v>74</v>
      </c>
      <c r="U93" t="s">
        <v>1992</v>
      </c>
      <c r="V93" t="s">
        <v>1993</v>
      </c>
      <c r="W93" t="s">
        <v>1994</v>
      </c>
      <c r="X93" t="s">
        <v>1995</v>
      </c>
      <c r="Y93" t="s">
        <v>1996</v>
      </c>
      <c r="Z93" t="s">
        <v>1997</v>
      </c>
      <c r="AA93" t="s">
        <v>74</v>
      </c>
      <c r="AB93" t="s">
        <v>1998</v>
      </c>
      <c r="AC93" t="s">
        <v>1999</v>
      </c>
      <c r="AD93" t="s">
        <v>2000</v>
      </c>
      <c r="AE93" t="s">
        <v>2001</v>
      </c>
      <c r="AF93" t="s">
        <v>74</v>
      </c>
      <c r="AG93">
        <v>18</v>
      </c>
      <c r="AH93">
        <v>0</v>
      </c>
      <c r="AI93">
        <v>0</v>
      </c>
      <c r="AJ93">
        <v>0</v>
      </c>
      <c r="AK93">
        <v>2</v>
      </c>
      <c r="AL93" t="s">
        <v>2002</v>
      </c>
      <c r="AM93" t="s">
        <v>2003</v>
      </c>
      <c r="AN93" t="s">
        <v>2004</v>
      </c>
      <c r="AO93" t="s">
        <v>2005</v>
      </c>
      <c r="AP93" t="s">
        <v>74</v>
      </c>
      <c r="AQ93" t="s">
        <v>2006</v>
      </c>
      <c r="AR93" t="s">
        <v>2007</v>
      </c>
      <c r="AS93" t="s">
        <v>74</v>
      </c>
      <c r="AT93" t="s">
        <v>74</v>
      </c>
      <c r="AU93">
        <v>2018</v>
      </c>
      <c r="AV93">
        <v>2022</v>
      </c>
      <c r="AW93" t="s">
        <v>74</v>
      </c>
      <c r="AX93" t="s">
        <v>74</v>
      </c>
      <c r="AY93" t="s">
        <v>74</v>
      </c>
      <c r="AZ93" t="s">
        <v>74</v>
      </c>
      <c r="BA93" t="s">
        <v>74</v>
      </c>
      <c r="BB93" t="s">
        <v>74</v>
      </c>
      <c r="BC93" t="s">
        <v>74</v>
      </c>
      <c r="BD93" t="s">
        <v>2008</v>
      </c>
      <c r="BE93" t="s">
        <v>2009</v>
      </c>
      <c r="BF93" t="str">
        <f>HYPERLINK("http://dx.doi.org/10.1063/1.5060695","http://dx.doi.org/10.1063/1.5060695")</f>
        <v>http://dx.doi.org/10.1063/1.5060695</v>
      </c>
      <c r="BG93" t="s">
        <v>74</v>
      </c>
      <c r="BH93" t="s">
        <v>74</v>
      </c>
      <c r="BI93">
        <v>7</v>
      </c>
      <c r="BJ93" t="s">
        <v>2010</v>
      </c>
      <c r="BK93" t="s">
        <v>1801</v>
      </c>
      <c r="BL93" t="s">
        <v>2011</v>
      </c>
      <c r="BM93" t="s">
        <v>2012</v>
      </c>
      <c r="BN93" t="s">
        <v>74</v>
      </c>
      <c r="BO93" t="s">
        <v>306</v>
      </c>
      <c r="BP93" t="s">
        <v>74</v>
      </c>
      <c r="BQ93" t="s">
        <v>74</v>
      </c>
      <c r="BR93" t="s">
        <v>105</v>
      </c>
      <c r="BS93" t="s">
        <v>2013</v>
      </c>
      <c r="BT93" t="str">
        <f>HYPERLINK("https%3A%2F%2Fwww.webofscience.com%2Fwos%2Fwoscc%2Ffull-record%2FWOS:000481676400015","View Full Record in Web of Science")</f>
        <v>View Full Record in Web of Science</v>
      </c>
    </row>
    <row r="94" spans="1:72" x14ac:dyDescent="0.15">
      <c r="A94" t="s">
        <v>1831</v>
      </c>
      <c r="B94" t="s">
        <v>2014</v>
      </c>
      <c r="C94" t="s">
        <v>2014</v>
      </c>
      <c r="D94" t="s">
        <v>74</v>
      </c>
      <c r="E94" t="s">
        <v>74</v>
      </c>
      <c r="F94" t="s">
        <v>2015</v>
      </c>
      <c r="G94" t="s">
        <v>2014</v>
      </c>
      <c r="H94" t="s">
        <v>74</v>
      </c>
      <c r="I94" t="s">
        <v>2016</v>
      </c>
      <c r="J94" t="s">
        <v>2017</v>
      </c>
      <c r="K94" t="s">
        <v>2018</v>
      </c>
      <c r="L94" t="s">
        <v>74</v>
      </c>
      <c r="M94" t="s">
        <v>78</v>
      </c>
      <c r="N94" t="s">
        <v>1862</v>
      </c>
      <c r="O94" t="s">
        <v>74</v>
      </c>
      <c r="P94" t="s">
        <v>74</v>
      </c>
      <c r="Q94" t="s">
        <v>74</v>
      </c>
      <c r="R94" t="s">
        <v>74</v>
      </c>
      <c r="S94" t="s">
        <v>74</v>
      </c>
      <c r="T94" t="s">
        <v>2019</v>
      </c>
      <c r="U94" t="s">
        <v>74</v>
      </c>
      <c r="V94" t="s">
        <v>2020</v>
      </c>
      <c r="W94" t="s">
        <v>2021</v>
      </c>
      <c r="X94" t="s">
        <v>2022</v>
      </c>
      <c r="Y94" t="s">
        <v>2023</v>
      </c>
      <c r="Z94" t="s">
        <v>74</v>
      </c>
      <c r="AA94" t="s">
        <v>2024</v>
      </c>
      <c r="AB94" t="s">
        <v>2025</v>
      </c>
      <c r="AC94" t="s">
        <v>74</v>
      </c>
      <c r="AD94" t="s">
        <v>74</v>
      </c>
      <c r="AE94" t="s">
        <v>74</v>
      </c>
      <c r="AF94" t="s">
        <v>74</v>
      </c>
      <c r="AG94">
        <v>6</v>
      </c>
      <c r="AH94">
        <v>0</v>
      </c>
      <c r="AI94">
        <v>0</v>
      </c>
      <c r="AJ94">
        <v>0</v>
      </c>
      <c r="AK94">
        <v>1</v>
      </c>
      <c r="AL94" t="s">
        <v>1898</v>
      </c>
      <c r="AM94" t="s">
        <v>1899</v>
      </c>
      <c r="AN94" t="s">
        <v>1900</v>
      </c>
      <c r="AO94" t="s">
        <v>2026</v>
      </c>
      <c r="AP94" t="s">
        <v>74</v>
      </c>
      <c r="AQ94" t="s">
        <v>2027</v>
      </c>
      <c r="AR94" t="s">
        <v>2028</v>
      </c>
      <c r="AS94" t="s">
        <v>74</v>
      </c>
      <c r="AT94" t="s">
        <v>74</v>
      </c>
      <c r="AU94">
        <v>2018</v>
      </c>
      <c r="AV94" t="s">
        <v>74</v>
      </c>
      <c r="AW94" t="s">
        <v>74</v>
      </c>
      <c r="AX94" t="s">
        <v>74</v>
      </c>
      <c r="AY94" t="s">
        <v>74</v>
      </c>
      <c r="AZ94" t="s">
        <v>74</v>
      </c>
      <c r="BA94" t="s">
        <v>74</v>
      </c>
      <c r="BB94">
        <v>11</v>
      </c>
      <c r="BC94">
        <v>27</v>
      </c>
      <c r="BD94" t="s">
        <v>74</v>
      </c>
      <c r="BE94" t="s">
        <v>2029</v>
      </c>
      <c r="BF94" t="str">
        <f>HYPERLINK("http://dx.doi.org/10.1007/978-3-319-77107-6_2","http://dx.doi.org/10.1007/978-3-319-77107-6_2")</f>
        <v>http://dx.doi.org/10.1007/978-3-319-77107-6_2</v>
      </c>
      <c r="BG94" t="s">
        <v>2030</v>
      </c>
      <c r="BH94" t="s">
        <v>74</v>
      </c>
      <c r="BI94">
        <v>17</v>
      </c>
      <c r="BJ94" t="s">
        <v>183</v>
      </c>
      <c r="BK94" t="s">
        <v>1856</v>
      </c>
      <c r="BL94" t="s">
        <v>184</v>
      </c>
      <c r="BM94" t="s">
        <v>2031</v>
      </c>
      <c r="BN94" t="s">
        <v>74</v>
      </c>
      <c r="BO94" t="s">
        <v>74</v>
      </c>
      <c r="BP94" t="s">
        <v>74</v>
      </c>
      <c r="BQ94" t="s">
        <v>74</v>
      </c>
      <c r="BR94" t="s">
        <v>105</v>
      </c>
      <c r="BS94" t="s">
        <v>2032</v>
      </c>
      <c r="BT94" t="str">
        <f>HYPERLINK("https%3A%2F%2Fwww.webofscience.com%2Fwos%2Fwoscc%2Ffull-record%2FWOS:000474199200003","View Full Record in Web of Science")</f>
        <v>View Full Record in Web of Science</v>
      </c>
    </row>
    <row r="95" spans="1:72" x14ac:dyDescent="0.15">
      <c r="A95" t="s">
        <v>1831</v>
      </c>
      <c r="B95" t="s">
        <v>2014</v>
      </c>
      <c r="C95" t="s">
        <v>2014</v>
      </c>
      <c r="D95" t="s">
        <v>74</v>
      </c>
      <c r="E95" t="s">
        <v>74</v>
      </c>
      <c r="F95" t="s">
        <v>2015</v>
      </c>
      <c r="G95" t="s">
        <v>2014</v>
      </c>
      <c r="H95" t="s">
        <v>74</v>
      </c>
      <c r="I95" t="s">
        <v>2033</v>
      </c>
      <c r="J95" t="s">
        <v>2017</v>
      </c>
      <c r="K95" t="s">
        <v>2018</v>
      </c>
      <c r="L95" t="s">
        <v>74</v>
      </c>
      <c r="M95" t="s">
        <v>78</v>
      </c>
      <c r="N95" t="s">
        <v>1862</v>
      </c>
      <c r="O95" t="s">
        <v>74</v>
      </c>
      <c r="P95" t="s">
        <v>74</v>
      </c>
      <c r="Q95" t="s">
        <v>74</v>
      </c>
      <c r="R95" t="s">
        <v>74</v>
      </c>
      <c r="S95" t="s">
        <v>74</v>
      </c>
      <c r="T95" t="s">
        <v>2034</v>
      </c>
      <c r="U95" t="s">
        <v>74</v>
      </c>
      <c r="V95" t="s">
        <v>2035</v>
      </c>
      <c r="W95" t="s">
        <v>2021</v>
      </c>
      <c r="X95" t="s">
        <v>2022</v>
      </c>
      <c r="Y95" t="s">
        <v>2023</v>
      </c>
      <c r="Z95" t="s">
        <v>74</v>
      </c>
      <c r="AA95" t="s">
        <v>2024</v>
      </c>
      <c r="AB95" t="s">
        <v>2025</v>
      </c>
      <c r="AC95" t="s">
        <v>74</v>
      </c>
      <c r="AD95" t="s">
        <v>74</v>
      </c>
      <c r="AE95" t="s">
        <v>74</v>
      </c>
      <c r="AF95" t="s">
        <v>74</v>
      </c>
      <c r="AG95">
        <v>1</v>
      </c>
      <c r="AH95">
        <v>0</v>
      </c>
      <c r="AI95">
        <v>0</v>
      </c>
      <c r="AJ95">
        <v>2</v>
      </c>
      <c r="AK95">
        <v>18</v>
      </c>
      <c r="AL95" t="s">
        <v>1898</v>
      </c>
      <c r="AM95" t="s">
        <v>1899</v>
      </c>
      <c r="AN95" t="s">
        <v>1900</v>
      </c>
      <c r="AO95" t="s">
        <v>2026</v>
      </c>
      <c r="AP95" t="s">
        <v>74</v>
      </c>
      <c r="AQ95" t="s">
        <v>2027</v>
      </c>
      <c r="AR95" t="s">
        <v>2028</v>
      </c>
      <c r="AS95" t="s">
        <v>74</v>
      </c>
      <c r="AT95" t="s">
        <v>74</v>
      </c>
      <c r="AU95">
        <v>2018</v>
      </c>
      <c r="AV95" t="s">
        <v>74</v>
      </c>
      <c r="AW95" t="s">
        <v>74</v>
      </c>
      <c r="AX95" t="s">
        <v>74</v>
      </c>
      <c r="AY95" t="s">
        <v>74</v>
      </c>
      <c r="AZ95" t="s">
        <v>74</v>
      </c>
      <c r="BA95" t="s">
        <v>74</v>
      </c>
      <c r="BB95">
        <v>157</v>
      </c>
      <c r="BC95">
        <v>163</v>
      </c>
      <c r="BD95" t="s">
        <v>74</v>
      </c>
      <c r="BE95" t="s">
        <v>2036</v>
      </c>
      <c r="BF95" t="str">
        <f>HYPERLINK("http://dx.doi.org/10.1007/978-3-319-77107-6_13","http://dx.doi.org/10.1007/978-3-319-77107-6_13")</f>
        <v>http://dx.doi.org/10.1007/978-3-319-77107-6_13</v>
      </c>
      <c r="BG95" t="s">
        <v>2030</v>
      </c>
      <c r="BH95" t="s">
        <v>74</v>
      </c>
      <c r="BI95">
        <v>7</v>
      </c>
      <c r="BJ95" t="s">
        <v>183</v>
      </c>
      <c r="BK95" t="s">
        <v>1856</v>
      </c>
      <c r="BL95" t="s">
        <v>184</v>
      </c>
      <c r="BM95" t="s">
        <v>2031</v>
      </c>
      <c r="BN95" t="s">
        <v>74</v>
      </c>
      <c r="BO95" t="s">
        <v>74</v>
      </c>
      <c r="BP95" t="s">
        <v>74</v>
      </c>
      <c r="BQ95" t="s">
        <v>74</v>
      </c>
      <c r="BR95" t="s">
        <v>105</v>
      </c>
      <c r="BS95" t="s">
        <v>2037</v>
      </c>
      <c r="BT95" t="str">
        <f>HYPERLINK("https%3A%2F%2Fwww.webofscience.com%2Fwos%2Fwoscc%2Ffull-record%2FWOS:000474199200014","View Full Record in Web of Science")</f>
        <v>View Full Record in Web of Science</v>
      </c>
    </row>
    <row r="96" spans="1:72" x14ac:dyDescent="0.15">
      <c r="A96" t="s">
        <v>1831</v>
      </c>
      <c r="B96" t="s">
        <v>2014</v>
      </c>
      <c r="C96" t="s">
        <v>2014</v>
      </c>
      <c r="D96" t="s">
        <v>74</v>
      </c>
      <c r="E96" t="s">
        <v>74</v>
      </c>
      <c r="F96" t="s">
        <v>2015</v>
      </c>
      <c r="G96" t="s">
        <v>2014</v>
      </c>
      <c r="H96" t="s">
        <v>74</v>
      </c>
      <c r="I96" t="s">
        <v>2038</v>
      </c>
      <c r="J96" t="s">
        <v>2017</v>
      </c>
      <c r="K96" t="s">
        <v>2018</v>
      </c>
      <c r="L96" t="s">
        <v>74</v>
      </c>
      <c r="M96" t="s">
        <v>78</v>
      </c>
      <c r="N96" t="s">
        <v>1862</v>
      </c>
      <c r="O96" t="s">
        <v>74</v>
      </c>
      <c r="P96" t="s">
        <v>74</v>
      </c>
      <c r="Q96" t="s">
        <v>74</v>
      </c>
      <c r="R96" t="s">
        <v>74</v>
      </c>
      <c r="S96" t="s">
        <v>74</v>
      </c>
      <c r="T96" t="s">
        <v>2039</v>
      </c>
      <c r="U96" t="s">
        <v>74</v>
      </c>
      <c r="V96" t="s">
        <v>2040</v>
      </c>
      <c r="W96" t="s">
        <v>2021</v>
      </c>
      <c r="X96" t="s">
        <v>2022</v>
      </c>
      <c r="Y96" t="s">
        <v>2023</v>
      </c>
      <c r="Z96" t="s">
        <v>74</v>
      </c>
      <c r="AA96" t="s">
        <v>2024</v>
      </c>
      <c r="AB96" t="s">
        <v>2025</v>
      </c>
      <c r="AC96" t="s">
        <v>74</v>
      </c>
      <c r="AD96" t="s">
        <v>74</v>
      </c>
      <c r="AE96" t="s">
        <v>74</v>
      </c>
      <c r="AF96" t="s">
        <v>74</v>
      </c>
      <c r="AG96">
        <v>1</v>
      </c>
      <c r="AH96">
        <v>1</v>
      </c>
      <c r="AI96">
        <v>1</v>
      </c>
      <c r="AJ96">
        <v>1</v>
      </c>
      <c r="AK96">
        <v>3</v>
      </c>
      <c r="AL96" t="s">
        <v>1898</v>
      </c>
      <c r="AM96" t="s">
        <v>1899</v>
      </c>
      <c r="AN96" t="s">
        <v>1900</v>
      </c>
      <c r="AO96" t="s">
        <v>2026</v>
      </c>
      <c r="AP96" t="s">
        <v>74</v>
      </c>
      <c r="AQ96" t="s">
        <v>2027</v>
      </c>
      <c r="AR96" t="s">
        <v>2028</v>
      </c>
      <c r="AS96" t="s">
        <v>74</v>
      </c>
      <c r="AT96" t="s">
        <v>74</v>
      </c>
      <c r="AU96">
        <v>2018</v>
      </c>
      <c r="AV96" t="s">
        <v>74</v>
      </c>
      <c r="AW96" t="s">
        <v>74</v>
      </c>
      <c r="AX96" t="s">
        <v>74</v>
      </c>
      <c r="AY96" t="s">
        <v>74</v>
      </c>
      <c r="AZ96" t="s">
        <v>74</v>
      </c>
      <c r="BA96" t="s">
        <v>74</v>
      </c>
      <c r="BB96">
        <v>203</v>
      </c>
      <c r="BC96">
        <v>205</v>
      </c>
      <c r="BD96" t="s">
        <v>74</v>
      </c>
      <c r="BE96" t="s">
        <v>2041</v>
      </c>
      <c r="BF96" t="str">
        <f>HYPERLINK("http://dx.doi.org/10.1007/978-3-319-77107-6_17","http://dx.doi.org/10.1007/978-3-319-77107-6_17")</f>
        <v>http://dx.doi.org/10.1007/978-3-319-77107-6_17</v>
      </c>
      <c r="BG96" t="s">
        <v>2030</v>
      </c>
      <c r="BH96" t="s">
        <v>74</v>
      </c>
      <c r="BI96">
        <v>3</v>
      </c>
      <c r="BJ96" t="s">
        <v>183</v>
      </c>
      <c r="BK96" t="s">
        <v>1856</v>
      </c>
      <c r="BL96" t="s">
        <v>184</v>
      </c>
      <c r="BM96" t="s">
        <v>2031</v>
      </c>
      <c r="BN96" t="s">
        <v>74</v>
      </c>
      <c r="BO96" t="s">
        <v>74</v>
      </c>
      <c r="BP96" t="s">
        <v>74</v>
      </c>
      <c r="BQ96" t="s">
        <v>74</v>
      </c>
      <c r="BR96" t="s">
        <v>105</v>
      </c>
      <c r="BS96" t="s">
        <v>2042</v>
      </c>
      <c r="BT96" t="str">
        <f>HYPERLINK("https%3A%2F%2Fwww.webofscience.com%2Fwos%2Fwoscc%2Ffull-record%2FWOS:000474199200018","View Full Record in Web of Science")</f>
        <v>View Full Record in Web of Science</v>
      </c>
    </row>
    <row r="97" spans="1:72" x14ac:dyDescent="0.15">
      <c r="A97" t="s">
        <v>1831</v>
      </c>
      <c r="B97" t="s">
        <v>2043</v>
      </c>
      <c r="C97" t="s">
        <v>74</v>
      </c>
      <c r="D97" t="s">
        <v>2044</v>
      </c>
      <c r="E97" t="s">
        <v>74</v>
      </c>
      <c r="F97" t="s">
        <v>2045</v>
      </c>
      <c r="G97" t="s">
        <v>74</v>
      </c>
      <c r="H97" t="s">
        <v>74</v>
      </c>
      <c r="I97" t="s">
        <v>2046</v>
      </c>
      <c r="J97" t="s">
        <v>2047</v>
      </c>
      <c r="K97" t="s">
        <v>2048</v>
      </c>
      <c r="L97" t="s">
        <v>74</v>
      </c>
      <c r="M97" t="s">
        <v>78</v>
      </c>
      <c r="N97" t="s">
        <v>1862</v>
      </c>
      <c r="O97" t="s">
        <v>74</v>
      </c>
      <c r="P97" t="s">
        <v>74</v>
      </c>
      <c r="Q97" t="s">
        <v>74</v>
      </c>
      <c r="R97" t="s">
        <v>74</v>
      </c>
      <c r="S97" t="s">
        <v>74</v>
      </c>
      <c r="T97" t="s">
        <v>74</v>
      </c>
      <c r="U97" t="s">
        <v>2049</v>
      </c>
      <c r="V97" t="s">
        <v>74</v>
      </c>
      <c r="W97" t="s">
        <v>2050</v>
      </c>
      <c r="X97" t="s">
        <v>2051</v>
      </c>
      <c r="Y97" t="s">
        <v>2052</v>
      </c>
      <c r="Z97" t="s">
        <v>74</v>
      </c>
      <c r="AA97" t="s">
        <v>2053</v>
      </c>
      <c r="AB97" t="s">
        <v>2054</v>
      </c>
      <c r="AC97" t="s">
        <v>74</v>
      </c>
      <c r="AD97" t="s">
        <v>74</v>
      </c>
      <c r="AE97" t="s">
        <v>74</v>
      </c>
      <c r="AF97" t="s">
        <v>74</v>
      </c>
      <c r="AG97">
        <v>37</v>
      </c>
      <c r="AH97">
        <v>2</v>
      </c>
      <c r="AI97">
        <v>2</v>
      </c>
      <c r="AJ97">
        <v>0</v>
      </c>
      <c r="AK97">
        <v>2</v>
      </c>
      <c r="AL97" t="s">
        <v>1898</v>
      </c>
      <c r="AM97" t="s">
        <v>1899</v>
      </c>
      <c r="AN97" t="s">
        <v>1900</v>
      </c>
      <c r="AO97" t="s">
        <v>2055</v>
      </c>
      <c r="AP97" t="s">
        <v>2056</v>
      </c>
      <c r="AQ97" t="s">
        <v>2057</v>
      </c>
      <c r="AR97" t="s">
        <v>2058</v>
      </c>
      <c r="AS97" t="s">
        <v>74</v>
      </c>
      <c r="AT97" t="s">
        <v>74</v>
      </c>
      <c r="AU97">
        <v>2018</v>
      </c>
      <c r="AV97" t="s">
        <v>74</v>
      </c>
      <c r="AW97" t="s">
        <v>74</v>
      </c>
      <c r="AX97" t="s">
        <v>74</v>
      </c>
      <c r="AY97" t="s">
        <v>74</v>
      </c>
      <c r="AZ97" t="s">
        <v>74</v>
      </c>
      <c r="BA97" t="s">
        <v>74</v>
      </c>
      <c r="BB97">
        <v>7</v>
      </c>
      <c r="BC97">
        <v>12</v>
      </c>
      <c r="BD97" t="s">
        <v>74</v>
      </c>
      <c r="BE97" t="s">
        <v>74</v>
      </c>
      <c r="BF97" t="s">
        <v>74</v>
      </c>
      <c r="BG97" t="s">
        <v>74</v>
      </c>
      <c r="BH97" t="s">
        <v>74</v>
      </c>
      <c r="BI97">
        <v>6</v>
      </c>
      <c r="BJ97" t="s">
        <v>1148</v>
      </c>
      <c r="BK97" t="s">
        <v>1856</v>
      </c>
      <c r="BL97" t="s">
        <v>1148</v>
      </c>
      <c r="BM97" t="s">
        <v>2059</v>
      </c>
      <c r="BN97" t="s">
        <v>74</v>
      </c>
      <c r="BO97" t="s">
        <v>74</v>
      </c>
      <c r="BP97" t="s">
        <v>74</v>
      </c>
      <c r="BQ97" t="s">
        <v>74</v>
      </c>
      <c r="BR97" t="s">
        <v>105</v>
      </c>
      <c r="BS97" t="s">
        <v>2060</v>
      </c>
      <c r="BT97" t="str">
        <f>HYPERLINK("https%3A%2F%2Fwww.webofscience.com%2Fwos%2Fwoscc%2Ffull-record%2FWOS:000473130400003","View Full Record in Web of Science")</f>
        <v>View Full Record in Web of Science</v>
      </c>
    </row>
    <row r="98" spans="1:72" x14ac:dyDescent="0.15">
      <c r="A98" t="s">
        <v>72</v>
      </c>
      <c r="B98" t="s">
        <v>2061</v>
      </c>
      <c r="C98" t="s">
        <v>74</v>
      </c>
      <c r="D98" t="s">
        <v>74</v>
      </c>
      <c r="E98" t="s">
        <v>74</v>
      </c>
      <c r="F98" t="s">
        <v>2062</v>
      </c>
      <c r="G98" t="s">
        <v>74</v>
      </c>
      <c r="H98" t="s">
        <v>74</v>
      </c>
      <c r="I98" t="s">
        <v>2063</v>
      </c>
      <c r="J98" t="s">
        <v>2064</v>
      </c>
      <c r="K98" t="s">
        <v>74</v>
      </c>
      <c r="L98" t="s">
        <v>74</v>
      </c>
      <c r="M98" t="s">
        <v>2065</v>
      </c>
      <c r="N98" t="s">
        <v>79</v>
      </c>
      <c r="O98" t="s">
        <v>74</v>
      </c>
      <c r="P98" t="s">
        <v>74</v>
      </c>
      <c r="Q98" t="s">
        <v>74</v>
      </c>
      <c r="R98" t="s">
        <v>74</v>
      </c>
      <c r="S98" t="s">
        <v>74</v>
      </c>
      <c r="T98" t="s">
        <v>2066</v>
      </c>
      <c r="U98" t="s">
        <v>74</v>
      </c>
      <c r="V98" t="s">
        <v>2067</v>
      </c>
      <c r="W98" t="s">
        <v>2068</v>
      </c>
      <c r="X98" t="s">
        <v>2069</v>
      </c>
      <c r="Y98" t="s">
        <v>2070</v>
      </c>
      <c r="Z98" t="s">
        <v>2071</v>
      </c>
      <c r="AA98" t="s">
        <v>74</v>
      </c>
      <c r="AB98" t="s">
        <v>74</v>
      </c>
      <c r="AC98" t="s">
        <v>74</v>
      </c>
      <c r="AD98" t="s">
        <v>74</v>
      </c>
      <c r="AE98" t="s">
        <v>74</v>
      </c>
      <c r="AF98" t="s">
        <v>74</v>
      </c>
      <c r="AG98">
        <v>26</v>
      </c>
      <c r="AH98">
        <v>2</v>
      </c>
      <c r="AI98">
        <v>2</v>
      </c>
      <c r="AJ98">
        <v>0</v>
      </c>
      <c r="AK98">
        <v>2</v>
      </c>
      <c r="AL98" t="s">
        <v>2072</v>
      </c>
      <c r="AM98" t="s">
        <v>2073</v>
      </c>
      <c r="AN98" t="s">
        <v>2074</v>
      </c>
      <c r="AO98" t="s">
        <v>2075</v>
      </c>
      <c r="AP98" t="s">
        <v>2076</v>
      </c>
      <c r="AQ98" t="s">
        <v>74</v>
      </c>
      <c r="AR98" t="s">
        <v>2077</v>
      </c>
      <c r="AS98" t="s">
        <v>2078</v>
      </c>
      <c r="AT98" t="s">
        <v>74</v>
      </c>
      <c r="AU98">
        <v>2018</v>
      </c>
      <c r="AV98">
        <v>48</v>
      </c>
      <c r="AW98">
        <v>12</v>
      </c>
      <c r="AX98" t="s">
        <v>74</v>
      </c>
      <c r="AY98" t="s">
        <v>74</v>
      </c>
      <c r="AZ98" t="s">
        <v>74</v>
      </c>
      <c r="BA98" t="s">
        <v>74</v>
      </c>
      <c r="BB98" t="s">
        <v>74</v>
      </c>
      <c r="BC98" t="s">
        <v>74</v>
      </c>
      <c r="BD98">
        <v>129501</v>
      </c>
      <c r="BE98" t="s">
        <v>2079</v>
      </c>
      <c r="BF98" t="str">
        <f>HYPERLINK("http://dx.doi.org/10.1360/SSPMA2018-00084","http://dx.doi.org/10.1360/SSPMA2018-00084")</f>
        <v>http://dx.doi.org/10.1360/SSPMA2018-00084</v>
      </c>
      <c r="BG98" t="s">
        <v>74</v>
      </c>
      <c r="BH98" t="s">
        <v>74</v>
      </c>
      <c r="BI98">
        <v>10</v>
      </c>
      <c r="BJ98" t="s">
        <v>2080</v>
      </c>
      <c r="BK98" t="s">
        <v>2081</v>
      </c>
      <c r="BL98" t="s">
        <v>2082</v>
      </c>
      <c r="BM98" t="s">
        <v>2083</v>
      </c>
      <c r="BN98" t="s">
        <v>74</v>
      </c>
      <c r="BO98" t="s">
        <v>306</v>
      </c>
      <c r="BP98" t="s">
        <v>74</v>
      </c>
      <c r="BQ98" t="s">
        <v>74</v>
      </c>
      <c r="BR98" t="s">
        <v>105</v>
      </c>
      <c r="BS98" t="s">
        <v>2084</v>
      </c>
      <c r="BT98" t="str">
        <f>HYPERLINK("https%3A%2F%2Fwww.webofscience.com%2Fwos%2Fwoscc%2Ffull-record%2FWOS:000472652100002","View Full Record in Web of Science")</f>
        <v>View Full Record in Web of Science</v>
      </c>
    </row>
    <row r="99" spans="1:72" x14ac:dyDescent="0.15">
      <c r="A99" t="s">
        <v>2085</v>
      </c>
      <c r="B99" t="s">
        <v>2086</v>
      </c>
      <c r="C99" t="s">
        <v>74</v>
      </c>
      <c r="D99" t="s">
        <v>2087</v>
      </c>
      <c r="E99" t="s">
        <v>74</v>
      </c>
      <c r="F99" t="s">
        <v>2088</v>
      </c>
      <c r="G99" t="s">
        <v>74</v>
      </c>
      <c r="H99" t="s">
        <v>74</v>
      </c>
      <c r="I99" t="s">
        <v>2089</v>
      </c>
      <c r="J99" t="s">
        <v>2090</v>
      </c>
      <c r="K99" t="s">
        <v>2091</v>
      </c>
      <c r="L99" t="s">
        <v>74</v>
      </c>
      <c r="M99" t="s">
        <v>78</v>
      </c>
      <c r="N99" t="s">
        <v>1862</v>
      </c>
      <c r="O99" t="s">
        <v>74</v>
      </c>
      <c r="P99" t="s">
        <v>74</v>
      </c>
      <c r="Q99" t="s">
        <v>74</v>
      </c>
      <c r="R99" t="s">
        <v>74</v>
      </c>
      <c r="S99" t="s">
        <v>74</v>
      </c>
      <c r="T99" t="s">
        <v>74</v>
      </c>
      <c r="U99" t="s">
        <v>2092</v>
      </c>
      <c r="V99" t="s">
        <v>74</v>
      </c>
      <c r="W99" t="s">
        <v>2093</v>
      </c>
      <c r="X99" t="s">
        <v>2094</v>
      </c>
      <c r="Y99" t="s">
        <v>2095</v>
      </c>
      <c r="Z99" t="s">
        <v>74</v>
      </c>
      <c r="AA99" t="s">
        <v>74</v>
      </c>
      <c r="AB99" t="s">
        <v>74</v>
      </c>
      <c r="AC99" t="s">
        <v>74</v>
      </c>
      <c r="AD99" t="s">
        <v>74</v>
      </c>
      <c r="AE99" t="s">
        <v>74</v>
      </c>
      <c r="AF99" t="s">
        <v>74</v>
      </c>
      <c r="AG99">
        <v>44</v>
      </c>
      <c r="AH99">
        <v>0</v>
      </c>
      <c r="AI99">
        <v>0</v>
      </c>
      <c r="AJ99">
        <v>0</v>
      </c>
      <c r="AK99">
        <v>0</v>
      </c>
      <c r="AL99" t="s">
        <v>2096</v>
      </c>
      <c r="AM99" t="s">
        <v>1701</v>
      </c>
      <c r="AN99" t="s">
        <v>2097</v>
      </c>
      <c r="AO99" t="s">
        <v>74</v>
      </c>
      <c r="AP99" t="s">
        <v>74</v>
      </c>
      <c r="AQ99" t="s">
        <v>2098</v>
      </c>
      <c r="AR99" t="s">
        <v>2099</v>
      </c>
      <c r="AS99" t="s">
        <v>74</v>
      </c>
      <c r="AT99" t="s">
        <v>74</v>
      </c>
      <c r="AU99">
        <v>2018</v>
      </c>
      <c r="AV99" t="s">
        <v>74</v>
      </c>
      <c r="AW99" t="s">
        <v>74</v>
      </c>
      <c r="AX99" t="s">
        <v>74</v>
      </c>
      <c r="AY99" t="s">
        <v>74</v>
      </c>
      <c r="AZ99" t="s">
        <v>74</v>
      </c>
      <c r="BA99" t="s">
        <v>74</v>
      </c>
      <c r="BB99">
        <v>165</v>
      </c>
      <c r="BC99">
        <v>184</v>
      </c>
      <c r="BD99" t="s">
        <v>74</v>
      </c>
      <c r="BE99" t="s">
        <v>74</v>
      </c>
      <c r="BF99" t="s">
        <v>74</v>
      </c>
      <c r="BG99" t="s">
        <v>2100</v>
      </c>
      <c r="BH99" t="s">
        <v>74</v>
      </c>
      <c r="BI99">
        <v>20</v>
      </c>
      <c r="BJ99" t="s">
        <v>2101</v>
      </c>
      <c r="BK99" t="s">
        <v>2102</v>
      </c>
      <c r="BL99" t="s">
        <v>2103</v>
      </c>
      <c r="BM99" t="s">
        <v>2104</v>
      </c>
      <c r="BN99" t="s">
        <v>74</v>
      </c>
      <c r="BO99" t="s">
        <v>74</v>
      </c>
      <c r="BP99" t="s">
        <v>74</v>
      </c>
      <c r="BQ99" t="s">
        <v>74</v>
      </c>
      <c r="BR99" t="s">
        <v>105</v>
      </c>
      <c r="BS99" t="s">
        <v>2105</v>
      </c>
      <c r="BT99" t="str">
        <f>HYPERLINK("https%3A%2F%2Fwww.webofscience.com%2Fwos%2Fwoscc%2Ffull-record%2FWOS:000467370100010","View Full Record in Web of Science")</f>
        <v>View Full Record in Web of Science</v>
      </c>
    </row>
    <row r="100" spans="1:72" x14ac:dyDescent="0.15">
      <c r="A100" t="s">
        <v>72</v>
      </c>
      <c r="B100" t="s">
        <v>2106</v>
      </c>
      <c r="C100" t="s">
        <v>74</v>
      </c>
      <c r="D100" t="s">
        <v>74</v>
      </c>
      <c r="E100" t="s">
        <v>74</v>
      </c>
      <c r="F100" t="s">
        <v>2107</v>
      </c>
      <c r="G100" t="s">
        <v>74</v>
      </c>
      <c r="H100" t="s">
        <v>74</v>
      </c>
      <c r="I100" t="s">
        <v>2108</v>
      </c>
      <c r="J100" t="s">
        <v>2109</v>
      </c>
      <c r="K100" t="s">
        <v>74</v>
      </c>
      <c r="L100" t="s">
        <v>74</v>
      </c>
      <c r="M100" t="s">
        <v>78</v>
      </c>
      <c r="N100" t="s">
        <v>79</v>
      </c>
      <c r="O100" t="s">
        <v>74</v>
      </c>
      <c r="P100" t="s">
        <v>74</v>
      </c>
      <c r="Q100" t="s">
        <v>74</v>
      </c>
      <c r="R100" t="s">
        <v>74</v>
      </c>
      <c r="S100" t="s">
        <v>74</v>
      </c>
      <c r="T100" t="s">
        <v>2110</v>
      </c>
      <c r="U100" t="s">
        <v>2111</v>
      </c>
      <c r="V100" t="s">
        <v>2112</v>
      </c>
      <c r="W100" t="s">
        <v>2113</v>
      </c>
      <c r="X100" t="s">
        <v>2114</v>
      </c>
      <c r="Y100" t="s">
        <v>2115</v>
      </c>
      <c r="Z100" t="s">
        <v>2116</v>
      </c>
      <c r="AA100" t="s">
        <v>2117</v>
      </c>
      <c r="AB100" t="s">
        <v>2118</v>
      </c>
      <c r="AC100" t="s">
        <v>2119</v>
      </c>
      <c r="AD100" t="s">
        <v>2120</v>
      </c>
      <c r="AE100" t="s">
        <v>2121</v>
      </c>
      <c r="AF100" t="s">
        <v>74</v>
      </c>
      <c r="AG100">
        <v>45</v>
      </c>
      <c r="AH100">
        <v>3</v>
      </c>
      <c r="AI100">
        <v>3</v>
      </c>
      <c r="AJ100">
        <v>0</v>
      </c>
      <c r="AK100">
        <v>12</v>
      </c>
      <c r="AL100" t="s">
        <v>1700</v>
      </c>
      <c r="AM100" t="s">
        <v>1701</v>
      </c>
      <c r="AN100" t="s">
        <v>1702</v>
      </c>
      <c r="AO100" t="s">
        <v>2122</v>
      </c>
      <c r="AP100" t="s">
        <v>2123</v>
      </c>
      <c r="AQ100" t="s">
        <v>74</v>
      </c>
      <c r="AR100" t="s">
        <v>2124</v>
      </c>
      <c r="AS100" t="s">
        <v>2125</v>
      </c>
      <c r="AT100" t="s">
        <v>74</v>
      </c>
      <c r="AU100">
        <v>2018</v>
      </c>
      <c r="AV100">
        <v>100</v>
      </c>
      <c r="AW100" t="s">
        <v>2126</v>
      </c>
      <c r="AX100" t="s">
        <v>74</v>
      </c>
      <c r="AY100" t="s">
        <v>74</v>
      </c>
      <c r="AZ100" t="s">
        <v>74</v>
      </c>
      <c r="BA100" t="s">
        <v>74</v>
      </c>
      <c r="BB100">
        <v>769</v>
      </c>
      <c r="BC100">
        <v>784</v>
      </c>
      <c r="BD100" t="s">
        <v>74</v>
      </c>
      <c r="BE100" t="s">
        <v>2127</v>
      </c>
      <c r="BF100" t="str">
        <f>HYPERLINK("http://dx.doi.org/10.1080/02772248.2019.1579992","http://dx.doi.org/10.1080/02772248.2019.1579992")</f>
        <v>http://dx.doi.org/10.1080/02772248.2019.1579992</v>
      </c>
      <c r="BG100" t="s">
        <v>74</v>
      </c>
      <c r="BH100" t="s">
        <v>74</v>
      </c>
      <c r="BI100">
        <v>16</v>
      </c>
      <c r="BJ100" t="s">
        <v>2128</v>
      </c>
      <c r="BK100" t="s">
        <v>101</v>
      </c>
      <c r="BL100" t="s">
        <v>2129</v>
      </c>
      <c r="BM100" t="s">
        <v>2130</v>
      </c>
      <c r="BN100" t="s">
        <v>74</v>
      </c>
      <c r="BO100" t="s">
        <v>74</v>
      </c>
      <c r="BP100" t="s">
        <v>74</v>
      </c>
      <c r="BQ100" t="s">
        <v>74</v>
      </c>
      <c r="BR100" t="s">
        <v>105</v>
      </c>
      <c r="BS100" t="s">
        <v>2131</v>
      </c>
      <c r="BT100" t="str">
        <f>HYPERLINK("https%3A%2F%2Fwww.webofscience.com%2Fwos%2Fwoscc%2Ffull-record%2FWOS:000471542400007","View Full Record in Web of Science")</f>
        <v>View Full Record in Web of Science</v>
      </c>
    </row>
    <row r="101" spans="1:72" x14ac:dyDescent="0.15">
      <c r="A101" t="s">
        <v>1776</v>
      </c>
      <c r="B101" t="s">
        <v>2132</v>
      </c>
      <c r="C101" t="s">
        <v>74</v>
      </c>
      <c r="D101" t="s">
        <v>2133</v>
      </c>
      <c r="E101" t="s">
        <v>74</v>
      </c>
      <c r="F101" t="s">
        <v>2134</v>
      </c>
      <c r="G101" t="s">
        <v>74</v>
      </c>
      <c r="H101" t="s">
        <v>74</v>
      </c>
      <c r="I101" t="s">
        <v>2135</v>
      </c>
      <c r="J101" t="s">
        <v>2136</v>
      </c>
      <c r="K101" t="s">
        <v>2137</v>
      </c>
      <c r="L101" t="s">
        <v>74</v>
      </c>
      <c r="M101" t="s">
        <v>78</v>
      </c>
      <c r="N101" t="s">
        <v>1782</v>
      </c>
      <c r="O101" t="s">
        <v>2138</v>
      </c>
      <c r="P101" t="s">
        <v>2139</v>
      </c>
      <c r="Q101" t="s">
        <v>2140</v>
      </c>
      <c r="R101" t="s">
        <v>74</v>
      </c>
      <c r="S101" t="s">
        <v>74</v>
      </c>
      <c r="T101" t="s">
        <v>74</v>
      </c>
      <c r="U101" t="s">
        <v>74</v>
      </c>
      <c r="V101" t="s">
        <v>2141</v>
      </c>
      <c r="W101" t="s">
        <v>2142</v>
      </c>
      <c r="X101" t="s">
        <v>2143</v>
      </c>
      <c r="Y101" t="s">
        <v>2144</v>
      </c>
      <c r="Z101" t="s">
        <v>2145</v>
      </c>
      <c r="AA101" t="s">
        <v>74</v>
      </c>
      <c r="AB101" t="s">
        <v>74</v>
      </c>
      <c r="AC101" t="s">
        <v>2146</v>
      </c>
      <c r="AD101" t="s">
        <v>2146</v>
      </c>
      <c r="AE101" t="s">
        <v>2147</v>
      </c>
      <c r="AF101" t="s">
        <v>74</v>
      </c>
      <c r="AG101">
        <v>10</v>
      </c>
      <c r="AH101">
        <v>1</v>
      </c>
      <c r="AI101">
        <v>1</v>
      </c>
      <c r="AJ101">
        <v>1</v>
      </c>
      <c r="AK101">
        <v>2</v>
      </c>
      <c r="AL101" t="s">
        <v>2148</v>
      </c>
      <c r="AM101" t="s">
        <v>2149</v>
      </c>
      <c r="AN101" t="s">
        <v>2150</v>
      </c>
      <c r="AO101" t="s">
        <v>2151</v>
      </c>
      <c r="AP101" t="s">
        <v>74</v>
      </c>
      <c r="AQ101" t="s">
        <v>74</v>
      </c>
      <c r="AR101" t="s">
        <v>2152</v>
      </c>
      <c r="AS101" t="s">
        <v>74</v>
      </c>
      <c r="AT101" t="s">
        <v>74</v>
      </c>
      <c r="AU101">
        <v>2018</v>
      </c>
      <c r="AV101">
        <v>211</v>
      </c>
      <c r="AW101" t="s">
        <v>74</v>
      </c>
      <c r="AX101" t="s">
        <v>74</v>
      </c>
      <c r="AY101" t="s">
        <v>74</v>
      </c>
      <c r="AZ101" t="s">
        <v>74</v>
      </c>
      <c r="BA101" t="s">
        <v>74</v>
      </c>
      <c r="BB101" t="s">
        <v>74</v>
      </c>
      <c r="BC101" t="s">
        <v>74</v>
      </c>
      <c r="BD101">
        <v>11002</v>
      </c>
      <c r="BE101" t="s">
        <v>2153</v>
      </c>
      <c r="BF101" t="str">
        <f>HYPERLINK("http://dx.doi.org/10.1051/matecconf/201821111002","http://dx.doi.org/10.1051/matecconf/201821111002")</f>
        <v>http://dx.doi.org/10.1051/matecconf/201821111002</v>
      </c>
      <c r="BG101" t="s">
        <v>74</v>
      </c>
      <c r="BH101" t="s">
        <v>74</v>
      </c>
      <c r="BI101">
        <v>6</v>
      </c>
      <c r="BJ101" t="s">
        <v>2154</v>
      </c>
      <c r="BK101" t="s">
        <v>1801</v>
      </c>
      <c r="BL101" t="s">
        <v>2155</v>
      </c>
      <c r="BM101" t="s">
        <v>2156</v>
      </c>
      <c r="BN101" t="s">
        <v>74</v>
      </c>
      <c r="BO101" t="s">
        <v>681</v>
      </c>
      <c r="BP101" t="s">
        <v>74</v>
      </c>
      <c r="BQ101" t="s">
        <v>74</v>
      </c>
      <c r="BR101" t="s">
        <v>105</v>
      </c>
      <c r="BS101" t="s">
        <v>2157</v>
      </c>
      <c r="BT101" t="str">
        <f>HYPERLINK("https%3A%2F%2Fwww.webofscience.com%2Fwos%2Fwoscc%2Ffull-record%2FWOS:000470906900065","View Full Record in Web of Science")</f>
        <v>View Full Record in Web of Science</v>
      </c>
    </row>
    <row r="102" spans="1:72" x14ac:dyDescent="0.15">
      <c r="A102" t="s">
        <v>1776</v>
      </c>
      <c r="B102" t="s">
        <v>2158</v>
      </c>
      <c r="C102" t="s">
        <v>74</v>
      </c>
      <c r="D102" t="s">
        <v>74</v>
      </c>
      <c r="E102" t="s">
        <v>1778</v>
      </c>
      <c r="F102" t="s">
        <v>2159</v>
      </c>
      <c r="G102" t="s">
        <v>74</v>
      </c>
      <c r="H102" t="s">
        <v>74</v>
      </c>
      <c r="I102" t="s">
        <v>2160</v>
      </c>
      <c r="J102" t="s">
        <v>2161</v>
      </c>
      <c r="K102" t="s">
        <v>74</v>
      </c>
      <c r="L102" t="s">
        <v>74</v>
      </c>
      <c r="M102" t="s">
        <v>78</v>
      </c>
      <c r="N102" t="s">
        <v>1782</v>
      </c>
      <c r="O102" t="s">
        <v>2162</v>
      </c>
      <c r="P102" t="s">
        <v>2163</v>
      </c>
      <c r="Q102" t="s">
        <v>2164</v>
      </c>
      <c r="R102" t="s">
        <v>74</v>
      </c>
      <c r="S102" t="s">
        <v>2165</v>
      </c>
      <c r="T102" t="s">
        <v>2166</v>
      </c>
      <c r="U102" t="s">
        <v>2167</v>
      </c>
      <c r="V102" t="s">
        <v>2168</v>
      </c>
      <c r="W102" t="s">
        <v>2169</v>
      </c>
      <c r="X102" t="s">
        <v>2170</v>
      </c>
      <c r="Y102" t="s">
        <v>2171</v>
      </c>
      <c r="Z102" t="s">
        <v>2172</v>
      </c>
      <c r="AA102" t="s">
        <v>2173</v>
      </c>
      <c r="AB102" t="s">
        <v>2174</v>
      </c>
      <c r="AC102" t="s">
        <v>74</v>
      </c>
      <c r="AD102" t="s">
        <v>74</v>
      </c>
      <c r="AE102" t="s">
        <v>74</v>
      </c>
      <c r="AF102" t="s">
        <v>74</v>
      </c>
      <c r="AG102">
        <v>11</v>
      </c>
      <c r="AH102">
        <v>0</v>
      </c>
      <c r="AI102">
        <v>0</v>
      </c>
      <c r="AJ102">
        <v>0</v>
      </c>
      <c r="AK102">
        <v>0</v>
      </c>
      <c r="AL102" t="s">
        <v>1778</v>
      </c>
      <c r="AM102" t="s">
        <v>1797</v>
      </c>
      <c r="AN102" t="s">
        <v>1798</v>
      </c>
      <c r="AO102" t="s">
        <v>74</v>
      </c>
      <c r="AP102" t="s">
        <v>74</v>
      </c>
      <c r="AQ102" t="s">
        <v>2175</v>
      </c>
      <c r="AR102" t="s">
        <v>74</v>
      </c>
      <c r="AS102" t="s">
        <v>74</v>
      </c>
      <c r="AT102" t="s">
        <v>74</v>
      </c>
      <c r="AU102">
        <v>2018</v>
      </c>
      <c r="AV102" t="s">
        <v>74</v>
      </c>
      <c r="AW102" t="s">
        <v>74</v>
      </c>
      <c r="AX102" t="s">
        <v>74</v>
      </c>
      <c r="AY102" t="s">
        <v>74</v>
      </c>
      <c r="AZ102" t="s">
        <v>74</v>
      </c>
      <c r="BA102" t="s">
        <v>74</v>
      </c>
      <c r="BB102" t="s">
        <v>74</v>
      </c>
      <c r="BC102" t="s">
        <v>74</v>
      </c>
      <c r="BD102" t="s">
        <v>74</v>
      </c>
      <c r="BE102" t="s">
        <v>74</v>
      </c>
      <c r="BF102" t="s">
        <v>74</v>
      </c>
      <c r="BG102" t="s">
        <v>74</v>
      </c>
      <c r="BH102" t="s">
        <v>74</v>
      </c>
      <c r="BI102">
        <v>6</v>
      </c>
      <c r="BJ102" t="s">
        <v>2176</v>
      </c>
      <c r="BK102" t="s">
        <v>1801</v>
      </c>
      <c r="BL102" t="s">
        <v>2177</v>
      </c>
      <c r="BM102" t="s">
        <v>2178</v>
      </c>
      <c r="BN102" t="s">
        <v>74</v>
      </c>
      <c r="BO102" t="s">
        <v>74</v>
      </c>
      <c r="BP102" t="s">
        <v>74</v>
      </c>
      <c r="BQ102" t="s">
        <v>74</v>
      </c>
      <c r="BR102" t="s">
        <v>105</v>
      </c>
      <c r="BS102" t="s">
        <v>2179</v>
      </c>
      <c r="BT102" t="str">
        <f>HYPERLINK("https%3A%2F%2Fwww.webofscience.com%2Fwos%2Fwoscc%2Ffull-record%2FWOS:000468972100084","View Full Record in Web of Science")</f>
        <v>View Full Record in Web of Science</v>
      </c>
    </row>
    <row r="103" spans="1:72" x14ac:dyDescent="0.15">
      <c r="A103" t="s">
        <v>1776</v>
      </c>
      <c r="B103" t="s">
        <v>2180</v>
      </c>
      <c r="C103" t="s">
        <v>74</v>
      </c>
      <c r="D103" t="s">
        <v>74</v>
      </c>
      <c r="E103" t="s">
        <v>2181</v>
      </c>
      <c r="F103" t="s">
        <v>2182</v>
      </c>
      <c r="G103" t="s">
        <v>74</v>
      </c>
      <c r="H103" t="s">
        <v>74</v>
      </c>
      <c r="I103" t="s">
        <v>2183</v>
      </c>
      <c r="J103" t="s">
        <v>2184</v>
      </c>
      <c r="K103" t="s">
        <v>2185</v>
      </c>
      <c r="L103" t="s">
        <v>74</v>
      </c>
      <c r="M103" t="s">
        <v>78</v>
      </c>
      <c r="N103" t="s">
        <v>1782</v>
      </c>
      <c r="O103" t="s">
        <v>2186</v>
      </c>
      <c r="P103" t="s">
        <v>2187</v>
      </c>
      <c r="Q103" t="s">
        <v>2188</v>
      </c>
      <c r="R103" t="s">
        <v>74</v>
      </c>
      <c r="S103" t="s">
        <v>2189</v>
      </c>
      <c r="T103" t="s">
        <v>74</v>
      </c>
      <c r="U103" t="s">
        <v>2190</v>
      </c>
      <c r="V103" t="s">
        <v>2191</v>
      </c>
      <c r="W103" t="s">
        <v>2192</v>
      </c>
      <c r="X103" t="s">
        <v>2193</v>
      </c>
      <c r="Y103" t="s">
        <v>2194</v>
      </c>
      <c r="Z103" t="s">
        <v>2195</v>
      </c>
      <c r="AA103" t="s">
        <v>2196</v>
      </c>
      <c r="AB103" t="s">
        <v>74</v>
      </c>
      <c r="AC103" t="s">
        <v>2197</v>
      </c>
      <c r="AD103" t="s">
        <v>2198</v>
      </c>
      <c r="AE103" t="s">
        <v>2199</v>
      </c>
      <c r="AF103" t="s">
        <v>74</v>
      </c>
      <c r="AG103">
        <v>20</v>
      </c>
      <c r="AH103">
        <v>0</v>
      </c>
      <c r="AI103">
        <v>0</v>
      </c>
      <c r="AJ103">
        <v>0</v>
      </c>
      <c r="AK103">
        <v>1</v>
      </c>
      <c r="AL103" t="s">
        <v>778</v>
      </c>
      <c r="AM103" t="s">
        <v>779</v>
      </c>
      <c r="AN103" t="s">
        <v>2200</v>
      </c>
      <c r="AO103" t="s">
        <v>2201</v>
      </c>
      <c r="AP103" t="s">
        <v>74</v>
      </c>
      <c r="AQ103" t="s">
        <v>74</v>
      </c>
      <c r="AR103" t="s">
        <v>2202</v>
      </c>
      <c r="AS103" t="s">
        <v>2203</v>
      </c>
      <c r="AT103" t="s">
        <v>74</v>
      </c>
      <c r="AU103">
        <v>2018</v>
      </c>
      <c r="AV103">
        <v>199</v>
      </c>
      <c r="AW103" t="s">
        <v>74</v>
      </c>
      <c r="AX103" t="s">
        <v>74</v>
      </c>
      <c r="AY103" t="s">
        <v>74</v>
      </c>
      <c r="AZ103" t="s">
        <v>74</v>
      </c>
      <c r="BA103" t="s">
        <v>74</v>
      </c>
      <c r="BB103" t="s">
        <v>74</v>
      </c>
      <c r="BC103" t="s">
        <v>74</v>
      </c>
      <c r="BD103">
        <v>42045</v>
      </c>
      <c r="BE103" t="s">
        <v>2204</v>
      </c>
      <c r="BF103" t="str">
        <f>HYPERLINK("http://dx.doi.org/10.1088/1755-1315/199/4/042045","http://dx.doi.org/10.1088/1755-1315/199/4/042045")</f>
        <v>http://dx.doi.org/10.1088/1755-1315/199/4/042045</v>
      </c>
      <c r="BG103" t="s">
        <v>74</v>
      </c>
      <c r="BH103" t="s">
        <v>74</v>
      </c>
      <c r="BI103">
        <v>12</v>
      </c>
      <c r="BJ103" t="s">
        <v>2205</v>
      </c>
      <c r="BK103" t="s">
        <v>1801</v>
      </c>
      <c r="BL103" t="s">
        <v>2206</v>
      </c>
      <c r="BM103" t="s">
        <v>2207</v>
      </c>
      <c r="BN103" t="s">
        <v>74</v>
      </c>
      <c r="BO103" t="s">
        <v>160</v>
      </c>
      <c r="BP103" t="s">
        <v>74</v>
      </c>
      <c r="BQ103" t="s">
        <v>74</v>
      </c>
      <c r="BR103" t="s">
        <v>105</v>
      </c>
      <c r="BS103" t="s">
        <v>2208</v>
      </c>
      <c r="BT103" t="str">
        <f>HYPERLINK("https%3A%2F%2Fwww.webofscience.com%2Fwos%2Fwoscc%2Ffull-record%2FWOS:000468045100219","View Full Record in Web of Science")</f>
        <v>View Full Record in Web of Science</v>
      </c>
    </row>
    <row r="104" spans="1:72" x14ac:dyDescent="0.15">
      <c r="A104" t="s">
        <v>1776</v>
      </c>
      <c r="B104" t="s">
        <v>2209</v>
      </c>
      <c r="C104" t="s">
        <v>74</v>
      </c>
      <c r="D104" t="s">
        <v>74</v>
      </c>
      <c r="E104" t="s">
        <v>1778</v>
      </c>
      <c r="F104" t="s">
        <v>2210</v>
      </c>
      <c r="G104" t="s">
        <v>74</v>
      </c>
      <c r="H104" t="s">
        <v>74</v>
      </c>
      <c r="I104" t="s">
        <v>2211</v>
      </c>
      <c r="J104" t="s">
        <v>2212</v>
      </c>
      <c r="K104" t="s">
        <v>74</v>
      </c>
      <c r="L104" t="s">
        <v>74</v>
      </c>
      <c r="M104" t="s">
        <v>78</v>
      </c>
      <c r="N104" t="s">
        <v>1782</v>
      </c>
      <c r="O104" t="s">
        <v>2213</v>
      </c>
      <c r="P104" t="s">
        <v>2214</v>
      </c>
      <c r="Q104" t="s">
        <v>2215</v>
      </c>
      <c r="R104" t="s">
        <v>74</v>
      </c>
      <c r="S104" t="s">
        <v>74</v>
      </c>
      <c r="T104" t="s">
        <v>2216</v>
      </c>
      <c r="U104" t="s">
        <v>74</v>
      </c>
      <c r="V104" t="s">
        <v>2217</v>
      </c>
      <c r="W104" t="s">
        <v>2218</v>
      </c>
      <c r="X104" t="s">
        <v>2219</v>
      </c>
      <c r="Y104" t="s">
        <v>2220</v>
      </c>
      <c r="Z104" t="s">
        <v>2221</v>
      </c>
      <c r="AA104" t="s">
        <v>2222</v>
      </c>
      <c r="AB104" t="s">
        <v>2223</v>
      </c>
      <c r="AC104" t="s">
        <v>2224</v>
      </c>
      <c r="AD104" t="s">
        <v>2225</v>
      </c>
      <c r="AE104" t="s">
        <v>2226</v>
      </c>
      <c r="AF104" t="s">
        <v>74</v>
      </c>
      <c r="AG104">
        <v>4</v>
      </c>
      <c r="AH104">
        <v>0</v>
      </c>
      <c r="AI104">
        <v>0</v>
      </c>
      <c r="AJ104">
        <v>0</v>
      </c>
      <c r="AK104">
        <v>2</v>
      </c>
      <c r="AL104" t="s">
        <v>1778</v>
      </c>
      <c r="AM104" t="s">
        <v>1797</v>
      </c>
      <c r="AN104" t="s">
        <v>1798</v>
      </c>
      <c r="AO104" t="s">
        <v>74</v>
      </c>
      <c r="AP104" t="s">
        <v>74</v>
      </c>
      <c r="AQ104" t="s">
        <v>2227</v>
      </c>
      <c r="AR104" t="s">
        <v>74</v>
      </c>
      <c r="AS104" t="s">
        <v>74</v>
      </c>
      <c r="AT104" t="s">
        <v>74</v>
      </c>
      <c r="AU104">
        <v>2018</v>
      </c>
      <c r="AV104" t="s">
        <v>74</v>
      </c>
      <c r="AW104" t="s">
        <v>74</v>
      </c>
      <c r="AX104" t="s">
        <v>74</v>
      </c>
      <c r="AY104" t="s">
        <v>74</v>
      </c>
      <c r="AZ104" t="s">
        <v>74</v>
      </c>
      <c r="BA104" t="s">
        <v>74</v>
      </c>
      <c r="BB104">
        <v>88</v>
      </c>
      <c r="BC104">
        <v>90</v>
      </c>
      <c r="BD104" t="s">
        <v>74</v>
      </c>
      <c r="BE104" t="s">
        <v>2228</v>
      </c>
      <c r="BF104" t="str">
        <f>HYPERLINK("http://dx.doi.org/10.1109/ISPRAS.2018.00020","http://dx.doi.org/10.1109/ISPRAS.2018.00020")</f>
        <v>http://dx.doi.org/10.1109/ISPRAS.2018.00020</v>
      </c>
      <c r="BG104" t="s">
        <v>74</v>
      </c>
      <c r="BH104" t="s">
        <v>74</v>
      </c>
      <c r="BI104">
        <v>3</v>
      </c>
      <c r="BJ104" t="s">
        <v>2229</v>
      </c>
      <c r="BK104" t="s">
        <v>1801</v>
      </c>
      <c r="BL104" t="s">
        <v>2155</v>
      </c>
      <c r="BM104" t="s">
        <v>2230</v>
      </c>
      <c r="BN104" t="s">
        <v>74</v>
      </c>
      <c r="BO104" t="s">
        <v>74</v>
      </c>
      <c r="BP104" t="s">
        <v>74</v>
      </c>
      <c r="BQ104" t="s">
        <v>74</v>
      </c>
      <c r="BR104" t="s">
        <v>105</v>
      </c>
      <c r="BS104" t="s">
        <v>2231</v>
      </c>
      <c r="BT104" t="str">
        <f>HYPERLINK("https%3A%2F%2Fwww.webofscience.com%2Fwos%2Fwoscc%2Ffull-record%2FWOS:000467732500013","View Full Record in Web of Science")</f>
        <v>View Full Record in Web of Science</v>
      </c>
    </row>
    <row r="105" spans="1:72" x14ac:dyDescent="0.15">
      <c r="A105" t="s">
        <v>72</v>
      </c>
      <c r="B105" t="s">
        <v>2232</v>
      </c>
      <c r="C105" t="s">
        <v>74</v>
      </c>
      <c r="D105" t="s">
        <v>74</v>
      </c>
      <c r="E105" t="s">
        <v>74</v>
      </c>
      <c r="F105" t="s">
        <v>2233</v>
      </c>
      <c r="G105" t="s">
        <v>74</v>
      </c>
      <c r="H105" t="s">
        <v>74</v>
      </c>
      <c r="I105" t="s">
        <v>2234</v>
      </c>
      <c r="J105" t="s">
        <v>2235</v>
      </c>
      <c r="K105" t="s">
        <v>74</v>
      </c>
      <c r="L105" t="s">
        <v>74</v>
      </c>
      <c r="M105" t="s">
        <v>78</v>
      </c>
      <c r="N105" t="s">
        <v>79</v>
      </c>
      <c r="O105" t="s">
        <v>74</v>
      </c>
      <c r="P105" t="s">
        <v>74</v>
      </c>
      <c r="Q105" t="s">
        <v>74</v>
      </c>
      <c r="R105" t="s">
        <v>74</v>
      </c>
      <c r="S105" t="s">
        <v>74</v>
      </c>
      <c r="T105" t="s">
        <v>74</v>
      </c>
      <c r="U105" t="s">
        <v>2236</v>
      </c>
      <c r="V105" t="s">
        <v>2237</v>
      </c>
      <c r="W105" t="s">
        <v>2238</v>
      </c>
      <c r="X105" t="s">
        <v>2239</v>
      </c>
      <c r="Y105" t="s">
        <v>2240</v>
      </c>
      <c r="Z105" t="s">
        <v>2241</v>
      </c>
      <c r="AA105" t="s">
        <v>2242</v>
      </c>
      <c r="AB105" t="s">
        <v>2243</v>
      </c>
      <c r="AC105" t="s">
        <v>2244</v>
      </c>
      <c r="AD105" t="s">
        <v>2244</v>
      </c>
      <c r="AE105" t="s">
        <v>2245</v>
      </c>
      <c r="AF105" t="s">
        <v>74</v>
      </c>
      <c r="AG105">
        <v>37</v>
      </c>
      <c r="AH105">
        <v>35</v>
      </c>
      <c r="AI105">
        <v>37</v>
      </c>
      <c r="AJ105">
        <v>1</v>
      </c>
      <c r="AK105">
        <v>17</v>
      </c>
      <c r="AL105" t="s">
        <v>673</v>
      </c>
      <c r="AM105" t="s">
        <v>92</v>
      </c>
      <c r="AN105" t="s">
        <v>674</v>
      </c>
      <c r="AO105" t="s">
        <v>2246</v>
      </c>
      <c r="AP105" t="s">
        <v>74</v>
      </c>
      <c r="AQ105" t="s">
        <v>74</v>
      </c>
      <c r="AR105" t="s">
        <v>2247</v>
      </c>
      <c r="AS105" t="s">
        <v>2248</v>
      </c>
      <c r="AT105" t="s">
        <v>74</v>
      </c>
      <c r="AU105">
        <v>2018</v>
      </c>
      <c r="AV105">
        <v>1</v>
      </c>
      <c r="AW105" t="s">
        <v>74</v>
      </c>
      <c r="AX105" t="s">
        <v>74</v>
      </c>
      <c r="AY105" t="s">
        <v>74</v>
      </c>
      <c r="AZ105" t="s">
        <v>74</v>
      </c>
      <c r="BA105" t="s">
        <v>74</v>
      </c>
      <c r="BB105" t="s">
        <v>74</v>
      </c>
      <c r="BC105" t="s">
        <v>74</v>
      </c>
      <c r="BD105">
        <v>42</v>
      </c>
      <c r="BE105" t="s">
        <v>2249</v>
      </c>
      <c r="BF105" t="str">
        <f>HYPERLINK("http://dx.doi.org/10.1038/s41612-018-0052-6","http://dx.doi.org/10.1038/s41612-018-0052-6")</f>
        <v>http://dx.doi.org/10.1038/s41612-018-0052-6</v>
      </c>
      <c r="BG105" t="s">
        <v>74</v>
      </c>
      <c r="BH105" t="s">
        <v>74</v>
      </c>
      <c r="BI105">
        <v>8</v>
      </c>
      <c r="BJ105" t="s">
        <v>430</v>
      </c>
      <c r="BK105" t="s">
        <v>101</v>
      </c>
      <c r="BL105" t="s">
        <v>430</v>
      </c>
      <c r="BM105" t="s">
        <v>2250</v>
      </c>
      <c r="BN105" t="s">
        <v>74</v>
      </c>
      <c r="BO105" t="s">
        <v>160</v>
      </c>
      <c r="BP105" t="s">
        <v>74</v>
      </c>
      <c r="BQ105" t="s">
        <v>74</v>
      </c>
      <c r="BR105" t="s">
        <v>105</v>
      </c>
      <c r="BS105" t="s">
        <v>2251</v>
      </c>
      <c r="BT105" t="str">
        <f>HYPERLINK("https%3A%2F%2Fwww.webofscience.com%2Fwos%2Fwoscc%2Ffull-record%2FWOS:000468007700042","View Full Record in Web of Science")</f>
        <v>View Full Record in Web of Science</v>
      </c>
    </row>
    <row r="106" spans="1:72" x14ac:dyDescent="0.15">
      <c r="A106" t="s">
        <v>72</v>
      </c>
      <c r="B106" t="s">
        <v>2252</v>
      </c>
      <c r="C106" t="s">
        <v>74</v>
      </c>
      <c r="D106" t="s">
        <v>74</v>
      </c>
      <c r="E106" t="s">
        <v>74</v>
      </c>
      <c r="F106" t="s">
        <v>2253</v>
      </c>
      <c r="G106" t="s">
        <v>74</v>
      </c>
      <c r="H106" t="s">
        <v>74</v>
      </c>
      <c r="I106" t="s">
        <v>2254</v>
      </c>
      <c r="J106" t="s">
        <v>2235</v>
      </c>
      <c r="K106" t="s">
        <v>74</v>
      </c>
      <c r="L106" t="s">
        <v>74</v>
      </c>
      <c r="M106" t="s">
        <v>78</v>
      </c>
      <c r="N106" t="s">
        <v>79</v>
      </c>
      <c r="O106" t="s">
        <v>74</v>
      </c>
      <c r="P106" t="s">
        <v>74</v>
      </c>
      <c r="Q106" t="s">
        <v>74</v>
      </c>
      <c r="R106" t="s">
        <v>74</v>
      </c>
      <c r="S106" t="s">
        <v>74</v>
      </c>
      <c r="T106" t="s">
        <v>74</v>
      </c>
      <c r="U106" t="s">
        <v>2255</v>
      </c>
      <c r="V106" t="s">
        <v>2256</v>
      </c>
      <c r="W106" t="s">
        <v>2257</v>
      </c>
      <c r="X106" t="s">
        <v>2258</v>
      </c>
      <c r="Y106" t="s">
        <v>2259</v>
      </c>
      <c r="Z106" t="s">
        <v>2260</v>
      </c>
      <c r="AA106" t="s">
        <v>2261</v>
      </c>
      <c r="AB106" t="s">
        <v>2262</v>
      </c>
      <c r="AC106" t="s">
        <v>2263</v>
      </c>
      <c r="AD106" t="s">
        <v>2264</v>
      </c>
      <c r="AE106" t="s">
        <v>2265</v>
      </c>
      <c r="AF106" t="s">
        <v>74</v>
      </c>
      <c r="AG106">
        <v>31</v>
      </c>
      <c r="AH106">
        <v>6</v>
      </c>
      <c r="AI106">
        <v>6</v>
      </c>
      <c r="AJ106">
        <v>14</v>
      </c>
      <c r="AK106">
        <v>76</v>
      </c>
      <c r="AL106" t="s">
        <v>892</v>
      </c>
      <c r="AM106" t="s">
        <v>698</v>
      </c>
      <c r="AN106" t="s">
        <v>699</v>
      </c>
      <c r="AO106" t="s">
        <v>2246</v>
      </c>
      <c r="AP106" t="s">
        <v>74</v>
      </c>
      <c r="AQ106" t="s">
        <v>74</v>
      </c>
      <c r="AR106" t="s">
        <v>2247</v>
      </c>
      <c r="AS106" t="s">
        <v>2248</v>
      </c>
      <c r="AT106" t="s">
        <v>74</v>
      </c>
      <c r="AU106">
        <v>2018</v>
      </c>
      <c r="AV106">
        <v>1</v>
      </c>
      <c r="AW106" t="s">
        <v>74</v>
      </c>
      <c r="AX106" t="s">
        <v>74</v>
      </c>
      <c r="AY106" t="s">
        <v>74</v>
      </c>
      <c r="AZ106" t="s">
        <v>74</v>
      </c>
      <c r="BA106" t="s">
        <v>74</v>
      </c>
      <c r="BB106" t="s">
        <v>74</v>
      </c>
      <c r="BC106" t="s">
        <v>74</v>
      </c>
      <c r="BD106">
        <v>17</v>
      </c>
      <c r="BE106" t="s">
        <v>2266</v>
      </c>
      <c r="BF106" t="str">
        <f>HYPERLINK("http://dx.doi.org/10.1038/s41612-018-0031-y","http://dx.doi.org/10.1038/s41612-018-0031-y")</f>
        <v>http://dx.doi.org/10.1038/s41612-018-0031-y</v>
      </c>
      <c r="BG106" t="s">
        <v>74</v>
      </c>
      <c r="BH106" t="s">
        <v>74</v>
      </c>
      <c r="BI106">
        <v>9</v>
      </c>
      <c r="BJ106" t="s">
        <v>430</v>
      </c>
      <c r="BK106" t="s">
        <v>101</v>
      </c>
      <c r="BL106" t="s">
        <v>430</v>
      </c>
      <c r="BM106" t="s">
        <v>2250</v>
      </c>
      <c r="BN106">
        <v>33102742</v>
      </c>
      <c r="BO106" t="s">
        <v>2267</v>
      </c>
      <c r="BP106" t="s">
        <v>74</v>
      </c>
      <c r="BQ106" t="s">
        <v>74</v>
      </c>
      <c r="BR106" t="s">
        <v>105</v>
      </c>
      <c r="BS106" t="s">
        <v>2268</v>
      </c>
      <c r="BT106" t="str">
        <f>HYPERLINK("https%3A%2F%2Fwww.webofscience.com%2Fwos%2Fwoscc%2Ffull-record%2FWOS:000468007700017","View Full Record in Web of Science")</f>
        <v>View Full Record in Web of Science</v>
      </c>
    </row>
    <row r="107" spans="1:72" x14ac:dyDescent="0.15">
      <c r="A107" t="s">
        <v>2085</v>
      </c>
      <c r="B107" t="s">
        <v>2269</v>
      </c>
      <c r="C107" t="s">
        <v>74</v>
      </c>
      <c r="D107" t="s">
        <v>2270</v>
      </c>
      <c r="E107" t="s">
        <v>74</v>
      </c>
      <c r="F107" t="s">
        <v>2271</v>
      </c>
      <c r="G107" t="s">
        <v>74</v>
      </c>
      <c r="H107" t="s">
        <v>74</v>
      </c>
      <c r="I107" t="s">
        <v>2272</v>
      </c>
      <c r="J107" t="s">
        <v>2273</v>
      </c>
      <c r="K107" t="s">
        <v>74</v>
      </c>
      <c r="L107" t="s">
        <v>74</v>
      </c>
      <c r="M107" t="s">
        <v>78</v>
      </c>
      <c r="N107" t="s">
        <v>1862</v>
      </c>
      <c r="O107" t="s">
        <v>74</v>
      </c>
      <c r="P107" t="s">
        <v>74</v>
      </c>
      <c r="Q107" t="s">
        <v>74</v>
      </c>
      <c r="R107" t="s">
        <v>74</v>
      </c>
      <c r="S107" t="s">
        <v>74</v>
      </c>
      <c r="T107" t="s">
        <v>74</v>
      </c>
      <c r="U107" t="s">
        <v>2274</v>
      </c>
      <c r="V107" t="s">
        <v>74</v>
      </c>
      <c r="W107" t="s">
        <v>2275</v>
      </c>
      <c r="X107" t="s">
        <v>2276</v>
      </c>
      <c r="Y107" t="s">
        <v>2277</v>
      </c>
      <c r="Z107" t="s">
        <v>74</v>
      </c>
      <c r="AA107" t="s">
        <v>74</v>
      </c>
      <c r="AB107" t="s">
        <v>74</v>
      </c>
      <c r="AC107" t="s">
        <v>74</v>
      </c>
      <c r="AD107" t="s">
        <v>74</v>
      </c>
      <c r="AE107" t="s">
        <v>74</v>
      </c>
      <c r="AF107" t="s">
        <v>74</v>
      </c>
      <c r="AG107">
        <v>124</v>
      </c>
      <c r="AH107">
        <v>18</v>
      </c>
      <c r="AI107">
        <v>18</v>
      </c>
      <c r="AJ107">
        <v>2</v>
      </c>
      <c r="AK107">
        <v>3</v>
      </c>
      <c r="AL107" t="s">
        <v>807</v>
      </c>
      <c r="AM107" t="s">
        <v>808</v>
      </c>
      <c r="AN107" t="s">
        <v>2278</v>
      </c>
      <c r="AO107" t="s">
        <v>74</v>
      </c>
      <c r="AP107" t="s">
        <v>74</v>
      </c>
      <c r="AQ107" t="s">
        <v>2279</v>
      </c>
      <c r="AR107" t="s">
        <v>74</v>
      </c>
      <c r="AS107" t="s">
        <v>74</v>
      </c>
      <c r="AT107" t="s">
        <v>74</v>
      </c>
      <c r="AU107">
        <v>2018</v>
      </c>
      <c r="AV107" t="s">
        <v>74</v>
      </c>
      <c r="AW107" t="s">
        <v>74</v>
      </c>
      <c r="AX107" t="s">
        <v>74</v>
      </c>
      <c r="AY107" t="s">
        <v>74</v>
      </c>
      <c r="AZ107" t="s">
        <v>74</v>
      </c>
      <c r="BA107" t="s">
        <v>74</v>
      </c>
      <c r="BB107">
        <v>335</v>
      </c>
      <c r="BC107">
        <v>375</v>
      </c>
      <c r="BD107" t="s">
        <v>74</v>
      </c>
      <c r="BE107" t="s">
        <v>2280</v>
      </c>
      <c r="BF107" t="str">
        <f>HYPERLINK("http://dx.doi.org/10.1016/B978-0-08-100524-8.00010-5","http://dx.doi.org/10.1016/B978-0-08-100524-8.00010-5")</f>
        <v>http://dx.doi.org/10.1016/B978-0-08-100524-8.00010-5</v>
      </c>
      <c r="BG107" t="s">
        <v>74</v>
      </c>
      <c r="BH107" t="s">
        <v>74</v>
      </c>
      <c r="BI107">
        <v>41</v>
      </c>
      <c r="BJ107" t="s">
        <v>233</v>
      </c>
      <c r="BK107" t="s">
        <v>1856</v>
      </c>
      <c r="BL107" t="s">
        <v>234</v>
      </c>
      <c r="BM107" t="s">
        <v>2281</v>
      </c>
      <c r="BN107" t="s">
        <v>74</v>
      </c>
      <c r="BO107" t="s">
        <v>74</v>
      </c>
      <c r="BP107" t="s">
        <v>74</v>
      </c>
      <c r="BQ107" t="s">
        <v>74</v>
      </c>
      <c r="BR107" t="s">
        <v>105</v>
      </c>
      <c r="BS107" t="s">
        <v>2282</v>
      </c>
      <c r="BT107" t="str">
        <f>HYPERLINK("https%3A%2F%2Fwww.webofscience.com%2Fwos%2Fwoscc%2Ffull-record%2FWOS:000462445500011","View Full Record in Web of Science")</f>
        <v>View Full Record in Web of Science</v>
      </c>
    </row>
    <row r="108" spans="1:72" x14ac:dyDescent="0.15">
      <c r="A108" t="s">
        <v>2085</v>
      </c>
      <c r="B108" t="s">
        <v>2283</v>
      </c>
      <c r="C108" t="s">
        <v>74</v>
      </c>
      <c r="D108" t="s">
        <v>2270</v>
      </c>
      <c r="E108" t="s">
        <v>74</v>
      </c>
      <c r="F108" t="s">
        <v>2284</v>
      </c>
      <c r="G108" t="s">
        <v>74</v>
      </c>
      <c r="H108" t="s">
        <v>74</v>
      </c>
      <c r="I108" t="s">
        <v>2285</v>
      </c>
      <c r="J108" t="s">
        <v>2273</v>
      </c>
      <c r="K108" t="s">
        <v>74</v>
      </c>
      <c r="L108" t="s">
        <v>74</v>
      </c>
      <c r="M108" t="s">
        <v>78</v>
      </c>
      <c r="N108" t="s">
        <v>1862</v>
      </c>
      <c r="O108" t="s">
        <v>74</v>
      </c>
      <c r="P108" t="s">
        <v>74</v>
      </c>
      <c r="Q108" t="s">
        <v>74</v>
      </c>
      <c r="R108" t="s">
        <v>74</v>
      </c>
      <c r="S108" t="s">
        <v>74</v>
      </c>
      <c r="T108" t="s">
        <v>74</v>
      </c>
      <c r="U108" t="s">
        <v>2286</v>
      </c>
      <c r="V108" t="s">
        <v>74</v>
      </c>
      <c r="W108" t="s">
        <v>2287</v>
      </c>
      <c r="X108" t="s">
        <v>2288</v>
      </c>
      <c r="Y108" t="s">
        <v>2289</v>
      </c>
      <c r="Z108" t="s">
        <v>74</v>
      </c>
      <c r="AA108" t="s">
        <v>2290</v>
      </c>
      <c r="AB108" t="s">
        <v>2291</v>
      </c>
      <c r="AC108" t="s">
        <v>74</v>
      </c>
      <c r="AD108" t="s">
        <v>74</v>
      </c>
      <c r="AE108" t="s">
        <v>74</v>
      </c>
      <c r="AF108" t="s">
        <v>74</v>
      </c>
      <c r="AG108">
        <v>100</v>
      </c>
      <c r="AH108">
        <v>1</v>
      </c>
      <c r="AI108">
        <v>2</v>
      </c>
      <c r="AJ108">
        <v>0</v>
      </c>
      <c r="AK108">
        <v>1</v>
      </c>
      <c r="AL108" t="s">
        <v>807</v>
      </c>
      <c r="AM108" t="s">
        <v>808</v>
      </c>
      <c r="AN108" t="s">
        <v>2278</v>
      </c>
      <c r="AO108" t="s">
        <v>74</v>
      </c>
      <c r="AP108" t="s">
        <v>74</v>
      </c>
      <c r="AQ108" t="s">
        <v>2279</v>
      </c>
      <c r="AR108" t="s">
        <v>74</v>
      </c>
      <c r="AS108" t="s">
        <v>74</v>
      </c>
      <c r="AT108" t="s">
        <v>74</v>
      </c>
      <c r="AU108">
        <v>2018</v>
      </c>
      <c r="AV108" t="s">
        <v>74</v>
      </c>
      <c r="AW108" t="s">
        <v>74</v>
      </c>
      <c r="AX108" t="s">
        <v>74</v>
      </c>
      <c r="AY108" t="s">
        <v>74</v>
      </c>
      <c r="AZ108" t="s">
        <v>74</v>
      </c>
      <c r="BA108" t="s">
        <v>74</v>
      </c>
      <c r="BB108">
        <v>565</v>
      </c>
      <c r="BC108">
        <v>584</v>
      </c>
      <c r="BD108" t="s">
        <v>74</v>
      </c>
      <c r="BE108" t="s">
        <v>2292</v>
      </c>
      <c r="BF108" t="str">
        <f>HYPERLINK("http://dx.doi.org/10.1016/B978-0-08-100524-8.00017-8","http://dx.doi.org/10.1016/B978-0-08-100524-8.00017-8")</f>
        <v>http://dx.doi.org/10.1016/B978-0-08-100524-8.00017-8</v>
      </c>
      <c r="BG108" t="s">
        <v>74</v>
      </c>
      <c r="BH108" t="s">
        <v>74</v>
      </c>
      <c r="BI108">
        <v>20</v>
      </c>
      <c r="BJ108" t="s">
        <v>233</v>
      </c>
      <c r="BK108" t="s">
        <v>1856</v>
      </c>
      <c r="BL108" t="s">
        <v>234</v>
      </c>
      <c r="BM108" t="s">
        <v>2281</v>
      </c>
      <c r="BN108" t="s">
        <v>74</v>
      </c>
      <c r="BO108" t="s">
        <v>74</v>
      </c>
      <c r="BP108" t="s">
        <v>74</v>
      </c>
      <c r="BQ108" t="s">
        <v>74</v>
      </c>
      <c r="BR108" t="s">
        <v>105</v>
      </c>
      <c r="BS108" t="s">
        <v>2293</v>
      </c>
      <c r="BT108" t="str">
        <f>HYPERLINK("https%3A%2F%2Fwww.webofscience.com%2Fwos%2Fwoscc%2Ffull-record%2FWOS:000462445500017","View Full Record in Web of Science")</f>
        <v>View Full Record in Web of Science</v>
      </c>
    </row>
    <row r="109" spans="1:72" x14ac:dyDescent="0.15">
      <c r="A109" t="s">
        <v>2085</v>
      </c>
      <c r="B109" t="s">
        <v>2294</v>
      </c>
      <c r="C109" t="s">
        <v>74</v>
      </c>
      <c r="D109" t="s">
        <v>2270</v>
      </c>
      <c r="E109" t="s">
        <v>74</v>
      </c>
      <c r="F109" t="s">
        <v>2295</v>
      </c>
      <c r="G109" t="s">
        <v>74</v>
      </c>
      <c r="H109" t="s">
        <v>74</v>
      </c>
      <c r="I109" t="s">
        <v>2296</v>
      </c>
      <c r="J109" t="s">
        <v>2273</v>
      </c>
      <c r="K109" t="s">
        <v>74</v>
      </c>
      <c r="L109" t="s">
        <v>74</v>
      </c>
      <c r="M109" t="s">
        <v>78</v>
      </c>
      <c r="N109" t="s">
        <v>1862</v>
      </c>
      <c r="O109" t="s">
        <v>74</v>
      </c>
      <c r="P109" t="s">
        <v>74</v>
      </c>
      <c r="Q109" t="s">
        <v>74</v>
      </c>
      <c r="R109" t="s">
        <v>74</v>
      </c>
      <c r="S109" t="s">
        <v>74</v>
      </c>
      <c r="T109" t="s">
        <v>74</v>
      </c>
      <c r="U109" t="s">
        <v>2297</v>
      </c>
      <c r="V109" t="s">
        <v>74</v>
      </c>
      <c r="W109" t="s">
        <v>2298</v>
      </c>
      <c r="X109" t="s">
        <v>2299</v>
      </c>
      <c r="Y109" t="s">
        <v>2300</v>
      </c>
      <c r="Z109" t="s">
        <v>74</v>
      </c>
      <c r="AA109" t="s">
        <v>2301</v>
      </c>
      <c r="AB109" t="s">
        <v>2302</v>
      </c>
      <c r="AC109" t="s">
        <v>2303</v>
      </c>
      <c r="AD109" t="s">
        <v>2304</v>
      </c>
      <c r="AE109" t="s">
        <v>74</v>
      </c>
      <c r="AF109" t="s">
        <v>74</v>
      </c>
      <c r="AG109">
        <v>119</v>
      </c>
      <c r="AH109">
        <v>7</v>
      </c>
      <c r="AI109">
        <v>7</v>
      </c>
      <c r="AJ109">
        <v>0</v>
      </c>
      <c r="AK109">
        <v>1</v>
      </c>
      <c r="AL109" t="s">
        <v>807</v>
      </c>
      <c r="AM109" t="s">
        <v>808</v>
      </c>
      <c r="AN109" t="s">
        <v>2278</v>
      </c>
      <c r="AO109" t="s">
        <v>74</v>
      </c>
      <c r="AP109" t="s">
        <v>74</v>
      </c>
      <c r="AQ109" t="s">
        <v>2279</v>
      </c>
      <c r="AR109" t="s">
        <v>74</v>
      </c>
      <c r="AS109" t="s">
        <v>74</v>
      </c>
      <c r="AT109" t="s">
        <v>74</v>
      </c>
      <c r="AU109">
        <v>2018</v>
      </c>
      <c r="AV109" t="s">
        <v>74</v>
      </c>
      <c r="AW109" t="s">
        <v>74</v>
      </c>
      <c r="AX109" t="s">
        <v>74</v>
      </c>
      <c r="AY109" t="s">
        <v>74</v>
      </c>
      <c r="AZ109" t="s">
        <v>74</v>
      </c>
      <c r="BA109" t="s">
        <v>74</v>
      </c>
      <c r="BB109">
        <v>607</v>
      </c>
      <c r="BC109">
        <v>663</v>
      </c>
      <c r="BD109" t="s">
        <v>74</v>
      </c>
      <c r="BE109" t="s">
        <v>2305</v>
      </c>
      <c r="BF109" t="str">
        <f>HYPERLINK("http://dx.doi.org/10.1016/B978-0-08-100524-8.00019-1","http://dx.doi.org/10.1016/B978-0-08-100524-8.00019-1")</f>
        <v>http://dx.doi.org/10.1016/B978-0-08-100524-8.00019-1</v>
      </c>
      <c r="BG109" t="s">
        <v>74</v>
      </c>
      <c r="BH109" t="s">
        <v>74</v>
      </c>
      <c r="BI109">
        <v>57</v>
      </c>
      <c r="BJ109" t="s">
        <v>233</v>
      </c>
      <c r="BK109" t="s">
        <v>1856</v>
      </c>
      <c r="BL109" t="s">
        <v>234</v>
      </c>
      <c r="BM109" t="s">
        <v>2281</v>
      </c>
      <c r="BN109" t="s">
        <v>74</v>
      </c>
      <c r="BO109" t="s">
        <v>74</v>
      </c>
      <c r="BP109" t="s">
        <v>74</v>
      </c>
      <c r="BQ109" t="s">
        <v>74</v>
      </c>
      <c r="BR109" t="s">
        <v>105</v>
      </c>
      <c r="BS109" t="s">
        <v>2306</v>
      </c>
      <c r="BT109" t="str">
        <f>HYPERLINK("https%3A%2F%2Fwww.webofscience.com%2Fwos%2Fwoscc%2Ffull-record%2FWOS:000462445500019","View Full Record in Web of Science")</f>
        <v>View Full Record in Web of Science</v>
      </c>
    </row>
    <row r="110" spans="1:72" x14ac:dyDescent="0.15">
      <c r="A110" t="s">
        <v>72</v>
      </c>
      <c r="B110" t="s">
        <v>2307</v>
      </c>
      <c r="C110" t="s">
        <v>74</v>
      </c>
      <c r="D110" t="s">
        <v>74</v>
      </c>
      <c r="E110" t="s">
        <v>74</v>
      </c>
      <c r="F110" t="s">
        <v>2308</v>
      </c>
      <c r="G110" t="s">
        <v>74</v>
      </c>
      <c r="H110" t="s">
        <v>74</v>
      </c>
      <c r="I110" t="s">
        <v>2309</v>
      </c>
      <c r="J110" t="s">
        <v>2310</v>
      </c>
      <c r="K110" t="s">
        <v>74</v>
      </c>
      <c r="L110" t="s">
        <v>74</v>
      </c>
      <c r="M110" t="s">
        <v>78</v>
      </c>
      <c r="N110" t="s">
        <v>2311</v>
      </c>
      <c r="O110" t="s">
        <v>2312</v>
      </c>
      <c r="P110" t="s">
        <v>2313</v>
      </c>
      <c r="Q110" t="s">
        <v>2314</v>
      </c>
      <c r="R110" t="s">
        <v>74</v>
      </c>
      <c r="S110" t="s">
        <v>2315</v>
      </c>
      <c r="T110" t="s">
        <v>2316</v>
      </c>
      <c r="U110" t="s">
        <v>2317</v>
      </c>
      <c r="V110" t="s">
        <v>2318</v>
      </c>
      <c r="W110" t="s">
        <v>2319</v>
      </c>
      <c r="X110" t="s">
        <v>2320</v>
      </c>
      <c r="Y110" t="s">
        <v>2321</v>
      </c>
      <c r="Z110" t="s">
        <v>2322</v>
      </c>
      <c r="AA110" t="s">
        <v>74</v>
      </c>
      <c r="AB110" t="s">
        <v>74</v>
      </c>
      <c r="AC110" t="s">
        <v>74</v>
      </c>
      <c r="AD110" t="s">
        <v>74</v>
      </c>
      <c r="AE110" t="s">
        <v>74</v>
      </c>
      <c r="AF110" t="s">
        <v>74</v>
      </c>
      <c r="AG110">
        <v>37</v>
      </c>
      <c r="AH110">
        <v>0</v>
      </c>
      <c r="AI110">
        <v>0</v>
      </c>
      <c r="AJ110">
        <v>0</v>
      </c>
      <c r="AK110">
        <v>2</v>
      </c>
      <c r="AL110" t="s">
        <v>2323</v>
      </c>
      <c r="AM110" t="s">
        <v>2324</v>
      </c>
      <c r="AN110" t="s">
        <v>2325</v>
      </c>
      <c r="AO110" t="s">
        <v>2326</v>
      </c>
      <c r="AP110" t="s">
        <v>2327</v>
      </c>
      <c r="AQ110" t="s">
        <v>74</v>
      </c>
      <c r="AR110" t="s">
        <v>2310</v>
      </c>
      <c r="AS110" t="s">
        <v>2328</v>
      </c>
      <c r="AT110" t="s">
        <v>74</v>
      </c>
      <c r="AU110">
        <v>2018</v>
      </c>
      <c r="AV110">
        <v>64</v>
      </c>
      <c r="AW110" t="s">
        <v>2329</v>
      </c>
      <c r="AX110" t="s">
        <v>74</v>
      </c>
      <c r="AY110" t="s">
        <v>74</v>
      </c>
      <c r="AZ110" t="s">
        <v>74</v>
      </c>
      <c r="BA110" t="s">
        <v>74</v>
      </c>
      <c r="BB110">
        <v>527</v>
      </c>
      <c r="BC110">
        <v>534</v>
      </c>
      <c r="BD110" t="s">
        <v>74</v>
      </c>
      <c r="BE110" t="s">
        <v>74</v>
      </c>
      <c r="BF110" t="s">
        <v>74</v>
      </c>
      <c r="BG110" t="s">
        <v>74</v>
      </c>
      <c r="BH110" t="s">
        <v>74</v>
      </c>
      <c r="BI110">
        <v>8</v>
      </c>
      <c r="BJ110" t="s">
        <v>1496</v>
      </c>
      <c r="BK110" t="s">
        <v>2330</v>
      </c>
      <c r="BL110" t="s">
        <v>1496</v>
      </c>
      <c r="BM110" t="s">
        <v>2331</v>
      </c>
      <c r="BN110" t="s">
        <v>74</v>
      </c>
      <c r="BO110" t="s">
        <v>74</v>
      </c>
      <c r="BP110" t="s">
        <v>74</v>
      </c>
      <c r="BQ110" t="s">
        <v>74</v>
      </c>
      <c r="BR110" t="s">
        <v>105</v>
      </c>
      <c r="BS110" t="s">
        <v>2332</v>
      </c>
      <c r="BT110" t="str">
        <f>HYPERLINK("https%3A%2F%2Fwww.webofscience.com%2Fwos%2Fwoscc%2Ffull-record%2FWOS:000465382500014","View Full Record in Web of Science")</f>
        <v>View Full Record in Web of Science</v>
      </c>
    </row>
    <row r="111" spans="1:72" x14ac:dyDescent="0.15">
      <c r="A111" t="s">
        <v>1831</v>
      </c>
      <c r="B111" t="s">
        <v>2333</v>
      </c>
      <c r="C111" t="s">
        <v>2333</v>
      </c>
      <c r="D111" t="s">
        <v>74</v>
      </c>
      <c r="E111" t="s">
        <v>74</v>
      </c>
      <c r="F111" t="s">
        <v>2334</v>
      </c>
      <c r="G111" t="s">
        <v>2333</v>
      </c>
      <c r="H111" t="s">
        <v>74</v>
      </c>
      <c r="I111" t="s">
        <v>2335</v>
      </c>
      <c r="J111" t="s">
        <v>2336</v>
      </c>
      <c r="K111" t="s">
        <v>2337</v>
      </c>
      <c r="L111" t="s">
        <v>74</v>
      </c>
      <c r="M111" t="s">
        <v>78</v>
      </c>
      <c r="N111" t="s">
        <v>1862</v>
      </c>
      <c r="O111" t="s">
        <v>74</v>
      </c>
      <c r="P111" t="s">
        <v>74</v>
      </c>
      <c r="Q111" t="s">
        <v>74</v>
      </c>
      <c r="R111" t="s">
        <v>74</v>
      </c>
      <c r="S111" t="s">
        <v>74</v>
      </c>
      <c r="T111" t="s">
        <v>74</v>
      </c>
      <c r="U111" t="s">
        <v>2338</v>
      </c>
      <c r="V111" t="s">
        <v>2339</v>
      </c>
      <c r="W111" t="s">
        <v>2340</v>
      </c>
      <c r="X111" t="s">
        <v>2341</v>
      </c>
      <c r="Y111" t="s">
        <v>2342</v>
      </c>
      <c r="Z111" t="s">
        <v>74</v>
      </c>
      <c r="AA111" t="s">
        <v>74</v>
      </c>
      <c r="AB111" t="s">
        <v>74</v>
      </c>
      <c r="AC111" t="s">
        <v>74</v>
      </c>
      <c r="AD111" t="s">
        <v>74</v>
      </c>
      <c r="AE111" t="s">
        <v>74</v>
      </c>
      <c r="AF111" t="s">
        <v>74</v>
      </c>
      <c r="AG111">
        <v>1954</v>
      </c>
      <c r="AH111">
        <v>0</v>
      </c>
      <c r="AI111">
        <v>0</v>
      </c>
      <c r="AJ111">
        <v>0</v>
      </c>
      <c r="AK111">
        <v>3</v>
      </c>
      <c r="AL111" t="s">
        <v>1898</v>
      </c>
      <c r="AM111" t="s">
        <v>1899</v>
      </c>
      <c r="AN111" t="s">
        <v>1900</v>
      </c>
      <c r="AO111" t="s">
        <v>2343</v>
      </c>
      <c r="AP111" t="s">
        <v>74</v>
      </c>
      <c r="AQ111" t="s">
        <v>2344</v>
      </c>
      <c r="AR111" t="s">
        <v>2345</v>
      </c>
      <c r="AS111" t="s">
        <v>2346</v>
      </c>
      <c r="AT111" t="s">
        <v>74</v>
      </c>
      <c r="AU111">
        <v>2018</v>
      </c>
      <c r="AV111">
        <v>94</v>
      </c>
      <c r="AW111" t="s">
        <v>74</v>
      </c>
      <c r="AX111" t="s">
        <v>74</v>
      </c>
      <c r="AY111" t="s">
        <v>74</v>
      </c>
      <c r="AZ111" t="s">
        <v>74</v>
      </c>
      <c r="BA111" t="s">
        <v>74</v>
      </c>
      <c r="BB111">
        <v>319</v>
      </c>
      <c r="BC111" t="s">
        <v>1565</v>
      </c>
      <c r="BD111" t="s">
        <v>74</v>
      </c>
      <c r="BE111" t="s">
        <v>2347</v>
      </c>
      <c r="BF111" t="str">
        <f>HYPERLINK("http://dx.doi.org/10.1007/978-3-319-74418-6_7","http://dx.doi.org/10.1007/978-3-319-74418-6_7")</f>
        <v>http://dx.doi.org/10.1007/978-3-319-74418-6_7</v>
      </c>
      <c r="BG111" t="s">
        <v>2348</v>
      </c>
      <c r="BH111" t="s">
        <v>74</v>
      </c>
      <c r="BI111">
        <v>98</v>
      </c>
      <c r="BJ111" t="s">
        <v>655</v>
      </c>
      <c r="BK111" t="s">
        <v>1856</v>
      </c>
      <c r="BL111" t="s">
        <v>655</v>
      </c>
      <c r="BM111" t="s">
        <v>2349</v>
      </c>
      <c r="BN111" t="s">
        <v>74</v>
      </c>
      <c r="BO111" t="s">
        <v>74</v>
      </c>
      <c r="BP111" t="s">
        <v>74</v>
      </c>
      <c r="BQ111" t="s">
        <v>74</v>
      </c>
      <c r="BR111" t="s">
        <v>105</v>
      </c>
      <c r="BS111" t="s">
        <v>2350</v>
      </c>
      <c r="BT111" t="str">
        <f>HYPERLINK("https%3A%2F%2Fwww.webofscience.com%2Fwos%2Fwoscc%2Ffull-record%2FWOS:000463597100007","View Full Record in Web of Science")</f>
        <v>View Full Record in Web of Science</v>
      </c>
    </row>
    <row r="112" spans="1:72" x14ac:dyDescent="0.15">
      <c r="A112" t="s">
        <v>1776</v>
      </c>
      <c r="B112" t="s">
        <v>2351</v>
      </c>
      <c r="C112" t="s">
        <v>74</v>
      </c>
      <c r="D112" t="s">
        <v>2352</v>
      </c>
      <c r="E112" t="s">
        <v>74</v>
      </c>
      <c r="F112" t="s">
        <v>2353</v>
      </c>
      <c r="G112" t="s">
        <v>74</v>
      </c>
      <c r="H112" t="s">
        <v>74</v>
      </c>
      <c r="I112" t="s">
        <v>2354</v>
      </c>
      <c r="J112" t="s">
        <v>2355</v>
      </c>
      <c r="K112" t="s">
        <v>74</v>
      </c>
      <c r="L112" t="s">
        <v>74</v>
      </c>
      <c r="M112" t="s">
        <v>78</v>
      </c>
      <c r="N112" t="s">
        <v>1782</v>
      </c>
      <c r="O112" t="s">
        <v>2356</v>
      </c>
      <c r="P112" t="s">
        <v>2357</v>
      </c>
      <c r="Q112" t="s">
        <v>2358</v>
      </c>
      <c r="R112" t="s">
        <v>74</v>
      </c>
      <c r="S112" t="s">
        <v>74</v>
      </c>
      <c r="T112" t="s">
        <v>74</v>
      </c>
      <c r="U112" t="s">
        <v>74</v>
      </c>
      <c r="V112" t="s">
        <v>2359</v>
      </c>
      <c r="W112" t="s">
        <v>2360</v>
      </c>
      <c r="X112" t="s">
        <v>2361</v>
      </c>
      <c r="Y112" t="s">
        <v>2362</v>
      </c>
      <c r="Z112" t="s">
        <v>2363</v>
      </c>
      <c r="AA112" t="s">
        <v>2364</v>
      </c>
      <c r="AB112" t="s">
        <v>2365</v>
      </c>
      <c r="AC112" t="s">
        <v>2366</v>
      </c>
      <c r="AD112" t="s">
        <v>2367</v>
      </c>
      <c r="AE112" t="s">
        <v>2368</v>
      </c>
      <c r="AF112" t="s">
        <v>74</v>
      </c>
      <c r="AG112">
        <v>7</v>
      </c>
      <c r="AH112">
        <v>0</v>
      </c>
      <c r="AI112">
        <v>0</v>
      </c>
      <c r="AJ112">
        <v>0</v>
      </c>
      <c r="AK112">
        <v>0</v>
      </c>
      <c r="AL112" t="s">
        <v>2369</v>
      </c>
      <c r="AM112" t="s">
        <v>1797</v>
      </c>
      <c r="AN112" t="s">
        <v>2370</v>
      </c>
      <c r="AO112" t="s">
        <v>74</v>
      </c>
      <c r="AP112" t="s">
        <v>74</v>
      </c>
      <c r="AQ112" t="s">
        <v>2371</v>
      </c>
      <c r="AR112" t="s">
        <v>74</v>
      </c>
      <c r="AS112" t="s">
        <v>74</v>
      </c>
      <c r="AT112" t="s">
        <v>74</v>
      </c>
      <c r="AU112">
        <v>2018</v>
      </c>
      <c r="AV112" t="s">
        <v>74</v>
      </c>
      <c r="AW112" t="s">
        <v>74</v>
      </c>
      <c r="AX112" t="s">
        <v>74</v>
      </c>
      <c r="AY112" t="s">
        <v>74</v>
      </c>
      <c r="AZ112" t="s">
        <v>74</v>
      </c>
      <c r="BA112" t="s">
        <v>74</v>
      </c>
      <c r="BB112">
        <v>297</v>
      </c>
      <c r="BC112">
        <v>306</v>
      </c>
      <c r="BD112" t="s">
        <v>74</v>
      </c>
      <c r="BE112" t="s">
        <v>74</v>
      </c>
      <c r="BF112" t="s">
        <v>74</v>
      </c>
      <c r="BG112" t="s">
        <v>74</v>
      </c>
      <c r="BH112" t="s">
        <v>74</v>
      </c>
      <c r="BI112">
        <v>10</v>
      </c>
      <c r="BJ112" t="s">
        <v>2372</v>
      </c>
      <c r="BK112" t="s">
        <v>1801</v>
      </c>
      <c r="BL112" t="s">
        <v>2155</v>
      </c>
      <c r="BM112" t="s">
        <v>2373</v>
      </c>
      <c r="BN112" t="s">
        <v>74</v>
      </c>
      <c r="BO112" t="s">
        <v>74</v>
      </c>
      <c r="BP112" t="s">
        <v>74</v>
      </c>
      <c r="BQ112" t="s">
        <v>74</v>
      </c>
      <c r="BR112" t="s">
        <v>105</v>
      </c>
      <c r="BS112" t="s">
        <v>2374</v>
      </c>
      <c r="BT112" t="str">
        <f>HYPERLINK("https%3A%2F%2Fwww.webofscience.com%2Fwos%2Fwoscc%2Ffull-record%2FWOS:000462200100030","View Full Record in Web of Science")</f>
        <v>View Full Record in Web of Science</v>
      </c>
    </row>
    <row r="113" spans="1:72" x14ac:dyDescent="0.15">
      <c r="A113" t="s">
        <v>1776</v>
      </c>
      <c r="B113" t="s">
        <v>2375</v>
      </c>
      <c r="C113" t="s">
        <v>74</v>
      </c>
      <c r="D113" t="s">
        <v>74</v>
      </c>
      <c r="E113" t="s">
        <v>1778</v>
      </c>
      <c r="F113" t="s">
        <v>2376</v>
      </c>
      <c r="G113" t="s">
        <v>74</v>
      </c>
      <c r="H113" t="s">
        <v>74</v>
      </c>
      <c r="I113" t="s">
        <v>2377</v>
      </c>
      <c r="J113" t="s">
        <v>2378</v>
      </c>
      <c r="K113" t="s">
        <v>74</v>
      </c>
      <c r="L113" t="s">
        <v>74</v>
      </c>
      <c r="M113" t="s">
        <v>78</v>
      </c>
      <c r="N113" t="s">
        <v>1782</v>
      </c>
      <c r="O113" t="s">
        <v>2379</v>
      </c>
      <c r="P113" t="s">
        <v>2380</v>
      </c>
      <c r="Q113" t="s">
        <v>2381</v>
      </c>
      <c r="R113" t="s">
        <v>74</v>
      </c>
      <c r="S113" t="s">
        <v>74</v>
      </c>
      <c r="T113" t="s">
        <v>74</v>
      </c>
      <c r="U113" t="s">
        <v>74</v>
      </c>
      <c r="V113" t="s">
        <v>74</v>
      </c>
      <c r="W113" t="s">
        <v>2382</v>
      </c>
      <c r="X113" t="s">
        <v>2383</v>
      </c>
      <c r="Y113" t="s">
        <v>2384</v>
      </c>
      <c r="Z113" t="s">
        <v>2385</v>
      </c>
      <c r="AA113" t="s">
        <v>74</v>
      </c>
      <c r="AB113" t="s">
        <v>74</v>
      </c>
      <c r="AC113" t="s">
        <v>74</v>
      </c>
      <c r="AD113" t="s">
        <v>74</v>
      </c>
      <c r="AE113" t="s">
        <v>74</v>
      </c>
      <c r="AF113" t="s">
        <v>74</v>
      </c>
      <c r="AG113">
        <v>0</v>
      </c>
      <c r="AH113">
        <v>0</v>
      </c>
      <c r="AI113">
        <v>0</v>
      </c>
      <c r="AJ113">
        <v>0</v>
      </c>
      <c r="AK113">
        <v>1</v>
      </c>
      <c r="AL113" t="s">
        <v>1778</v>
      </c>
      <c r="AM113" t="s">
        <v>1797</v>
      </c>
      <c r="AN113" t="s">
        <v>1798</v>
      </c>
      <c r="AO113" t="s">
        <v>74</v>
      </c>
      <c r="AP113" t="s">
        <v>74</v>
      </c>
      <c r="AQ113" t="s">
        <v>2386</v>
      </c>
      <c r="AR113" t="s">
        <v>74</v>
      </c>
      <c r="AS113" t="s">
        <v>74</v>
      </c>
      <c r="AT113" t="s">
        <v>74</v>
      </c>
      <c r="AU113">
        <v>2018</v>
      </c>
      <c r="AV113" t="s">
        <v>74</v>
      </c>
      <c r="AW113" t="s">
        <v>74</v>
      </c>
      <c r="AX113" t="s">
        <v>74</v>
      </c>
      <c r="AY113" t="s">
        <v>74</v>
      </c>
      <c r="AZ113" t="s">
        <v>74</v>
      </c>
      <c r="BA113" t="s">
        <v>74</v>
      </c>
      <c r="BB113" t="s">
        <v>74</v>
      </c>
      <c r="BC113" t="s">
        <v>74</v>
      </c>
      <c r="BD113" t="s">
        <v>74</v>
      </c>
      <c r="BE113" t="s">
        <v>74</v>
      </c>
      <c r="BF113" t="s">
        <v>74</v>
      </c>
      <c r="BG113" t="s">
        <v>74</v>
      </c>
      <c r="BH113" t="s">
        <v>74</v>
      </c>
      <c r="BI113">
        <v>1</v>
      </c>
      <c r="BJ113" t="s">
        <v>2387</v>
      </c>
      <c r="BK113" t="s">
        <v>1801</v>
      </c>
      <c r="BL113" t="s">
        <v>2387</v>
      </c>
      <c r="BM113" t="s">
        <v>2388</v>
      </c>
      <c r="BN113" t="s">
        <v>74</v>
      </c>
      <c r="BO113" t="s">
        <v>74</v>
      </c>
      <c r="BP113" t="s">
        <v>74</v>
      </c>
      <c r="BQ113" t="s">
        <v>74</v>
      </c>
      <c r="BR113" t="s">
        <v>105</v>
      </c>
      <c r="BS113" t="s">
        <v>2389</v>
      </c>
      <c r="BT113" t="str">
        <f>HYPERLINK("https%3A%2F%2Fwww.webofscience.com%2Fwos%2Fwoscc%2Ffull-record%2FWOS:000462069500232","View Full Record in Web of Science")</f>
        <v>View Full Record in Web of Science</v>
      </c>
    </row>
    <row r="114" spans="1:72" x14ac:dyDescent="0.15">
      <c r="A114" t="s">
        <v>1776</v>
      </c>
      <c r="B114" t="s">
        <v>2390</v>
      </c>
      <c r="C114" t="s">
        <v>74</v>
      </c>
      <c r="D114" t="s">
        <v>74</v>
      </c>
      <c r="E114" t="s">
        <v>1778</v>
      </c>
      <c r="F114" t="s">
        <v>2391</v>
      </c>
      <c r="G114" t="s">
        <v>74</v>
      </c>
      <c r="H114" t="s">
        <v>74</v>
      </c>
      <c r="I114" t="s">
        <v>2392</v>
      </c>
      <c r="J114" t="s">
        <v>2393</v>
      </c>
      <c r="K114" t="s">
        <v>74</v>
      </c>
      <c r="L114" t="s">
        <v>74</v>
      </c>
      <c r="M114" t="s">
        <v>78</v>
      </c>
      <c r="N114" t="s">
        <v>1782</v>
      </c>
      <c r="O114" t="s">
        <v>2394</v>
      </c>
      <c r="P114" t="s">
        <v>2395</v>
      </c>
      <c r="Q114" t="s">
        <v>2396</v>
      </c>
      <c r="R114" t="s">
        <v>74</v>
      </c>
      <c r="S114" t="s">
        <v>74</v>
      </c>
      <c r="T114" t="s">
        <v>74</v>
      </c>
      <c r="U114" t="s">
        <v>74</v>
      </c>
      <c r="V114" t="s">
        <v>2397</v>
      </c>
      <c r="W114" t="s">
        <v>2398</v>
      </c>
      <c r="X114" t="s">
        <v>2399</v>
      </c>
      <c r="Y114" t="s">
        <v>2400</v>
      </c>
      <c r="Z114" t="s">
        <v>2401</v>
      </c>
      <c r="AA114" t="s">
        <v>74</v>
      </c>
      <c r="AB114" t="s">
        <v>74</v>
      </c>
      <c r="AC114" t="s">
        <v>74</v>
      </c>
      <c r="AD114" t="s">
        <v>74</v>
      </c>
      <c r="AE114" t="s">
        <v>74</v>
      </c>
      <c r="AF114" t="s">
        <v>74</v>
      </c>
      <c r="AG114">
        <v>0</v>
      </c>
      <c r="AH114">
        <v>5</v>
      </c>
      <c r="AI114">
        <v>5</v>
      </c>
      <c r="AJ114">
        <v>1</v>
      </c>
      <c r="AK114">
        <v>4</v>
      </c>
      <c r="AL114" t="s">
        <v>1778</v>
      </c>
      <c r="AM114" t="s">
        <v>1797</v>
      </c>
      <c r="AN114" t="s">
        <v>1798</v>
      </c>
      <c r="AO114" t="s">
        <v>74</v>
      </c>
      <c r="AP114" t="s">
        <v>74</v>
      </c>
      <c r="AQ114" t="s">
        <v>2402</v>
      </c>
      <c r="AR114" t="s">
        <v>74</v>
      </c>
      <c r="AS114" t="s">
        <v>74</v>
      </c>
      <c r="AT114" t="s">
        <v>74</v>
      </c>
      <c r="AU114">
        <v>2018</v>
      </c>
      <c r="AV114" t="s">
        <v>74</v>
      </c>
      <c r="AW114" t="s">
        <v>74</v>
      </c>
      <c r="AX114" t="s">
        <v>74</v>
      </c>
      <c r="AY114" t="s">
        <v>74</v>
      </c>
      <c r="AZ114" t="s">
        <v>74</v>
      </c>
      <c r="BA114" t="s">
        <v>74</v>
      </c>
      <c r="BB114" t="s">
        <v>74</v>
      </c>
      <c r="BC114" t="s">
        <v>74</v>
      </c>
      <c r="BD114" t="s">
        <v>74</v>
      </c>
      <c r="BE114" t="s">
        <v>74</v>
      </c>
      <c r="BF114" t="s">
        <v>74</v>
      </c>
      <c r="BG114" t="s">
        <v>74</v>
      </c>
      <c r="BH114" t="s">
        <v>74</v>
      </c>
      <c r="BI114">
        <v>6</v>
      </c>
      <c r="BJ114" t="s">
        <v>2403</v>
      </c>
      <c r="BK114" t="s">
        <v>1801</v>
      </c>
      <c r="BL114" t="s">
        <v>2155</v>
      </c>
      <c r="BM114" t="s">
        <v>2404</v>
      </c>
      <c r="BN114" t="s">
        <v>74</v>
      </c>
      <c r="BO114" t="s">
        <v>74</v>
      </c>
      <c r="BP114" t="s">
        <v>74</v>
      </c>
      <c r="BQ114" t="s">
        <v>74</v>
      </c>
      <c r="BR114" t="s">
        <v>105</v>
      </c>
      <c r="BS114" t="s">
        <v>2405</v>
      </c>
      <c r="BT114" t="str">
        <f>HYPERLINK("https%3A%2F%2Fwww.webofscience.com%2Fwos%2Fwoscc%2Ffull-record%2FWOS:000461320201151","View Full Record in Web of Science")</f>
        <v>View Full Record in Web of Science</v>
      </c>
    </row>
    <row r="115" spans="1:72" x14ac:dyDescent="0.15">
      <c r="A115" t="s">
        <v>1776</v>
      </c>
      <c r="B115" t="s">
        <v>2406</v>
      </c>
      <c r="C115" t="s">
        <v>74</v>
      </c>
      <c r="D115" t="s">
        <v>74</v>
      </c>
      <c r="E115" t="s">
        <v>1778</v>
      </c>
      <c r="F115" t="s">
        <v>2407</v>
      </c>
      <c r="G115" t="s">
        <v>74</v>
      </c>
      <c r="H115" t="s">
        <v>74</v>
      </c>
      <c r="I115" t="s">
        <v>2408</v>
      </c>
      <c r="J115" t="s">
        <v>2393</v>
      </c>
      <c r="K115" t="s">
        <v>74</v>
      </c>
      <c r="L115" t="s">
        <v>74</v>
      </c>
      <c r="M115" t="s">
        <v>78</v>
      </c>
      <c r="N115" t="s">
        <v>1782</v>
      </c>
      <c r="O115" t="s">
        <v>2394</v>
      </c>
      <c r="P115" t="s">
        <v>2395</v>
      </c>
      <c r="Q115" t="s">
        <v>2396</v>
      </c>
      <c r="R115" t="s">
        <v>74</v>
      </c>
      <c r="S115" t="s">
        <v>74</v>
      </c>
      <c r="T115" t="s">
        <v>2409</v>
      </c>
      <c r="U115" t="s">
        <v>74</v>
      </c>
      <c r="V115" t="s">
        <v>2410</v>
      </c>
      <c r="W115" t="s">
        <v>2411</v>
      </c>
      <c r="X115" t="s">
        <v>2412</v>
      </c>
      <c r="Y115" t="s">
        <v>2413</v>
      </c>
      <c r="Z115" t="s">
        <v>74</v>
      </c>
      <c r="AA115" t="s">
        <v>2414</v>
      </c>
      <c r="AB115" t="s">
        <v>2415</v>
      </c>
      <c r="AC115" t="s">
        <v>2416</v>
      </c>
      <c r="AD115" t="s">
        <v>2417</v>
      </c>
      <c r="AE115" t="s">
        <v>2418</v>
      </c>
      <c r="AF115" t="s">
        <v>74</v>
      </c>
      <c r="AG115">
        <v>3</v>
      </c>
      <c r="AH115">
        <v>7</v>
      </c>
      <c r="AI115">
        <v>9</v>
      </c>
      <c r="AJ115">
        <v>1</v>
      </c>
      <c r="AK115">
        <v>2</v>
      </c>
      <c r="AL115" t="s">
        <v>1778</v>
      </c>
      <c r="AM115" t="s">
        <v>1797</v>
      </c>
      <c r="AN115" t="s">
        <v>1798</v>
      </c>
      <c r="AO115" t="s">
        <v>74</v>
      </c>
      <c r="AP115" t="s">
        <v>74</v>
      </c>
      <c r="AQ115" t="s">
        <v>2402</v>
      </c>
      <c r="AR115" t="s">
        <v>74</v>
      </c>
      <c r="AS115" t="s">
        <v>74</v>
      </c>
      <c r="AT115" t="s">
        <v>74</v>
      </c>
      <c r="AU115">
        <v>2018</v>
      </c>
      <c r="AV115" t="s">
        <v>74</v>
      </c>
      <c r="AW115" t="s">
        <v>74</v>
      </c>
      <c r="AX115" t="s">
        <v>74</v>
      </c>
      <c r="AY115" t="s">
        <v>74</v>
      </c>
      <c r="AZ115" t="s">
        <v>74</v>
      </c>
      <c r="BA115" t="s">
        <v>74</v>
      </c>
      <c r="BB115" t="s">
        <v>74</v>
      </c>
      <c r="BC115" t="s">
        <v>74</v>
      </c>
      <c r="BD115" t="s">
        <v>74</v>
      </c>
      <c r="BE115" t="s">
        <v>74</v>
      </c>
      <c r="BF115" t="s">
        <v>74</v>
      </c>
      <c r="BG115" t="s">
        <v>74</v>
      </c>
      <c r="BH115" t="s">
        <v>74</v>
      </c>
      <c r="BI115">
        <v>5</v>
      </c>
      <c r="BJ115" t="s">
        <v>2403</v>
      </c>
      <c r="BK115" t="s">
        <v>1801</v>
      </c>
      <c r="BL115" t="s">
        <v>2155</v>
      </c>
      <c r="BM115" t="s">
        <v>2404</v>
      </c>
      <c r="BN115" t="s">
        <v>74</v>
      </c>
      <c r="BO115" t="s">
        <v>74</v>
      </c>
      <c r="BP115" t="s">
        <v>74</v>
      </c>
      <c r="BQ115" t="s">
        <v>74</v>
      </c>
      <c r="BR115" t="s">
        <v>105</v>
      </c>
      <c r="BS115" t="s">
        <v>2419</v>
      </c>
      <c r="BT115" t="str">
        <f>HYPERLINK("https%3A%2F%2Fwww.webofscience.com%2Fwos%2Fwoscc%2Ffull-record%2FWOS:000461320201069","View Full Record in Web of Science")</f>
        <v>View Full Record in Web of Science</v>
      </c>
    </row>
    <row r="116" spans="1:72" x14ac:dyDescent="0.15">
      <c r="A116" t="s">
        <v>1776</v>
      </c>
      <c r="B116" t="s">
        <v>2420</v>
      </c>
      <c r="C116" t="s">
        <v>74</v>
      </c>
      <c r="D116" t="s">
        <v>74</v>
      </c>
      <c r="E116" t="s">
        <v>1778</v>
      </c>
      <c r="F116" t="s">
        <v>2421</v>
      </c>
      <c r="G116" t="s">
        <v>74</v>
      </c>
      <c r="H116" t="s">
        <v>74</v>
      </c>
      <c r="I116" t="s">
        <v>2422</v>
      </c>
      <c r="J116" t="s">
        <v>2393</v>
      </c>
      <c r="K116" t="s">
        <v>74</v>
      </c>
      <c r="L116" t="s">
        <v>74</v>
      </c>
      <c r="M116" t="s">
        <v>78</v>
      </c>
      <c r="N116" t="s">
        <v>1782</v>
      </c>
      <c r="O116" t="s">
        <v>2394</v>
      </c>
      <c r="P116" t="s">
        <v>2395</v>
      </c>
      <c r="Q116" t="s">
        <v>2396</v>
      </c>
      <c r="R116" t="s">
        <v>74</v>
      </c>
      <c r="S116" t="s">
        <v>74</v>
      </c>
      <c r="T116" t="s">
        <v>2423</v>
      </c>
      <c r="U116" t="s">
        <v>74</v>
      </c>
      <c r="V116" t="s">
        <v>2424</v>
      </c>
      <c r="W116" t="s">
        <v>2425</v>
      </c>
      <c r="X116" t="s">
        <v>2426</v>
      </c>
      <c r="Y116" t="s">
        <v>2427</v>
      </c>
      <c r="Z116" t="s">
        <v>2428</v>
      </c>
      <c r="AA116" t="s">
        <v>2429</v>
      </c>
      <c r="AB116" t="s">
        <v>74</v>
      </c>
      <c r="AC116" t="s">
        <v>2430</v>
      </c>
      <c r="AD116" t="s">
        <v>2430</v>
      </c>
      <c r="AE116" t="s">
        <v>2431</v>
      </c>
      <c r="AF116" t="s">
        <v>74</v>
      </c>
      <c r="AG116">
        <v>4</v>
      </c>
      <c r="AH116">
        <v>1</v>
      </c>
      <c r="AI116">
        <v>1</v>
      </c>
      <c r="AJ116">
        <v>1</v>
      </c>
      <c r="AK116">
        <v>3</v>
      </c>
      <c r="AL116" t="s">
        <v>1778</v>
      </c>
      <c r="AM116" t="s">
        <v>1797</v>
      </c>
      <c r="AN116" t="s">
        <v>1798</v>
      </c>
      <c r="AO116" t="s">
        <v>74</v>
      </c>
      <c r="AP116" t="s">
        <v>74</v>
      </c>
      <c r="AQ116" t="s">
        <v>2402</v>
      </c>
      <c r="AR116" t="s">
        <v>74</v>
      </c>
      <c r="AS116" t="s">
        <v>74</v>
      </c>
      <c r="AT116" t="s">
        <v>74</v>
      </c>
      <c r="AU116">
        <v>2018</v>
      </c>
      <c r="AV116" t="s">
        <v>74</v>
      </c>
      <c r="AW116" t="s">
        <v>74</v>
      </c>
      <c r="AX116" t="s">
        <v>74</v>
      </c>
      <c r="AY116" t="s">
        <v>74</v>
      </c>
      <c r="AZ116" t="s">
        <v>74</v>
      </c>
      <c r="BA116" t="s">
        <v>74</v>
      </c>
      <c r="BB116" t="s">
        <v>74</v>
      </c>
      <c r="BC116" t="s">
        <v>74</v>
      </c>
      <c r="BD116" t="s">
        <v>74</v>
      </c>
      <c r="BE116" t="s">
        <v>74</v>
      </c>
      <c r="BF116" t="s">
        <v>74</v>
      </c>
      <c r="BG116" t="s">
        <v>74</v>
      </c>
      <c r="BH116" t="s">
        <v>74</v>
      </c>
      <c r="BI116">
        <v>5</v>
      </c>
      <c r="BJ116" t="s">
        <v>2403</v>
      </c>
      <c r="BK116" t="s">
        <v>1801</v>
      </c>
      <c r="BL116" t="s">
        <v>2155</v>
      </c>
      <c r="BM116" t="s">
        <v>2404</v>
      </c>
      <c r="BN116" t="s">
        <v>74</v>
      </c>
      <c r="BO116" t="s">
        <v>74</v>
      </c>
      <c r="BP116" t="s">
        <v>74</v>
      </c>
      <c r="BQ116" t="s">
        <v>74</v>
      </c>
      <c r="BR116" t="s">
        <v>105</v>
      </c>
      <c r="BS116" t="s">
        <v>2432</v>
      </c>
      <c r="BT116" t="str">
        <f>HYPERLINK("https%3A%2F%2Fwww.webofscience.com%2Fwos%2Fwoscc%2Ffull-record%2FWOS:000461320202044","View Full Record in Web of Science")</f>
        <v>View Full Record in Web of Science</v>
      </c>
    </row>
    <row r="117" spans="1:72" x14ac:dyDescent="0.15">
      <c r="A117" t="s">
        <v>1776</v>
      </c>
      <c r="B117" t="s">
        <v>2433</v>
      </c>
      <c r="C117" t="s">
        <v>74</v>
      </c>
      <c r="D117" t="s">
        <v>74</v>
      </c>
      <c r="E117" t="s">
        <v>1778</v>
      </c>
      <c r="F117" t="s">
        <v>2434</v>
      </c>
      <c r="G117" t="s">
        <v>74</v>
      </c>
      <c r="H117" t="s">
        <v>74</v>
      </c>
      <c r="I117" t="s">
        <v>2435</v>
      </c>
      <c r="J117" t="s">
        <v>2393</v>
      </c>
      <c r="K117" t="s">
        <v>74</v>
      </c>
      <c r="L117" t="s">
        <v>74</v>
      </c>
      <c r="M117" t="s">
        <v>78</v>
      </c>
      <c r="N117" t="s">
        <v>1782</v>
      </c>
      <c r="O117" t="s">
        <v>2394</v>
      </c>
      <c r="P117" t="s">
        <v>2395</v>
      </c>
      <c r="Q117" t="s">
        <v>2396</v>
      </c>
      <c r="R117" t="s">
        <v>74</v>
      </c>
      <c r="S117" t="s">
        <v>74</v>
      </c>
      <c r="T117" t="s">
        <v>2436</v>
      </c>
      <c r="U117" t="s">
        <v>74</v>
      </c>
      <c r="V117" t="s">
        <v>2437</v>
      </c>
      <c r="W117" t="s">
        <v>2438</v>
      </c>
      <c r="X117" t="s">
        <v>2439</v>
      </c>
      <c r="Y117" t="s">
        <v>2440</v>
      </c>
      <c r="Z117" t="s">
        <v>2441</v>
      </c>
      <c r="AA117" t="s">
        <v>2414</v>
      </c>
      <c r="AB117" t="s">
        <v>2415</v>
      </c>
      <c r="AC117" t="s">
        <v>2442</v>
      </c>
      <c r="AD117" t="s">
        <v>2443</v>
      </c>
      <c r="AE117" t="s">
        <v>2444</v>
      </c>
      <c r="AF117" t="s">
        <v>74</v>
      </c>
      <c r="AG117">
        <v>5</v>
      </c>
      <c r="AH117">
        <v>1</v>
      </c>
      <c r="AI117">
        <v>1</v>
      </c>
      <c r="AJ117">
        <v>1</v>
      </c>
      <c r="AK117">
        <v>1</v>
      </c>
      <c r="AL117" t="s">
        <v>1778</v>
      </c>
      <c r="AM117" t="s">
        <v>1797</v>
      </c>
      <c r="AN117" t="s">
        <v>1798</v>
      </c>
      <c r="AO117" t="s">
        <v>74</v>
      </c>
      <c r="AP117" t="s">
        <v>74</v>
      </c>
      <c r="AQ117" t="s">
        <v>2402</v>
      </c>
      <c r="AR117" t="s">
        <v>74</v>
      </c>
      <c r="AS117" t="s">
        <v>74</v>
      </c>
      <c r="AT117" t="s">
        <v>74</v>
      </c>
      <c r="AU117">
        <v>2018</v>
      </c>
      <c r="AV117" t="s">
        <v>74</v>
      </c>
      <c r="AW117" t="s">
        <v>74</v>
      </c>
      <c r="AX117" t="s">
        <v>74</v>
      </c>
      <c r="AY117" t="s">
        <v>74</v>
      </c>
      <c r="AZ117" t="s">
        <v>74</v>
      </c>
      <c r="BA117" t="s">
        <v>74</v>
      </c>
      <c r="BB117" t="s">
        <v>74</v>
      </c>
      <c r="BC117" t="s">
        <v>74</v>
      </c>
      <c r="BD117" t="s">
        <v>74</v>
      </c>
      <c r="BE117" t="s">
        <v>74</v>
      </c>
      <c r="BF117" t="s">
        <v>74</v>
      </c>
      <c r="BG117" t="s">
        <v>74</v>
      </c>
      <c r="BH117" t="s">
        <v>74</v>
      </c>
      <c r="BI117">
        <v>4</v>
      </c>
      <c r="BJ117" t="s">
        <v>2403</v>
      </c>
      <c r="BK117" t="s">
        <v>1801</v>
      </c>
      <c r="BL117" t="s">
        <v>2155</v>
      </c>
      <c r="BM117" t="s">
        <v>2404</v>
      </c>
      <c r="BN117" t="s">
        <v>74</v>
      </c>
      <c r="BO117" t="s">
        <v>74</v>
      </c>
      <c r="BP117" t="s">
        <v>74</v>
      </c>
      <c r="BQ117" t="s">
        <v>74</v>
      </c>
      <c r="BR117" t="s">
        <v>105</v>
      </c>
      <c r="BS117" t="s">
        <v>2445</v>
      </c>
      <c r="BT117" t="str">
        <f>HYPERLINK("https%3A%2F%2Fwww.webofscience.com%2Fwos%2Fwoscc%2Ffull-record%2FWOS:000461320202024","View Full Record in Web of Science")</f>
        <v>View Full Record in Web of Science</v>
      </c>
    </row>
    <row r="118" spans="1:72" x14ac:dyDescent="0.15">
      <c r="A118" t="s">
        <v>72</v>
      </c>
      <c r="B118" t="s">
        <v>2446</v>
      </c>
      <c r="C118" t="s">
        <v>74</v>
      </c>
      <c r="D118" t="s">
        <v>74</v>
      </c>
      <c r="E118" t="s">
        <v>74</v>
      </c>
      <c r="F118" t="s">
        <v>2447</v>
      </c>
      <c r="G118" t="s">
        <v>74</v>
      </c>
      <c r="H118" t="s">
        <v>74</v>
      </c>
      <c r="I118" t="s">
        <v>2448</v>
      </c>
      <c r="J118" t="s">
        <v>2449</v>
      </c>
      <c r="K118" t="s">
        <v>74</v>
      </c>
      <c r="L118" t="s">
        <v>74</v>
      </c>
      <c r="M118" t="s">
        <v>78</v>
      </c>
      <c r="N118" t="s">
        <v>289</v>
      </c>
      <c r="O118" t="s">
        <v>74</v>
      </c>
      <c r="P118" t="s">
        <v>74</v>
      </c>
      <c r="Q118" t="s">
        <v>74</v>
      </c>
      <c r="R118" t="s">
        <v>74</v>
      </c>
      <c r="S118" t="s">
        <v>74</v>
      </c>
      <c r="T118" t="s">
        <v>2450</v>
      </c>
      <c r="U118" t="s">
        <v>2451</v>
      </c>
      <c r="V118" t="s">
        <v>2452</v>
      </c>
      <c r="W118" t="s">
        <v>2453</v>
      </c>
      <c r="X118" t="s">
        <v>2454</v>
      </c>
      <c r="Y118" t="s">
        <v>2455</v>
      </c>
      <c r="Z118" t="s">
        <v>2456</v>
      </c>
      <c r="AA118" t="s">
        <v>2457</v>
      </c>
      <c r="AB118" t="s">
        <v>2458</v>
      </c>
      <c r="AC118" t="s">
        <v>2459</v>
      </c>
      <c r="AD118" t="s">
        <v>2460</v>
      </c>
      <c r="AE118" t="s">
        <v>2461</v>
      </c>
      <c r="AF118" t="s">
        <v>74</v>
      </c>
      <c r="AG118">
        <v>110</v>
      </c>
      <c r="AH118">
        <v>16</v>
      </c>
      <c r="AI118">
        <v>17</v>
      </c>
      <c r="AJ118">
        <v>2</v>
      </c>
      <c r="AK118">
        <v>16</v>
      </c>
      <c r="AL118" t="s">
        <v>2462</v>
      </c>
      <c r="AM118" t="s">
        <v>2463</v>
      </c>
      <c r="AN118" t="s">
        <v>2464</v>
      </c>
      <c r="AO118" t="s">
        <v>74</v>
      </c>
      <c r="AP118" t="s">
        <v>2465</v>
      </c>
      <c r="AQ118" t="s">
        <v>74</v>
      </c>
      <c r="AR118" t="s">
        <v>2466</v>
      </c>
      <c r="AS118" t="s">
        <v>2467</v>
      </c>
      <c r="AT118" t="s">
        <v>2468</v>
      </c>
      <c r="AU118">
        <v>2018</v>
      </c>
      <c r="AV118">
        <v>10</v>
      </c>
      <c r="AW118">
        <v>1</v>
      </c>
      <c r="AX118" t="s">
        <v>74</v>
      </c>
      <c r="AY118" t="s">
        <v>74</v>
      </c>
      <c r="AZ118" t="s">
        <v>74</v>
      </c>
      <c r="BA118" t="s">
        <v>74</v>
      </c>
      <c r="BB118" t="s">
        <v>74</v>
      </c>
      <c r="BC118" t="s">
        <v>74</v>
      </c>
      <c r="BD118">
        <v>29</v>
      </c>
      <c r="BE118" t="s">
        <v>2469</v>
      </c>
      <c r="BF118" t="str">
        <f>HYPERLINK("http://dx.doi.org/10.3390/w10010029","http://dx.doi.org/10.3390/w10010029")</f>
        <v>http://dx.doi.org/10.3390/w10010029</v>
      </c>
      <c r="BG118" t="s">
        <v>74</v>
      </c>
      <c r="BH118" t="s">
        <v>74</v>
      </c>
      <c r="BI118">
        <v>16</v>
      </c>
      <c r="BJ118" t="s">
        <v>2470</v>
      </c>
      <c r="BK118" t="s">
        <v>2471</v>
      </c>
      <c r="BL118" t="s">
        <v>2472</v>
      </c>
      <c r="BM118" t="s">
        <v>2473</v>
      </c>
      <c r="BN118" t="s">
        <v>74</v>
      </c>
      <c r="BO118" t="s">
        <v>2474</v>
      </c>
      <c r="BP118" t="s">
        <v>74</v>
      </c>
      <c r="BQ118" t="s">
        <v>74</v>
      </c>
      <c r="BR118" t="s">
        <v>105</v>
      </c>
      <c r="BS118" t="s">
        <v>2475</v>
      </c>
      <c r="BT118" t="str">
        <f>HYPERLINK("https%3A%2F%2Fwww.webofscience.com%2Fwos%2Fwoscc%2Ffull-record%2FWOS:000424397400028","View Full Record in Web of Science")</f>
        <v>View Full Record in Web of Science</v>
      </c>
    </row>
    <row r="119" spans="1:72" x14ac:dyDescent="0.15">
      <c r="A119" t="s">
        <v>72</v>
      </c>
      <c r="B119" t="s">
        <v>2476</v>
      </c>
      <c r="C119" t="s">
        <v>74</v>
      </c>
      <c r="D119" t="s">
        <v>74</v>
      </c>
      <c r="E119" t="s">
        <v>74</v>
      </c>
      <c r="F119" t="s">
        <v>2477</v>
      </c>
      <c r="G119" t="s">
        <v>74</v>
      </c>
      <c r="H119" t="s">
        <v>74</v>
      </c>
      <c r="I119" t="s">
        <v>2478</v>
      </c>
      <c r="J119" t="s">
        <v>2479</v>
      </c>
      <c r="K119" t="s">
        <v>74</v>
      </c>
      <c r="L119" t="s">
        <v>74</v>
      </c>
      <c r="M119" t="s">
        <v>78</v>
      </c>
      <c r="N119" t="s">
        <v>79</v>
      </c>
      <c r="O119" t="s">
        <v>74</v>
      </c>
      <c r="P119" t="s">
        <v>74</v>
      </c>
      <c r="Q119" t="s">
        <v>74</v>
      </c>
      <c r="R119" t="s">
        <v>74</v>
      </c>
      <c r="S119" t="s">
        <v>74</v>
      </c>
      <c r="T119" t="s">
        <v>2480</v>
      </c>
      <c r="U119" t="s">
        <v>2481</v>
      </c>
      <c r="V119" t="s">
        <v>2482</v>
      </c>
      <c r="W119" t="s">
        <v>2483</v>
      </c>
      <c r="X119" t="s">
        <v>2484</v>
      </c>
      <c r="Y119" t="s">
        <v>2485</v>
      </c>
      <c r="Z119" t="s">
        <v>2486</v>
      </c>
      <c r="AA119" t="s">
        <v>2487</v>
      </c>
      <c r="AB119" t="s">
        <v>2488</v>
      </c>
      <c r="AC119" t="s">
        <v>74</v>
      </c>
      <c r="AD119" t="s">
        <v>74</v>
      </c>
      <c r="AE119" t="s">
        <v>74</v>
      </c>
      <c r="AF119" t="s">
        <v>74</v>
      </c>
      <c r="AG119">
        <v>34</v>
      </c>
      <c r="AH119">
        <v>21</v>
      </c>
      <c r="AI119">
        <v>21</v>
      </c>
      <c r="AJ119">
        <v>2</v>
      </c>
      <c r="AK119">
        <v>7</v>
      </c>
      <c r="AL119" t="s">
        <v>1700</v>
      </c>
      <c r="AM119" t="s">
        <v>1701</v>
      </c>
      <c r="AN119" t="s">
        <v>1702</v>
      </c>
      <c r="AO119" t="s">
        <v>2489</v>
      </c>
      <c r="AP119" t="s">
        <v>2490</v>
      </c>
      <c r="AQ119" t="s">
        <v>74</v>
      </c>
      <c r="AR119" t="s">
        <v>2479</v>
      </c>
      <c r="AS119" t="s">
        <v>2491</v>
      </c>
      <c r="AT119" t="s">
        <v>74</v>
      </c>
      <c r="AU119">
        <v>2018</v>
      </c>
      <c r="AV119">
        <v>34</v>
      </c>
      <c r="AW119">
        <v>10</v>
      </c>
      <c r="AX119" t="s">
        <v>74</v>
      </c>
      <c r="AY119" t="s">
        <v>74</v>
      </c>
      <c r="AZ119" t="s">
        <v>74</v>
      </c>
      <c r="BA119" t="s">
        <v>74</v>
      </c>
      <c r="BB119">
        <v>1110</v>
      </c>
      <c r="BC119">
        <v>1120</v>
      </c>
      <c r="BD119" t="s">
        <v>74</v>
      </c>
      <c r="BE119" t="s">
        <v>2492</v>
      </c>
      <c r="BF119" t="str">
        <f>HYPERLINK("http://dx.doi.org/10.1080/08927014.2018.1544246","http://dx.doi.org/10.1080/08927014.2018.1544246")</f>
        <v>http://dx.doi.org/10.1080/08927014.2018.1544246</v>
      </c>
      <c r="BG119" t="s">
        <v>74</v>
      </c>
      <c r="BH119" t="s">
        <v>74</v>
      </c>
      <c r="BI119">
        <v>11</v>
      </c>
      <c r="BJ119" t="s">
        <v>2493</v>
      </c>
      <c r="BK119" t="s">
        <v>101</v>
      </c>
      <c r="BL119" t="s">
        <v>2493</v>
      </c>
      <c r="BM119" t="s">
        <v>2494</v>
      </c>
      <c r="BN119">
        <v>30698031</v>
      </c>
      <c r="BO119" t="s">
        <v>74</v>
      </c>
      <c r="BP119" t="s">
        <v>74</v>
      </c>
      <c r="BQ119" t="s">
        <v>74</v>
      </c>
      <c r="BR119" t="s">
        <v>105</v>
      </c>
      <c r="BS119" t="s">
        <v>2495</v>
      </c>
      <c r="BT119" t="str">
        <f>HYPERLINK("https%3A%2F%2Fwww.webofscience.com%2Fwos%2Fwoscc%2Ffull-record%2FWOS:000461979400003","View Full Record in Web of Science")</f>
        <v>View Full Record in Web of Science</v>
      </c>
    </row>
    <row r="120" spans="1:72" x14ac:dyDescent="0.15">
      <c r="A120" t="s">
        <v>72</v>
      </c>
      <c r="B120" t="s">
        <v>2496</v>
      </c>
      <c r="C120" t="s">
        <v>74</v>
      </c>
      <c r="D120" t="s">
        <v>74</v>
      </c>
      <c r="E120" t="s">
        <v>74</v>
      </c>
      <c r="F120" t="s">
        <v>2497</v>
      </c>
      <c r="G120" t="s">
        <v>74</v>
      </c>
      <c r="H120" t="s">
        <v>74</v>
      </c>
      <c r="I120" t="s">
        <v>2498</v>
      </c>
      <c r="J120" t="s">
        <v>2499</v>
      </c>
      <c r="K120" t="s">
        <v>74</v>
      </c>
      <c r="L120" t="s">
        <v>74</v>
      </c>
      <c r="M120" t="s">
        <v>78</v>
      </c>
      <c r="N120" t="s">
        <v>79</v>
      </c>
      <c r="O120" t="s">
        <v>74</v>
      </c>
      <c r="P120" t="s">
        <v>74</v>
      </c>
      <c r="Q120" t="s">
        <v>74</v>
      </c>
      <c r="R120" t="s">
        <v>74</v>
      </c>
      <c r="S120" t="s">
        <v>74</v>
      </c>
      <c r="T120" t="s">
        <v>74</v>
      </c>
      <c r="U120" t="s">
        <v>2500</v>
      </c>
      <c r="V120" t="s">
        <v>2501</v>
      </c>
      <c r="W120" t="s">
        <v>2502</v>
      </c>
      <c r="X120" t="s">
        <v>2503</v>
      </c>
      <c r="Y120" t="s">
        <v>2504</v>
      </c>
      <c r="Z120" t="s">
        <v>2505</v>
      </c>
      <c r="AA120" t="s">
        <v>2506</v>
      </c>
      <c r="AB120" t="s">
        <v>2507</v>
      </c>
      <c r="AC120" t="s">
        <v>2508</v>
      </c>
      <c r="AD120" t="s">
        <v>2509</v>
      </c>
      <c r="AE120" t="s">
        <v>2510</v>
      </c>
      <c r="AF120" t="s">
        <v>74</v>
      </c>
      <c r="AG120">
        <v>60</v>
      </c>
      <c r="AH120">
        <v>11</v>
      </c>
      <c r="AI120">
        <v>13</v>
      </c>
      <c r="AJ120">
        <v>1</v>
      </c>
      <c r="AK120">
        <v>10</v>
      </c>
      <c r="AL120" t="s">
        <v>673</v>
      </c>
      <c r="AM120" t="s">
        <v>1797</v>
      </c>
      <c r="AN120" t="s">
        <v>2511</v>
      </c>
      <c r="AO120" t="s">
        <v>74</v>
      </c>
      <c r="AP120" t="s">
        <v>2512</v>
      </c>
      <c r="AQ120" t="s">
        <v>74</v>
      </c>
      <c r="AR120" t="s">
        <v>2513</v>
      </c>
      <c r="AS120" t="s">
        <v>2514</v>
      </c>
      <c r="AT120" t="s">
        <v>74</v>
      </c>
      <c r="AU120">
        <v>2018</v>
      </c>
      <c r="AV120">
        <v>1</v>
      </c>
      <c r="AW120" t="s">
        <v>74</v>
      </c>
      <c r="AX120" t="s">
        <v>74</v>
      </c>
      <c r="AY120" t="s">
        <v>74</v>
      </c>
      <c r="AZ120" t="s">
        <v>74</v>
      </c>
      <c r="BA120" t="s">
        <v>74</v>
      </c>
      <c r="BB120" t="s">
        <v>74</v>
      </c>
      <c r="BC120" t="s">
        <v>74</v>
      </c>
      <c r="BD120">
        <v>212</v>
      </c>
      <c r="BE120" t="s">
        <v>2515</v>
      </c>
      <c r="BF120" t="str">
        <f>HYPERLINK("http://dx.doi.org/10.1038/s42003-018-0228-y","http://dx.doi.org/10.1038/s42003-018-0228-y")</f>
        <v>http://dx.doi.org/10.1038/s42003-018-0228-y</v>
      </c>
      <c r="BG120" t="s">
        <v>74</v>
      </c>
      <c r="BH120" t="s">
        <v>74</v>
      </c>
      <c r="BI120">
        <v>9</v>
      </c>
      <c r="BJ120" t="s">
        <v>2516</v>
      </c>
      <c r="BK120" t="s">
        <v>101</v>
      </c>
      <c r="BL120" t="s">
        <v>2517</v>
      </c>
      <c r="BM120" t="s">
        <v>2518</v>
      </c>
      <c r="BN120" t="s">
        <v>74</v>
      </c>
      <c r="BO120" t="s">
        <v>494</v>
      </c>
      <c r="BP120" t="s">
        <v>74</v>
      </c>
      <c r="BQ120" t="s">
        <v>74</v>
      </c>
      <c r="BR120" t="s">
        <v>105</v>
      </c>
      <c r="BS120" t="s">
        <v>2519</v>
      </c>
      <c r="BT120" t="str">
        <f>HYPERLINK("https%3A%2F%2Fwww.webofscience.com%2Fwos%2Fwoscc%2Ffull-record%2FWOS:000461126500211","View Full Record in Web of Science")</f>
        <v>View Full Record in Web of Science</v>
      </c>
    </row>
    <row r="121" spans="1:72" x14ac:dyDescent="0.15">
      <c r="A121" t="s">
        <v>72</v>
      </c>
      <c r="B121" t="s">
        <v>2520</v>
      </c>
      <c r="C121" t="s">
        <v>74</v>
      </c>
      <c r="D121" t="s">
        <v>74</v>
      </c>
      <c r="E121" t="s">
        <v>74</v>
      </c>
      <c r="F121" t="s">
        <v>2521</v>
      </c>
      <c r="G121" t="s">
        <v>74</v>
      </c>
      <c r="H121" t="s">
        <v>74</v>
      </c>
      <c r="I121" t="s">
        <v>2522</v>
      </c>
      <c r="J121" t="s">
        <v>2499</v>
      </c>
      <c r="K121" t="s">
        <v>74</v>
      </c>
      <c r="L121" t="s">
        <v>74</v>
      </c>
      <c r="M121" t="s">
        <v>78</v>
      </c>
      <c r="N121" t="s">
        <v>79</v>
      </c>
      <c r="O121" t="s">
        <v>74</v>
      </c>
      <c r="P121" t="s">
        <v>74</v>
      </c>
      <c r="Q121" t="s">
        <v>74</v>
      </c>
      <c r="R121" t="s">
        <v>74</v>
      </c>
      <c r="S121" t="s">
        <v>74</v>
      </c>
      <c r="T121" t="s">
        <v>74</v>
      </c>
      <c r="U121" t="s">
        <v>2523</v>
      </c>
      <c r="V121" t="s">
        <v>2524</v>
      </c>
      <c r="W121" t="s">
        <v>2525</v>
      </c>
      <c r="X121" t="s">
        <v>2526</v>
      </c>
      <c r="Y121" t="s">
        <v>2527</v>
      </c>
      <c r="Z121" t="s">
        <v>2528</v>
      </c>
      <c r="AA121" t="s">
        <v>2529</v>
      </c>
      <c r="AB121" t="s">
        <v>2530</v>
      </c>
      <c r="AC121" t="s">
        <v>2531</v>
      </c>
      <c r="AD121" t="s">
        <v>2532</v>
      </c>
      <c r="AE121" t="s">
        <v>2533</v>
      </c>
      <c r="AF121" t="s">
        <v>74</v>
      </c>
      <c r="AG121">
        <v>63</v>
      </c>
      <c r="AH121">
        <v>22</v>
      </c>
      <c r="AI121">
        <v>24</v>
      </c>
      <c r="AJ121">
        <v>1</v>
      </c>
      <c r="AK121">
        <v>17</v>
      </c>
      <c r="AL121" t="s">
        <v>673</v>
      </c>
      <c r="AM121" t="s">
        <v>1797</v>
      </c>
      <c r="AN121" t="s">
        <v>2511</v>
      </c>
      <c r="AO121" t="s">
        <v>74</v>
      </c>
      <c r="AP121" t="s">
        <v>2512</v>
      </c>
      <c r="AQ121" t="s">
        <v>74</v>
      </c>
      <c r="AR121" t="s">
        <v>2513</v>
      </c>
      <c r="AS121" t="s">
        <v>2514</v>
      </c>
      <c r="AT121" t="s">
        <v>74</v>
      </c>
      <c r="AU121">
        <v>2018</v>
      </c>
      <c r="AV121">
        <v>1</v>
      </c>
      <c r="AW121" t="s">
        <v>74</v>
      </c>
      <c r="AX121" t="s">
        <v>74</v>
      </c>
      <c r="AY121" t="s">
        <v>74</v>
      </c>
      <c r="AZ121" t="s">
        <v>74</v>
      </c>
      <c r="BA121" t="s">
        <v>74</v>
      </c>
      <c r="BB121" t="s">
        <v>74</v>
      </c>
      <c r="BC121" t="s">
        <v>74</v>
      </c>
      <c r="BD121">
        <v>190</v>
      </c>
      <c r="BE121" t="s">
        <v>2534</v>
      </c>
      <c r="BF121" t="str">
        <f>HYPERLINK("http://dx.doi.org/10.1038/s42003-018-0195-3","http://dx.doi.org/10.1038/s42003-018-0195-3")</f>
        <v>http://dx.doi.org/10.1038/s42003-018-0195-3</v>
      </c>
      <c r="BG121" t="s">
        <v>74</v>
      </c>
      <c r="BH121" t="s">
        <v>74</v>
      </c>
      <c r="BI121">
        <v>9</v>
      </c>
      <c r="BJ121" t="s">
        <v>2516</v>
      </c>
      <c r="BK121" t="s">
        <v>101</v>
      </c>
      <c r="BL121" t="s">
        <v>2517</v>
      </c>
      <c r="BM121" t="s">
        <v>2518</v>
      </c>
      <c r="BN121">
        <v>30456311</v>
      </c>
      <c r="BO121" t="s">
        <v>703</v>
      </c>
      <c r="BP121" t="s">
        <v>74</v>
      </c>
      <c r="BQ121" t="s">
        <v>74</v>
      </c>
      <c r="BR121" t="s">
        <v>105</v>
      </c>
      <c r="BS121" t="s">
        <v>2535</v>
      </c>
      <c r="BT121" t="str">
        <f>HYPERLINK("https%3A%2F%2Fwww.webofscience.com%2Fwos%2Fwoscc%2Ffull-record%2FWOS:000461126500190","View Full Record in Web of Science")</f>
        <v>View Full Record in Web of Science</v>
      </c>
    </row>
    <row r="122" spans="1:72" x14ac:dyDescent="0.15">
      <c r="A122" t="s">
        <v>72</v>
      </c>
      <c r="B122" t="s">
        <v>2536</v>
      </c>
      <c r="C122" t="s">
        <v>74</v>
      </c>
      <c r="D122" t="s">
        <v>74</v>
      </c>
      <c r="E122" t="s">
        <v>74</v>
      </c>
      <c r="F122" t="s">
        <v>2537</v>
      </c>
      <c r="G122" t="s">
        <v>74</v>
      </c>
      <c r="H122" t="s">
        <v>74</v>
      </c>
      <c r="I122" t="s">
        <v>2538</v>
      </c>
      <c r="J122" t="s">
        <v>2499</v>
      </c>
      <c r="K122" t="s">
        <v>74</v>
      </c>
      <c r="L122" t="s">
        <v>74</v>
      </c>
      <c r="M122" t="s">
        <v>78</v>
      </c>
      <c r="N122" t="s">
        <v>79</v>
      </c>
      <c r="O122" t="s">
        <v>74</v>
      </c>
      <c r="P122" t="s">
        <v>74</v>
      </c>
      <c r="Q122" t="s">
        <v>74</v>
      </c>
      <c r="R122" t="s">
        <v>74</v>
      </c>
      <c r="S122" t="s">
        <v>74</v>
      </c>
      <c r="T122" t="s">
        <v>74</v>
      </c>
      <c r="U122" t="s">
        <v>2539</v>
      </c>
      <c r="V122" t="s">
        <v>2540</v>
      </c>
      <c r="W122" t="s">
        <v>2541</v>
      </c>
      <c r="X122" t="s">
        <v>2542</v>
      </c>
      <c r="Y122" t="s">
        <v>2543</v>
      </c>
      <c r="Z122" t="s">
        <v>2544</v>
      </c>
      <c r="AA122" t="s">
        <v>2545</v>
      </c>
      <c r="AB122" t="s">
        <v>2546</v>
      </c>
      <c r="AC122" t="s">
        <v>2547</v>
      </c>
      <c r="AD122" t="s">
        <v>2548</v>
      </c>
      <c r="AE122" t="s">
        <v>2549</v>
      </c>
      <c r="AF122" t="s">
        <v>74</v>
      </c>
      <c r="AG122">
        <v>88</v>
      </c>
      <c r="AH122">
        <v>13</v>
      </c>
      <c r="AI122">
        <v>15</v>
      </c>
      <c r="AJ122">
        <v>1</v>
      </c>
      <c r="AK122">
        <v>6</v>
      </c>
      <c r="AL122" t="s">
        <v>673</v>
      </c>
      <c r="AM122" t="s">
        <v>1797</v>
      </c>
      <c r="AN122" t="s">
        <v>2511</v>
      </c>
      <c r="AO122" t="s">
        <v>74</v>
      </c>
      <c r="AP122" t="s">
        <v>2512</v>
      </c>
      <c r="AQ122" t="s">
        <v>74</v>
      </c>
      <c r="AR122" t="s">
        <v>2513</v>
      </c>
      <c r="AS122" t="s">
        <v>2514</v>
      </c>
      <c r="AT122" t="s">
        <v>74</v>
      </c>
      <c r="AU122">
        <v>2018</v>
      </c>
      <c r="AV122">
        <v>1</v>
      </c>
      <c r="AW122" t="s">
        <v>74</v>
      </c>
      <c r="AX122" t="s">
        <v>74</v>
      </c>
      <c r="AY122" t="s">
        <v>74</v>
      </c>
      <c r="AZ122" t="s">
        <v>74</v>
      </c>
      <c r="BA122" t="s">
        <v>74</v>
      </c>
      <c r="BB122" t="s">
        <v>74</v>
      </c>
      <c r="BC122" t="s">
        <v>74</v>
      </c>
      <c r="BD122">
        <v>46</v>
      </c>
      <c r="BE122" t="s">
        <v>2550</v>
      </c>
      <c r="BF122" t="str">
        <f>HYPERLINK("http://dx.doi.org/10.1038/s42003-018-0048-0","http://dx.doi.org/10.1038/s42003-018-0048-0")</f>
        <v>http://dx.doi.org/10.1038/s42003-018-0048-0</v>
      </c>
      <c r="BG122" t="s">
        <v>74</v>
      </c>
      <c r="BH122" t="s">
        <v>74</v>
      </c>
      <c r="BI122">
        <v>11</v>
      </c>
      <c r="BJ122" t="s">
        <v>2516</v>
      </c>
      <c r="BK122" t="s">
        <v>101</v>
      </c>
      <c r="BL122" t="s">
        <v>2517</v>
      </c>
      <c r="BM122" t="s">
        <v>2518</v>
      </c>
      <c r="BN122">
        <v>30271929</v>
      </c>
      <c r="BO122" t="s">
        <v>2474</v>
      </c>
      <c r="BP122" t="s">
        <v>74</v>
      </c>
      <c r="BQ122" t="s">
        <v>74</v>
      </c>
      <c r="BR122" t="s">
        <v>105</v>
      </c>
      <c r="BS122" t="s">
        <v>2551</v>
      </c>
      <c r="BT122" t="str">
        <f>HYPERLINK("https%3A%2F%2Fwww.webofscience.com%2Fwos%2Fwoscc%2Ffull-record%2FWOS:000461126500046","View Full Record in Web of Science")</f>
        <v>View Full Record in Web of Science</v>
      </c>
    </row>
    <row r="123" spans="1:72" x14ac:dyDescent="0.15">
      <c r="A123" t="s">
        <v>72</v>
      </c>
      <c r="B123" t="s">
        <v>2552</v>
      </c>
      <c r="C123" t="s">
        <v>74</v>
      </c>
      <c r="D123" t="s">
        <v>74</v>
      </c>
      <c r="E123" t="s">
        <v>74</v>
      </c>
      <c r="F123" t="s">
        <v>2553</v>
      </c>
      <c r="G123" t="s">
        <v>74</v>
      </c>
      <c r="H123" t="s">
        <v>74</v>
      </c>
      <c r="I123" t="s">
        <v>2554</v>
      </c>
      <c r="J123" t="s">
        <v>2109</v>
      </c>
      <c r="K123" t="s">
        <v>74</v>
      </c>
      <c r="L123" t="s">
        <v>74</v>
      </c>
      <c r="M123" t="s">
        <v>78</v>
      </c>
      <c r="N123" t="s">
        <v>79</v>
      </c>
      <c r="O123" t="s">
        <v>74</v>
      </c>
      <c r="P123" t="s">
        <v>74</v>
      </c>
      <c r="Q123" t="s">
        <v>74</v>
      </c>
      <c r="R123" t="s">
        <v>74</v>
      </c>
      <c r="S123" t="s">
        <v>74</v>
      </c>
      <c r="T123" t="s">
        <v>2555</v>
      </c>
      <c r="U123" t="s">
        <v>2556</v>
      </c>
      <c r="V123" t="s">
        <v>2557</v>
      </c>
      <c r="W123" t="s">
        <v>2558</v>
      </c>
      <c r="X123" t="s">
        <v>2559</v>
      </c>
      <c r="Y123" t="s">
        <v>2560</v>
      </c>
      <c r="Z123" t="s">
        <v>2116</v>
      </c>
      <c r="AA123" t="s">
        <v>2561</v>
      </c>
      <c r="AB123" t="s">
        <v>2562</v>
      </c>
      <c r="AC123" t="s">
        <v>2563</v>
      </c>
      <c r="AD123" t="s">
        <v>2564</v>
      </c>
      <c r="AE123" t="s">
        <v>2565</v>
      </c>
      <c r="AF123" t="s">
        <v>74</v>
      </c>
      <c r="AG123">
        <v>39</v>
      </c>
      <c r="AH123">
        <v>3</v>
      </c>
      <c r="AI123">
        <v>3</v>
      </c>
      <c r="AJ123">
        <v>1</v>
      </c>
      <c r="AK123">
        <v>6</v>
      </c>
      <c r="AL123" t="s">
        <v>1700</v>
      </c>
      <c r="AM123" t="s">
        <v>1701</v>
      </c>
      <c r="AN123" t="s">
        <v>1702</v>
      </c>
      <c r="AO123" t="s">
        <v>2122</v>
      </c>
      <c r="AP123" t="s">
        <v>2123</v>
      </c>
      <c r="AQ123" t="s">
        <v>74</v>
      </c>
      <c r="AR123" t="s">
        <v>2124</v>
      </c>
      <c r="AS123" t="s">
        <v>2125</v>
      </c>
      <c r="AT123" t="s">
        <v>74</v>
      </c>
      <c r="AU123">
        <v>2018</v>
      </c>
      <c r="AV123">
        <v>100</v>
      </c>
      <c r="AW123" t="s">
        <v>2566</v>
      </c>
      <c r="AX123" t="s">
        <v>74</v>
      </c>
      <c r="AY123" t="s">
        <v>74</v>
      </c>
      <c r="AZ123" t="s">
        <v>74</v>
      </c>
      <c r="BA123" t="s">
        <v>74</v>
      </c>
      <c r="BB123">
        <v>607</v>
      </c>
      <c r="BC123">
        <v>628</v>
      </c>
      <c r="BD123" t="s">
        <v>74</v>
      </c>
      <c r="BE123" t="s">
        <v>2567</v>
      </c>
      <c r="BF123" t="str">
        <f>HYPERLINK("http://dx.doi.org/10.1080/02772248.2019.1572162","http://dx.doi.org/10.1080/02772248.2019.1572162")</f>
        <v>http://dx.doi.org/10.1080/02772248.2019.1572162</v>
      </c>
      <c r="BG123" t="s">
        <v>74</v>
      </c>
      <c r="BH123" t="s">
        <v>74</v>
      </c>
      <c r="BI123">
        <v>22</v>
      </c>
      <c r="BJ123" t="s">
        <v>2128</v>
      </c>
      <c r="BK123" t="s">
        <v>101</v>
      </c>
      <c r="BL123" t="s">
        <v>2129</v>
      </c>
      <c r="BM123" t="s">
        <v>2568</v>
      </c>
      <c r="BN123" t="s">
        <v>74</v>
      </c>
      <c r="BO123" t="s">
        <v>74</v>
      </c>
      <c r="BP123" t="s">
        <v>74</v>
      </c>
      <c r="BQ123" t="s">
        <v>74</v>
      </c>
      <c r="BR123" t="s">
        <v>105</v>
      </c>
      <c r="BS123" t="s">
        <v>2569</v>
      </c>
      <c r="BT123" t="str">
        <f>HYPERLINK("https%3A%2F%2Fwww.webofscience.com%2Fwos%2Fwoscc%2Ffull-record%2FWOS:000461449200009","View Full Record in Web of Science")</f>
        <v>View Full Record in Web of Science</v>
      </c>
    </row>
    <row r="124" spans="1:72" x14ac:dyDescent="0.15">
      <c r="A124" t="s">
        <v>1776</v>
      </c>
      <c r="B124" t="s">
        <v>2570</v>
      </c>
      <c r="C124" t="s">
        <v>74</v>
      </c>
      <c r="D124" t="s">
        <v>2571</v>
      </c>
      <c r="E124" t="s">
        <v>74</v>
      </c>
      <c r="F124" t="s">
        <v>2572</v>
      </c>
      <c r="G124" t="s">
        <v>74</v>
      </c>
      <c r="H124" t="s">
        <v>74</v>
      </c>
      <c r="I124" t="s">
        <v>2573</v>
      </c>
      <c r="J124" t="s">
        <v>2574</v>
      </c>
      <c r="K124" t="s">
        <v>2575</v>
      </c>
      <c r="L124" t="s">
        <v>74</v>
      </c>
      <c r="M124" t="s">
        <v>78</v>
      </c>
      <c r="N124" t="s">
        <v>1782</v>
      </c>
      <c r="O124" t="s">
        <v>2576</v>
      </c>
      <c r="P124" t="s">
        <v>2577</v>
      </c>
      <c r="Q124" t="s">
        <v>2578</v>
      </c>
      <c r="R124" t="s">
        <v>74</v>
      </c>
      <c r="S124" t="s">
        <v>74</v>
      </c>
      <c r="T124" t="s">
        <v>74</v>
      </c>
      <c r="U124" t="s">
        <v>2579</v>
      </c>
      <c r="V124" t="s">
        <v>74</v>
      </c>
      <c r="W124" t="s">
        <v>2580</v>
      </c>
      <c r="X124" t="s">
        <v>2581</v>
      </c>
      <c r="Y124" t="s">
        <v>2582</v>
      </c>
      <c r="Z124" t="s">
        <v>2583</v>
      </c>
      <c r="AA124" t="s">
        <v>74</v>
      </c>
      <c r="AB124" t="s">
        <v>74</v>
      </c>
      <c r="AC124" t="s">
        <v>74</v>
      </c>
      <c r="AD124" t="s">
        <v>74</v>
      </c>
      <c r="AE124" t="s">
        <v>74</v>
      </c>
      <c r="AF124" t="s">
        <v>74</v>
      </c>
      <c r="AG124">
        <v>48</v>
      </c>
      <c r="AH124">
        <v>9</v>
      </c>
      <c r="AI124">
        <v>10</v>
      </c>
      <c r="AJ124">
        <v>0</v>
      </c>
      <c r="AK124">
        <v>3</v>
      </c>
      <c r="AL124" t="s">
        <v>2584</v>
      </c>
      <c r="AM124" t="s">
        <v>2585</v>
      </c>
      <c r="AN124" t="s">
        <v>2586</v>
      </c>
      <c r="AO124" t="s">
        <v>2587</v>
      </c>
      <c r="AP124" t="s">
        <v>74</v>
      </c>
      <c r="AQ124" t="s">
        <v>2588</v>
      </c>
      <c r="AR124" t="s">
        <v>2589</v>
      </c>
      <c r="AS124" t="s">
        <v>2590</v>
      </c>
      <c r="AT124" t="s">
        <v>74</v>
      </c>
      <c r="AU124">
        <v>2018</v>
      </c>
      <c r="AV124">
        <v>462</v>
      </c>
      <c r="AW124" t="s">
        <v>74</v>
      </c>
      <c r="AX124" t="s">
        <v>74</v>
      </c>
      <c r="AY124" t="s">
        <v>74</v>
      </c>
      <c r="AZ124" t="s">
        <v>74</v>
      </c>
      <c r="BA124" t="s">
        <v>74</v>
      </c>
      <c r="BB124">
        <v>1</v>
      </c>
      <c r="BC124">
        <v>6</v>
      </c>
      <c r="BD124" t="s">
        <v>74</v>
      </c>
      <c r="BE124" t="s">
        <v>2591</v>
      </c>
      <c r="BF124" t="str">
        <f>HYPERLINK("http://dx.doi.org/10.1144/SP462.13","http://dx.doi.org/10.1144/SP462.13")</f>
        <v>http://dx.doi.org/10.1144/SP462.13</v>
      </c>
      <c r="BG124" t="s">
        <v>74</v>
      </c>
      <c r="BH124" t="s">
        <v>74</v>
      </c>
      <c r="BI124">
        <v>6</v>
      </c>
      <c r="BJ124" t="s">
        <v>2592</v>
      </c>
      <c r="BK124" t="s">
        <v>1801</v>
      </c>
      <c r="BL124" t="s">
        <v>281</v>
      </c>
      <c r="BM124" t="s">
        <v>2593</v>
      </c>
      <c r="BN124" t="s">
        <v>74</v>
      </c>
      <c r="BO124" t="s">
        <v>1150</v>
      </c>
      <c r="BP124" t="s">
        <v>74</v>
      </c>
      <c r="BQ124" t="s">
        <v>74</v>
      </c>
      <c r="BR124" t="s">
        <v>105</v>
      </c>
      <c r="BS124" t="s">
        <v>2594</v>
      </c>
      <c r="BT124" t="str">
        <f>HYPERLINK("https%3A%2F%2Fwww.webofscience.com%2Fwos%2Fwoscc%2Ffull-record%2FWOS:000460278200001","View Full Record in Web of Science")</f>
        <v>View Full Record in Web of Science</v>
      </c>
    </row>
    <row r="125" spans="1:72" x14ac:dyDescent="0.15">
      <c r="A125" t="s">
        <v>1776</v>
      </c>
      <c r="B125" t="s">
        <v>2595</v>
      </c>
      <c r="C125" t="s">
        <v>74</v>
      </c>
      <c r="D125" t="s">
        <v>2571</v>
      </c>
      <c r="E125" t="s">
        <v>74</v>
      </c>
      <c r="F125" t="s">
        <v>2596</v>
      </c>
      <c r="G125" t="s">
        <v>74</v>
      </c>
      <c r="H125" t="s">
        <v>74</v>
      </c>
      <c r="I125" t="s">
        <v>2597</v>
      </c>
      <c r="J125" t="s">
        <v>2574</v>
      </c>
      <c r="K125" t="s">
        <v>2575</v>
      </c>
      <c r="L125" t="s">
        <v>74</v>
      </c>
      <c r="M125" t="s">
        <v>78</v>
      </c>
      <c r="N125" t="s">
        <v>1782</v>
      </c>
      <c r="O125" t="s">
        <v>2576</v>
      </c>
      <c r="P125" t="s">
        <v>2577</v>
      </c>
      <c r="Q125" t="s">
        <v>2578</v>
      </c>
      <c r="R125" t="s">
        <v>74</v>
      </c>
      <c r="S125" t="s">
        <v>74</v>
      </c>
      <c r="T125" t="s">
        <v>74</v>
      </c>
      <c r="U125" t="s">
        <v>2598</v>
      </c>
      <c r="V125" t="s">
        <v>2599</v>
      </c>
      <c r="W125" t="s">
        <v>2600</v>
      </c>
      <c r="X125" t="s">
        <v>2601</v>
      </c>
      <c r="Y125" t="s">
        <v>2602</v>
      </c>
      <c r="Z125" t="s">
        <v>2603</v>
      </c>
      <c r="AA125" t="s">
        <v>2604</v>
      </c>
      <c r="AB125" t="s">
        <v>2605</v>
      </c>
      <c r="AC125" t="s">
        <v>2606</v>
      </c>
      <c r="AD125" t="s">
        <v>2607</v>
      </c>
      <c r="AE125" t="s">
        <v>2608</v>
      </c>
      <c r="AF125" t="s">
        <v>74</v>
      </c>
      <c r="AG125">
        <v>64</v>
      </c>
      <c r="AH125">
        <v>4</v>
      </c>
      <c r="AI125">
        <v>4</v>
      </c>
      <c r="AJ125">
        <v>0</v>
      </c>
      <c r="AK125">
        <v>6</v>
      </c>
      <c r="AL125" t="s">
        <v>2584</v>
      </c>
      <c r="AM125" t="s">
        <v>2585</v>
      </c>
      <c r="AN125" t="s">
        <v>2586</v>
      </c>
      <c r="AO125" t="s">
        <v>2587</v>
      </c>
      <c r="AP125" t="s">
        <v>74</v>
      </c>
      <c r="AQ125" t="s">
        <v>2588</v>
      </c>
      <c r="AR125" t="s">
        <v>2589</v>
      </c>
      <c r="AS125" t="s">
        <v>2590</v>
      </c>
      <c r="AT125" t="s">
        <v>74</v>
      </c>
      <c r="AU125">
        <v>2018</v>
      </c>
      <c r="AV125">
        <v>462</v>
      </c>
      <c r="AW125" t="s">
        <v>74</v>
      </c>
      <c r="AX125" t="s">
        <v>74</v>
      </c>
      <c r="AY125" t="s">
        <v>74</v>
      </c>
      <c r="AZ125" t="s">
        <v>74</v>
      </c>
      <c r="BA125" t="s">
        <v>74</v>
      </c>
      <c r="BB125">
        <v>7</v>
      </c>
      <c r="BC125">
        <v>22</v>
      </c>
      <c r="BD125" t="s">
        <v>74</v>
      </c>
      <c r="BE125" t="s">
        <v>2609</v>
      </c>
      <c r="BF125" t="str">
        <f>HYPERLINK("http://dx.doi.org/10.1144/SP462.6","http://dx.doi.org/10.1144/SP462.6")</f>
        <v>http://dx.doi.org/10.1144/SP462.6</v>
      </c>
      <c r="BG125" t="s">
        <v>74</v>
      </c>
      <c r="BH125" t="s">
        <v>74</v>
      </c>
      <c r="BI125">
        <v>16</v>
      </c>
      <c r="BJ125" t="s">
        <v>2592</v>
      </c>
      <c r="BK125" t="s">
        <v>1801</v>
      </c>
      <c r="BL125" t="s">
        <v>281</v>
      </c>
      <c r="BM125" t="s">
        <v>2593</v>
      </c>
      <c r="BN125" t="s">
        <v>74</v>
      </c>
      <c r="BO125" t="s">
        <v>74</v>
      </c>
      <c r="BP125" t="s">
        <v>74</v>
      </c>
      <c r="BQ125" t="s">
        <v>74</v>
      </c>
      <c r="BR125" t="s">
        <v>105</v>
      </c>
      <c r="BS125" t="s">
        <v>2610</v>
      </c>
      <c r="BT125" t="str">
        <f>HYPERLINK("https%3A%2F%2Fwww.webofscience.com%2Fwos%2Fwoscc%2Ffull-record%2FWOS:000460278200002","View Full Record in Web of Science")</f>
        <v>View Full Record in Web of Science</v>
      </c>
    </row>
    <row r="126" spans="1:72" x14ac:dyDescent="0.15">
      <c r="A126" t="s">
        <v>1776</v>
      </c>
      <c r="B126" t="s">
        <v>2611</v>
      </c>
      <c r="C126" t="s">
        <v>74</v>
      </c>
      <c r="D126" t="s">
        <v>2571</v>
      </c>
      <c r="E126" t="s">
        <v>74</v>
      </c>
      <c r="F126" t="s">
        <v>2612</v>
      </c>
      <c r="G126" t="s">
        <v>74</v>
      </c>
      <c r="H126" t="s">
        <v>74</v>
      </c>
      <c r="I126" t="s">
        <v>2613</v>
      </c>
      <c r="J126" t="s">
        <v>2574</v>
      </c>
      <c r="K126" t="s">
        <v>2575</v>
      </c>
      <c r="L126" t="s">
        <v>74</v>
      </c>
      <c r="M126" t="s">
        <v>78</v>
      </c>
      <c r="N126" t="s">
        <v>1782</v>
      </c>
      <c r="O126" t="s">
        <v>2576</v>
      </c>
      <c r="P126" t="s">
        <v>2577</v>
      </c>
      <c r="Q126" t="s">
        <v>2578</v>
      </c>
      <c r="R126" t="s">
        <v>74</v>
      </c>
      <c r="S126" t="s">
        <v>74</v>
      </c>
      <c r="T126" t="s">
        <v>74</v>
      </c>
      <c r="U126" t="s">
        <v>2614</v>
      </c>
      <c r="V126" t="s">
        <v>2615</v>
      </c>
      <c r="W126" t="s">
        <v>2616</v>
      </c>
      <c r="X126" t="s">
        <v>2617</v>
      </c>
      <c r="Y126" t="s">
        <v>2618</v>
      </c>
      <c r="Z126" t="s">
        <v>2583</v>
      </c>
      <c r="AA126" t="s">
        <v>74</v>
      </c>
      <c r="AB126" t="s">
        <v>74</v>
      </c>
      <c r="AC126" t="s">
        <v>74</v>
      </c>
      <c r="AD126" t="s">
        <v>74</v>
      </c>
      <c r="AE126" t="s">
        <v>74</v>
      </c>
      <c r="AF126" t="s">
        <v>74</v>
      </c>
      <c r="AG126">
        <v>40</v>
      </c>
      <c r="AH126">
        <v>9</v>
      </c>
      <c r="AI126">
        <v>9</v>
      </c>
      <c r="AJ126">
        <v>0</v>
      </c>
      <c r="AK126">
        <v>2</v>
      </c>
      <c r="AL126" t="s">
        <v>2584</v>
      </c>
      <c r="AM126" t="s">
        <v>2585</v>
      </c>
      <c r="AN126" t="s">
        <v>2586</v>
      </c>
      <c r="AO126" t="s">
        <v>2587</v>
      </c>
      <c r="AP126" t="s">
        <v>74</v>
      </c>
      <c r="AQ126" t="s">
        <v>2588</v>
      </c>
      <c r="AR126" t="s">
        <v>2589</v>
      </c>
      <c r="AS126" t="s">
        <v>2590</v>
      </c>
      <c r="AT126" t="s">
        <v>74</v>
      </c>
      <c r="AU126">
        <v>2018</v>
      </c>
      <c r="AV126">
        <v>462</v>
      </c>
      <c r="AW126" t="s">
        <v>74</v>
      </c>
      <c r="AX126" t="s">
        <v>74</v>
      </c>
      <c r="AY126" t="s">
        <v>74</v>
      </c>
      <c r="AZ126" t="s">
        <v>74</v>
      </c>
      <c r="BA126" t="s">
        <v>74</v>
      </c>
      <c r="BB126">
        <v>23</v>
      </c>
      <c r="BC126">
        <v>34</v>
      </c>
      <c r="BD126" t="s">
        <v>74</v>
      </c>
      <c r="BE126" t="s">
        <v>2619</v>
      </c>
      <c r="BF126" t="str">
        <f>HYPERLINK("http://dx.doi.org/10.1144/SP462.3","http://dx.doi.org/10.1144/SP462.3")</f>
        <v>http://dx.doi.org/10.1144/SP462.3</v>
      </c>
      <c r="BG126" t="s">
        <v>74</v>
      </c>
      <c r="BH126" t="s">
        <v>74</v>
      </c>
      <c r="BI126">
        <v>12</v>
      </c>
      <c r="BJ126" t="s">
        <v>2592</v>
      </c>
      <c r="BK126" t="s">
        <v>1801</v>
      </c>
      <c r="BL126" t="s">
        <v>281</v>
      </c>
      <c r="BM126" t="s">
        <v>2593</v>
      </c>
      <c r="BN126" t="s">
        <v>74</v>
      </c>
      <c r="BO126" t="s">
        <v>74</v>
      </c>
      <c r="BP126" t="s">
        <v>74</v>
      </c>
      <c r="BQ126" t="s">
        <v>74</v>
      </c>
      <c r="BR126" t="s">
        <v>105</v>
      </c>
      <c r="BS126" t="s">
        <v>2620</v>
      </c>
      <c r="BT126" t="str">
        <f>HYPERLINK("https%3A%2F%2Fwww.webofscience.com%2Fwos%2Fwoscc%2Ffull-record%2FWOS:000460278200003","View Full Record in Web of Science")</f>
        <v>View Full Record in Web of Science</v>
      </c>
    </row>
    <row r="127" spans="1:72" x14ac:dyDescent="0.15">
      <c r="A127" t="s">
        <v>1776</v>
      </c>
      <c r="B127" t="s">
        <v>2621</v>
      </c>
      <c r="C127" t="s">
        <v>74</v>
      </c>
      <c r="D127" t="s">
        <v>2571</v>
      </c>
      <c r="E127" t="s">
        <v>74</v>
      </c>
      <c r="F127" t="s">
        <v>2622</v>
      </c>
      <c r="G127" t="s">
        <v>74</v>
      </c>
      <c r="H127" t="s">
        <v>74</v>
      </c>
      <c r="I127" t="s">
        <v>2623</v>
      </c>
      <c r="J127" t="s">
        <v>2574</v>
      </c>
      <c r="K127" t="s">
        <v>2575</v>
      </c>
      <c r="L127" t="s">
        <v>74</v>
      </c>
      <c r="M127" t="s">
        <v>78</v>
      </c>
      <c r="N127" t="s">
        <v>1782</v>
      </c>
      <c r="O127" t="s">
        <v>2576</v>
      </c>
      <c r="P127" t="s">
        <v>2577</v>
      </c>
      <c r="Q127" t="s">
        <v>2578</v>
      </c>
      <c r="R127" t="s">
        <v>74</v>
      </c>
      <c r="S127" t="s">
        <v>74</v>
      </c>
      <c r="T127" t="s">
        <v>74</v>
      </c>
      <c r="U127" t="s">
        <v>2624</v>
      </c>
      <c r="V127" t="s">
        <v>2625</v>
      </c>
      <c r="W127" t="s">
        <v>2626</v>
      </c>
      <c r="X127" t="s">
        <v>2627</v>
      </c>
      <c r="Y127" t="s">
        <v>2628</v>
      </c>
      <c r="Z127" t="s">
        <v>2629</v>
      </c>
      <c r="AA127" t="s">
        <v>2630</v>
      </c>
      <c r="AB127" t="s">
        <v>74</v>
      </c>
      <c r="AC127" t="s">
        <v>74</v>
      </c>
      <c r="AD127" t="s">
        <v>74</v>
      </c>
      <c r="AE127" t="s">
        <v>74</v>
      </c>
      <c r="AF127" t="s">
        <v>74</v>
      </c>
      <c r="AG127">
        <v>32</v>
      </c>
      <c r="AH127">
        <v>11</v>
      </c>
      <c r="AI127">
        <v>11</v>
      </c>
      <c r="AJ127">
        <v>2</v>
      </c>
      <c r="AK127">
        <v>2</v>
      </c>
      <c r="AL127" t="s">
        <v>2584</v>
      </c>
      <c r="AM127" t="s">
        <v>2585</v>
      </c>
      <c r="AN127" t="s">
        <v>2586</v>
      </c>
      <c r="AO127" t="s">
        <v>2587</v>
      </c>
      <c r="AP127" t="s">
        <v>74</v>
      </c>
      <c r="AQ127" t="s">
        <v>2588</v>
      </c>
      <c r="AR127" t="s">
        <v>2589</v>
      </c>
      <c r="AS127" t="s">
        <v>2590</v>
      </c>
      <c r="AT127" t="s">
        <v>74</v>
      </c>
      <c r="AU127">
        <v>2018</v>
      </c>
      <c r="AV127">
        <v>462</v>
      </c>
      <c r="AW127" t="s">
        <v>74</v>
      </c>
      <c r="AX127" t="s">
        <v>74</v>
      </c>
      <c r="AY127" t="s">
        <v>74</v>
      </c>
      <c r="AZ127" t="s">
        <v>74</v>
      </c>
      <c r="BA127" t="s">
        <v>74</v>
      </c>
      <c r="BB127">
        <v>35</v>
      </c>
      <c r="BC127">
        <v>49</v>
      </c>
      <c r="BD127" t="s">
        <v>74</v>
      </c>
      <c r="BE127" t="s">
        <v>2631</v>
      </c>
      <c r="BF127" t="str">
        <f>HYPERLINK("http://dx.doi.org/10.1144/SP462.11","http://dx.doi.org/10.1144/SP462.11")</f>
        <v>http://dx.doi.org/10.1144/SP462.11</v>
      </c>
      <c r="BG127" t="s">
        <v>74</v>
      </c>
      <c r="BH127" t="s">
        <v>74</v>
      </c>
      <c r="BI127">
        <v>15</v>
      </c>
      <c r="BJ127" t="s">
        <v>2592</v>
      </c>
      <c r="BK127" t="s">
        <v>1801</v>
      </c>
      <c r="BL127" t="s">
        <v>281</v>
      </c>
      <c r="BM127" t="s">
        <v>2593</v>
      </c>
      <c r="BN127" t="s">
        <v>74</v>
      </c>
      <c r="BO127" t="s">
        <v>74</v>
      </c>
      <c r="BP127" t="s">
        <v>74</v>
      </c>
      <c r="BQ127" t="s">
        <v>74</v>
      </c>
      <c r="BR127" t="s">
        <v>105</v>
      </c>
      <c r="BS127" t="s">
        <v>2632</v>
      </c>
      <c r="BT127" t="str">
        <f>HYPERLINK("https%3A%2F%2Fwww.webofscience.com%2Fwos%2Fwoscc%2Ffull-record%2FWOS:000460278200004","View Full Record in Web of Science")</f>
        <v>View Full Record in Web of Science</v>
      </c>
    </row>
    <row r="128" spans="1:72" x14ac:dyDescent="0.15">
      <c r="A128" t="s">
        <v>1776</v>
      </c>
      <c r="B128" t="s">
        <v>2633</v>
      </c>
      <c r="C128" t="s">
        <v>74</v>
      </c>
      <c r="D128" t="s">
        <v>2571</v>
      </c>
      <c r="E128" t="s">
        <v>74</v>
      </c>
      <c r="F128" t="s">
        <v>2634</v>
      </c>
      <c r="G128" t="s">
        <v>74</v>
      </c>
      <c r="H128" t="s">
        <v>74</v>
      </c>
      <c r="I128" t="s">
        <v>2635</v>
      </c>
      <c r="J128" t="s">
        <v>2574</v>
      </c>
      <c r="K128" t="s">
        <v>2575</v>
      </c>
      <c r="L128" t="s">
        <v>74</v>
      </c>
      <c r="M128" t="s">
        <v>78</v>
      </c>
      <c r="N128" t="s">
        <v>1782</v>
      </c>
      <c r="O128" t="s">
        <v>2576</v>
      </c>
      <c r="P128" t="s">
        <v>2577</v>
      </c>
      <c r="Q128" t="s">
        <v>2578</v>
      </c>
      <c r="R128" t="s">
        <v>74</v>
      </c>
      <c r="S128" t="s">
        <v>74</v>
      </c>
      <c r="T128" t="s">
        <v>74</v>
      </c>
      <c r="U128" t="s">
        <v>2636</v>
      </c>
      <c r="V128" t="s">
        <v>2637</v>
      </c>
      <c r="W128" t="s">
        <v>2638</v>
      </c>
      <c r="X128" t="s">
        <v>2639</v>
      </c>
      <c r="Y128" t="s">
        <v>2640</v>
      </c>
      <c r="Z128" t="s">
        <v>2641</v>
      </c>
      <c r="AA128" t="s">
        <v>74</v>
      </c>
      <c r="AB128" t="s">
        <v>74</v>
      </c>
      <c r="AC128" t="s">
        <v>74</v>
      </c>
      <c r="AD128" t="s">
        <v>74</v>
      </c>
      <c r="AE128" t="s">
        <v>74</v>
      </c>
      <c r="AF128" t="s">
        <v>74</v>
      </c>
      <c r="AG128">
        <v>44</v>
      </c>
      <c r="AH128">
        <v>10</v>
      </c>
      <c r="AI128">
        <v>10</v>
      </c>
      <c r="AJ128">
        <v>0</v>
      </c>
      <c r="AK128">
        <v>7</v>
      </c>
      <c r="AL128" t="s">
        <v>2584</v>
      </c>
      <c r="AM128" t="s">
        <v>2585</v>
      </c>
      <c r="AN128" t="s">
        <v>2586</v>
      </c>
      <c r="AO128" t="s">
        <v>2587</v>
      </c>
      <c r="AP128" t="s">
        <v>74</v>
      </c>
      <c r="AQ128" t="s">
        <v>2588</v>
      </c>
      <c r="AR128" t="s">
        <v>2589</v>
      </c>
      <c r="AS128" t="s">
        <v>2590</v>
      </c>
      <c r="AT128" t="s">
        <v>74</v>
      </c>
      <c r="AU128">
        <v>2018</v>
      </c>
      <c r="AV128">
        <v>462</v>
      </c>
      <c r="AW128" t="s">
        <v>74</v>
      </c>
      <c r="AX128" t="s">
        <v>74</v>
      </c>
      <c r="AY128" t="s">
        <v>74</v>
      </c>
      <c r="AZ128" t="s">
        <v>74</v>
      </c>
      <c r="BA128" t="s">
        <v>74</v>
      </c>
      <c r="BB128">
        <v>51</v>
      </c>
      <c r="BC128">
        <v>72</v>
      </c>
      <c r="BD128" t="s">
        <v>74</v>
      </c>
      <c r="BE128" t="s">
        <v>2642</v>
      </c>
      <c r="BF128" t="str">
        <f>HYPERLINK("http://dx.doi.org/10.1144/SP462.5","http://dx.doi.org/10.1144/SP462.5")</f>
        <v>http://dx.doi.org/10.1144/SP462.5</v>
      </c>
      <c r="BG128" t="s">
        <v>74</v>
      </c>
      <c r="BH128" t="s">
        <v>74</v>
      </c>
      <c r="BI128">
        <v>22</v>
      </c>
      <c r="BJ128" t="s">
        <v>2592</v>
      </c>
      <c r="BK128" t="s">
        <v>1801</v>
      </c>
      <c r="BL128" t="s">
        <v>281</v>
      </c>
      <c r="BM128" t="s">
        <v>2593</v>
      </c>
      <c r="BN128" t="s">
        <v>74</v>
      </c>
      <c r="BO128" t="s">
        <v>74</v>
      </c>
      <c r="BP128" t="s">
        <v>74</v>
      </c>
      <c r="BQ128" t="s">
        <v>74</v>
      </c>
      <c r="BR128" t="s">
        <v>105</v>
      </c>
      <c r="BS128" t="s">
        <v>2643</v>
      </c>
      <c r="BT128" t="str">
        <f>HYPERLINK("https%3A%2F%2Fwww.webofscience.com%2Fwos%2Fwoscc%2Ffull-record%2FWOS:000460278200005","View Full Record in Web of Science")</f>
        <v>View Full Record in Web of Science</v>
      </c>
    </row>
    <row r="129" spans="1:72" x14ac:dyDescent="0.15">
      <c r="A129" t="s">
        <v>1776</v>
      </c>
      <c r="B129" t="s">
        <v>2644</v>
      </c>
      <c r="C129" t="s">
        <v>74</v>
      </c>
      <c r="D129" t="s">
        <v>2571</v>
      </c>
      <c r="E129" t="s">
        <v>74</v>
      </c>
      <c r="F129" t="s">
        <v>2645</v>
      </c>
      <c r="G129" t="s">
        <v>74</v>
      </c>
      <c r="H129" t="s">
        <v>74</v>
      </c>
      <c r="I129" t="s">
        <v>2646</v>
      </c>
      <c r="J129" t="s">
        <v>2574</v>
      </c>
      <c r="K129" t="s">
        <v>2575</v>
      </c>
      <c r="L129" t="s">
        <v>74</v>
      </c>
      <c r="M129" t="s">
        <v>78</v>
      </c>
      <c r="N129" t="s">
        <v>1782</v>
      </c>
      <c r="O129" t="s">
        <v>2576</v>
      </c>
      <c r="P129" t="s">
        <v>2577</v>
      </c>
      <c r="Q129" t="s">
        <v>2578</v>
      </c>
      <c r="R129" t="s">
        <v>74</v>
      </c>
      <c r="S129" t="s">
        <v>74</v>
      </c>
      <c r="T129" t="s">
        <v>74</v>
      </c>
      <c r="U129" t="s">
        <v>2647</v>
      </c>
      <c r="V129" t="s">
        <v>2648</v>
      </c>
      <c r="W129" t="s">
        <v>2649</v>
      </c>
      <c r="X129" t="s">
        <v>2650</v>
      </c>
      <c r="Y129" t="s">
        <v>2651</v>
      </c>
      <c r="Z129" t="s">
        <v>2583</v>
      </c>
      <c r="AA129" t="s">
        <v>2652</v>
      </c>
      <c r="AB129" t="s">
        <v>2653</v>
      </c>
      <c r="AC129" t="s">
        <v>2654</v>
      </c>
      <c r="AD129" t="s">
        <v>2655</v>
      </c>
      <c r="AE129" t="s">
        <v>2656</v>
      </c>
      <c r="AF129" t="s">
        <v>74</v>
      </c>
      <c r="AG129">
        <v>42</v>
      </c>
      <c r="AH129">
        <v>8</v>
      </c>
      <c r="AI129">
        <v>8</v>
      </c>
      <c r="AJ129">
        <v>0</v>
      </c>
      <c r="AK129">
        <v>1</v>
      </c>
      <c r="AL129" t="s">
        <v>2584</v>
      </c>
      <c r="AM129" t="s">
        <v>2585</v>
      </c>
      <c r="AN129" t="s">
        <v>2586</v>
      </c>
      <c r="AO129" t="s">
        <v>2587</v>
      </c>
      <c r="AP129" t="s">
        <v>74</v>
      </c>
      <c r="AQ129" t="s">
        <v>2588</v>
      </c>
      <c r="AR129" t="s">
        <v>2589</v>
      </c>
      <c r="AS129" t="s">
        <v>2590</v>
      </c>
      <c r="AT129" t="s">
        <v>74</v>
      </c>
      <c r="AU129">
        <v>2018</v>
      </c>
      <c r="AV129">
        <v>462</v>
      </c>
      <c r="AW129" t="s">
        <v>74</v>
      </c>
      <c r="AX129" t="s">
        <v>74</v>
      </c>
      <c r="AY129" t="s">
        <v>74</v>
      </c>
      <c r="AZ129" t="s">
        <v>74</v>
      </c>
      <c r="BA129" t="s">
        <v>74</v>
      </c>
      <c r="BB129">
        <v>73</v>
      </c>
      <c r="BC129">
        <v>87</v>
      </c>
      <c r="BD129" t="s">
        <v>74</v>
      </c>
      <c r="BE129" t="s">
        <v>2657</v>
      </c>
      <c r="BF129" t="str">
        <f>HYPERLINK("http://dx.doi.org/10.1144/SP462.2","http://dx.doi.org/10.1144/SP462.2")</f>
        <v>http://dx.doi.org/10.1144/SP462.2</v>
      </c>
      <c r="BG129" t="s">
        <v>74</v>
      </c>
      <c r="BH129" t="s">
        <v>74</v>
      </c>
      <c r="BI129">
        <v>15</v>
      </c>
      <c r="BJ129" t="s">
        <v>2592</v>
      </c>
      <c r="BK129" t="s">
        <v>1801</v>
      </c>
      <c r="BL129" t="s">
        <v>281</v>
      </c>
      <c r="BM129" t="s">
        <v>2593</v>
      </c>
      <c r="BN129" t="s">
        <v>74</v>
      </c>
      <c r="BO129" t="s">
        <v>74</v>
      </c>
      <c r="BP129" t="s">
        <v>74</v>
      </c>
      <c r="BQ129" t="s">
        <v>74</v>
      </c>
      <c r="BR129" t="s">
        <v>105</v>
      </c>
      <c r="BS129" t="s">
        <v>2658</v>
      </c>
      <c r="BT129" t="str">
        <f>HYPERLINK("https%3A%2F%2Fwww.webofscience.com%2Fwos%2Fwoscc%2Ffull-record%2FWOS:000460278200006","View Full Record in Web of Science")</f>
        <v>View Full Record in Web of Science</v>
      </c>
    </row>
    <row r="130" spans="1:72" x14ac:dyDescent="0.15">
      <c r="A130" t="s">
        <v>1776</v>
      </c>
      <c r="B130" t="s">
        <v>2659</v>
      </c>
      <c r="C130" t="s">
        <v>74</v>
      </c>
      <c r="D130" t="s">
        <v>2571</v>
      </c>
      <c r="E130" t="s">
        <v>74</v>
      </c>
      <c r="F130" t="s">
        <v>2660</v>
      </c>
      <c r="G130" t="s">
        <v>74</v>
      </c>
      <c r="H130" t="s">
        <v>74</v>
      </c>
      <c r="I130" t="s">
        <v>2661</v>
      </c>
      <c r="J130" t="s">
        <v>2574</v>
      </c>
      <c r="K130" t="s">
        <v>2575</v>
      </c>
      <c r="L130" t="s">
        <v>74</v>
      </c>
      <c r="M130" t="s">
        <v>78</v>
      </c>
      <c r="N130" t="s">
        <v>1782</v>
      </c>
      <c r="O130" t="s">
        <v>2576</v>
      </c>
      <c r="P130" t="s">
        <v>2577</v>
      </c>
      <c r="Q130" t="s">
        <v>2578</v>
      </c>
      <c r="R130" t="s">
        <v>74</v>
      </c>
      <c r="S130" t="s">
        <v>74</v>
      </c>
      <c r="T130" t="s">
        <v>74</v>
      </c>
      <c r="U130" t="s">
        <v>2662</v>
      </c>
      <c r="V130" t="s">
        <v>2663</v>
      </c>
      <c r="W130" t="s">
        <v>2664</v>
      </c>
      <c r="X130" t="s">
        <v>2665</v>
      </c>
      <c r="Y130" t="s">
        <v>2666</v>
      </c>
      <c r="Z130" t="s">
        <v>2667</v>
      </c>
      <c r="AA130" t="s">
        <v>2668</v>
      </c>
      <c r="AB130" t="s">
        <v>2669</v>
      </c>
      <c r="AC130" t="s">
        <v>74</v>
      </c>
      <c r="AD130" t="s">
        <v>74</v>
      </c>
      <c r="AE130" t="s">
        <v>74</v>
      </c>
      <c r="AF130" t="s">
        <v>74</v>
      </c>
      <c r="AG130">
        <v>21</v>
      </c>
      <c r="AH130">
        <v>2</v>
      </c>
      <c r="AI130">
        <v>2</v>
      </c>
      <c r="AJ130">
        <v>0</v>
      </c>
      <c r="AK130">
        <v>0</v>
      </c>
      <c r="AL130" t="s">
        <v>2584</v>
      </c>
      <c r="AM130" t="s">
        <v>2585</v>
      </c>
      <c r="AN130" t="s">
        <v>2586</v>
      </c>
      <c r="AO130" t="s">
        <v>2587</v>
      </c>
      <c r="AP130" t="s">
        <v>74</v>
      </c>
      <c r="AQ130" t="s">
        <v>2588</v>
      </c>
      <c r="AR130" t="s">
        <v>2589</v>
      </c>
      <c r="AS130" t="s">
        <v>2590</v>
      </c>
      <c r="AT130" t="s">
        <v>74</v>
      </c>
      <c r="AU130">
        <v>2018</v>
      </c>
      <c r="AV130">
        <v>462</v>
      </c>
      <c r="AW130" t="s">
        <v>74</v>
      </c>
      <c r="AX130" t="s">
        <v>74</v>
      </c>
      <c r="AY130" t="s">
        <v>74</v>
      </c>
      <c r="AZ130" t="s">
        <v>74</v>
      </c>
      <c r="BA130" t="s">
        <v>74</v>
      </c>
      <c r="BB130">
        <v>89</v>
      </c>
      <c r="BC130">
        <v>98</v>
      </c>
      <c r="BD130" t="s">
        <v>74</v>
      </c>
      <c r="BE130" t="s">
        <v>2670</v>
      </c>
      <c r="BF130" t="str">
        <f>HYPERLINK("http://dx.doi.org/10.1144/SP462.7","http://dx.doi.org/10.1144/SP462.7")</f>
        <v>http://dx.doi.org/10.1144/SP462.7</v>
      </c>
      <c r="BG130" t="s">
        <v>74</v>
      </c>
      <c r="BH130" t="s">
        <v>74</v>
      </c>
      <c r="BI130">
        <v>10</v>
      </c>
      <c r="BJ130" t="s">
        <v>2592</v>
      </c>
      <c r="BK130" t="s">
        <v>1801</v>
      </c>
      <c r="BL130" t="s">
        <v>281</v>
      </c>
      <c r="BM130" t="s">
        <v>2593</v>
      </c>
      <c r="BN130" t="s">
        <v>74</v>
      </c>
      <c r="BO130" t="s">
        <v>74</v>
      </c>
      <c r="BP130" t="s">
        <v>74</v>
      </c>
      <c r="BQ130" t="s">
        <v>74</v>
      </c>
      <c r="BR130" t="s">
        <v>105</v>
      </c>
      <c r="BS130" t="s">
        <v>2671</v>
      </c>
      <c r="BT130" t="str">
        <f>HYPERLINK("https%3A%2F%2Fwww.webofscience.com%2Fwos%2Fwoscc%2Ffull-record%2FWOS:000460278200007","View Full Record in Web of Science")</f>
        <v>View Full Record in Web of Science</v>
      </c>
    </row>
    <row r="131" spans="1:72" x14ac:dyDescent="0.15">
      <c r="A131" t="s">
        <v>1776</v>
      </c>
      <c r="B131" t="s">
        <v>2672</v>
      </c>
      <c r="C131" t="s">
        <v>74</v>
      </c>
      <c r="D131" t="s">
        <v>2571</v>
      </c>
      <c r="E131" t="s">
        <v>74</v>
      </c>
      <c r="F131" t="s">
        <v>2673</v>
      </c>
      <c r="G131" t="s">
        <v>74</v>
      </c>
      <c r="H131" t="s">
        <v>74</v>
      </c>
      <c r="I131" t="s">
        <v>2674</v>
      </c>
      <c r="J131" t="s">
        <v>2574</v>
      </c>
      <c r="K131" t="s">
        <v>2575</v>
      </c>
      <c r="L131" t="s">
        <v>74</v>
      </c>
      <c r="M131" t="s">
        <v>78</v>
      </c>
      <c r="N131" t="s">
        <v>1782</v>
      </c>
      <c r="O131" t="s">
        <v>2576</v>
      </c>
      <c r="P131" t="s">
        <v>2577</v>
      </c>
      <c r="Q131" t="s">
        <v>2578</v>
      </c>
      <c r="R131" t="s">
        <v>74</v>
      </c>
      <c r="S131" t="s">
        <v>74</v>
      </c>
      <c r="T131" t="s">
        <v>74</v>
      </c>
      <c r="U131" t="s">
        <v>2675</v>
      </c>
      <c r="V131" t="s">
        <v>2676</v>
      </c>
      <c r="W131" t="s">
        <v>2677</v>
      </c>
      <c r="X131" t="s">
        <v>2678</v>
      </c>
      <c r="Y131" t="s">
        <v>2679</v>
      </c>
      <c r="Z131" t="s">
        <v>2680</v>
      </c>
      <c r="AA131" t="s">
        <v>2681</v>
      </c>
      <c r="AB131" t="s">
        <v>2682</v>
      </c>
      <c r="AC131" t="s">
        <v>2683</v>
      </c>
      <c r="AD131" t="s">
        <v>2684</v>
      </c>
      <c r="AE131" t="s">
        <v>2685</v>
      </c>
      <c r="AF131" t="s">
        <v>74</v>
      </c>
      <c r="AG131">
        <v>40</v>
      </c>
      <c r="AH131">
        <v>5</v>
      </c>
      <c r="AI131">
        <v>5</v>
      </c>
      <c r="AJ131">
        <v>3</v>
      </c>
      <c r="AK131">
        <v>11</v>
      </c>
      <c r="AL131" t="s">
        <v>2584</v>
      </c>
      <c r="AM131" t="s">
        <v>2585</v>
      </c>
      <c r="AN131" t="s">
        <v>2586</v>
      </c>
      <c r="AO131" t="s">
        <v>2587</v>
      </c>
      <c r="AP131" t="s">
        <v>74</v>
      </c>
      <c r="AQ131" t="s">
        <v>2588</v>
      </c>
      <c r="AR131" t="s">
        <v>2589</v>
      </c>
      <c r="AS131" t="s">
        <v>2590</v>
      </c>
      <c r="AT131" t="s">
        <v>74</v>
      </c>
      <c r="AU131">
        <v>2018</v>
      </c>
      <c r="AV131">
        <v>462</v>
      </c>
      <c r="AW131" t="s">
        <v>74</v>
      </c>
      <c r="AX131" t="s">
        <v>74</v>
      </c>
      <c r="AY131" t="s">
        <v>74</v>
      </c>
      <c r="AZ131" t="s">
        <v>74</v>
      </c>
      <c r="BA131" t="s">
        <v>74</v>
      </c>
      <c r="BB131">
        <v>99</v>
      </c>
      <c r="BC131">
        <v>117</v>
      </c>
      <c r="BD131" t="s">
        <v>74</v>
      </c>
      <c r="BE131" t="s">
        <v>2686</v>
      </c>
      <c r="BF131" t="str">
        <f>HYPERLINK("http://dx.doi.org/10.1144/SP462.1","http://dx.doi.org/10.1144/SP462.1")</f>
        <v>http://dx.doi.org/10.1144/SP462.1</v>
      </c>
      <c r="BG131" t="s">
        <v>74</v>
      </c>
      <c r="BH131" t="s">
        <v>74</v>
      </c>
      <c r="BI131">
        <v>19</v>
      </c>
      <c r="BJ131" t="s">
        <v>2592</v>
      </c>
      <c r="BK131" t="s">
        <v>1801</v>
      </c>
      <c r="BL131" t="s">
        <v>281</v>
      </c>
      <c r="BM131" t="s">
        <v>2593</v>
      </c>
      <c r="BN131" t="s">
        <v>74</v>
      </c>
      <c r="BO131" t="s">
        <v>74</v>
      </c>
      <c r="BP131" t="s">
        <v>74</v>
      </c>
      <c r="BQ131" t="s">
        <v>74</v>
      </c>
      <c r="BR131" t="s">
        <v>105</v>
      </c>
      <c r="BS131" t="s">
        <v>2687</v>
      </c>
      <c r="BT131" t="str">
        <f>HYPERLINK("https%3A%2F%2Fwww.webofscience.com%2Fwos%2Fwoscc%2Ffull-record%2FWOS:000460278200008","View Full Record in Web of Science")</f>
        <v>View Full Record in Web of Science</v>
      </c>
    </row>
    <row r="132" spans="1:72" x14ac:dyDescent="0.15">
      <c r="A132" t="s">
        <v>1776</v>
      </c>
      <c r="B132" t="s">
        <v>2688</v>
      </c>
      <c r="C132" t="s">
        <v>74</v>
      </c>
      <c r="D132" t="s">
        <v>2571</v>
      </c>
      <c r="E132" t="s">
        <v>74</v>
      </c>
      <c r="F132" t="s">
        <v>2689</v>
      </c>
      <c r="G132" t="s">
        <v>74</v>
      </c>
      <c r="H132" t="s">
        <v>74</v>
      </c>
      <c r="I132" t="s">
        <v>2690</v>
      </c>
      <c r="J132" t="s">
        <v>2574</v>
      </c>
      <c r="K132" t="s">
        <v>2575</v>
      </c>
      <c r="L132" t="s">
        <v>74</v>
      </c>
      <c r="M132" t="s">
        <v>78</v>
      </c>
      <c r="N132" t="s">
        <v>1782</v>
      </c>
      <c r="O132" t="s">
        <v>2576</v>
      </c>
      <c r="P132" t="s">
        <v>2577</v>
      </c>
      <c r="Q132" t="s">
        <v>2578</v>
      </c>
      <c r="R132" t="s">
        <v>74</v>
      </c>
      <c r="S132" t="s">
        <v>74</v>
      </c>
      <c r="T132" t="s">
        <v>74</v>
      </c>
      <c r="U132" t="s">
        <v>2691</v>
      </c>
      <c r="V132" t="s">
        <v>2692</v>
      </c>
      <c r="W132" t="s">
        <v>2693</v>
      </c>
      <c r="X132" t="s">
        <v>2694</v>
      </c>
      <c r="Y132" t="s">
        <v>2695</v>
      </c>
      <c r="Z132" t="s">
        <v>2696</v>
      </c>
      <c r="AA132" t="s">
        <v>2697</v>
      </c>
      <c r="AB132" t="s">
        <v>2698</v>
      </c>
      <c r="AC132" t="s">
        <v>74</v>
      </c>
      <c r="AD132" t="s">
        <v>74</v>
      </c>
      <c r="AE132" t="s">
        <v>74</v>
      </c>
      <c r="AF132" t="s">
        <v>74</v>
      </c>
      <c r="AG132">
        <v>21</v>
      </c>
      <c r="AH132">
        <v>2</v>
      </c>
      <c r="AI132">
        <v>2</v>
      </c>
      <c r="AJ132">
        <v>1</v>
      </c>
      <c r="AK132">
        <v>4</v>
      </c>
      <c r="AL132" t="s">
        <v>2584</v>
      </c>
      <c r="AM132" t="s">
        <v>2585</v>
      </c>
      <c r="AN132" t="s">
        <v>2586</v>
      </c>
      <c r="AO132" t="s">
        <v>2587</v>
      </c>
      <c r="AP132" t="s">
        <v>74</v>
      </c>
      <c r="AQ132" t="s">
        <v>2588</v>
      </c>
      <c r="AR132" t="s">
        <v>2589</v>
      </c>
      <c r="AS132" t="s">
        <v>2590</v>
      </c>
      <c r="AT132" t="s">
        <v>74</v>
      </c>
      <c r="AU132">
        <v>2018</v>
      </c>
      <c r="AV132">
        <v>462</v>
      </c>
      <c r="AW132" t="s">
        <v>74</v>
      </c>
      <c r="AX132" t="s">
        <v>74</v>
      </c>
      <c r="AY132" t="s">
        <v>74</v>
      </c>
      <c r="AZ132" t="s">
        <v>74</v>
      </c>
      <c r="BA132" t="s">
        <v>74</v>
      </c>
      <c r="BB132">
        <v>119</v>
      </c>
      <c r="BC132">
        <v>138</v>
      </c>
      <c r="BD132" t="s">
        <v>74</v>
      </c>
      <c r="BE132" t="s">
        <v>2699</v>
      </c>
      <c r="BF132" t="str">
        <f>HYPERLINK("http://dx.doi.org/10.1144/SP462.4","http://dx.doi.org/10.1144/SP462.4")</f>
        <v>http://dx.doi.org/10.1144/SP462.4</v>
      </c>
      <c r="BG132" t="s">
        <v>74</v>
      </c>
      <c r="BH132" t="s">
        <v>74</v>
      </c>
      <c r="BI132">
        <v>20</v>
      </c>
      <c r="BJ132" t="s">
        <v>2592</v>
      </c>
      <c r="BK132" t="s">
        <v>1801</v>
      </c>
      <c r="BL132" t="s">
        <v>281</v>
      </c>
      <c r="BM132" t="s">
        <v>2593</v>
      </c>
      <c r="BN132" t="s">
        <v>74</v>
      </c>
      <c r="BO132" t="s">
        <v>74</v>
      </c>
      <c r="BP132" t="s">
        <v>74</v>
      </c>
      <c r="BQ132" t="s">
        <v>74</v>
      </c>
      <c r="BR132" t="s">
        <v>105</v>
      </c>
      <c r="BS132" t="s">
        <v>2700</v>
      </c>
      <c r="BT132" t="str">
        <f>HYPERLINK("https%3A%2F%2Fwww.webofscience.com%2Fwos%2Fwoscc%2Ffull-record%2FWOS:000460278200009","View Full Record in Web of Science")</f>
        <v>View Full Record in Web of Science</v>
      </c>
    </row>
    <row r="133" spans="1:72" x14ac:dyDescent="0.15">
      <c r="A133" t="s">
        <v>1776</v>
      </c>
      <c r="B133" t="s">
        <v>2701</v>
      </c>
      <c r="C133" t="s">
        <v>74</v>
      </c>
      <c r="D133" t="s">
        <v>2571</v>
      </c>
      <c r="E133" t="s">
        <v>74</v>
      </c>
      <c r="F133" t="s">
        <v>2702</v>
      </c>
      <c r="G133" t="s">
        <v>74</v>
      </c>
      <c r="H133" t="s">
        <v>74</v>
      </c>
      <c r="I133" t="s">
        <v>2703</v>
      </c>
      <c r="J133" t="s">
        <v>2574</v>
      </c>
      <c r="K133" t="s">
        <v>2575</v>
      </c>
      <c r="L133" t="s">
        <v>74</v>
      </c>
      <c r="M133" t="s">
        <v>78</v>
      </c>
      <c r="N133" t="s">
        <v>1782</v>
      </c>
      <c r="O133" t="s">
        <v>2576</v>
      </c>
      <c r="P133" t="s">
        <v>2577</v>
      </c>
      <c r="Q133" t="s">
        <v>2578</v>
      </c>
      <c r="R133" t="s">
        <v>74</v>
      </c>
      <c r="S133" t="s">
        <v>74</v>
      </c>
      <c r="T133" t="s">
        <v>74</v>
      </c>
      <c r="U133" t="s">
        <v>2704</v>
      </c>
      <c r="V133" t="s">
        <v>2705</v>
      </c>
      <c r="W133" t="s">
        <v>2706</v>
      </c>
      <c r="X133" t="s">
        <v>2707</v>
      </c>
      <c r="Y133" t="s">
        <v>2708</v>
      </c>
      <c r="Z133" t="s">
        <v>2709</v>
      </c>
      <c r="AA133" t="s">
        <v>2710</v>
      </c>
      <c r="AB133" t="s">
        <v>2711</v>
      </c>
      <c r="AC133" t="s">
        <v>74</v>
      </c>
      <c r="AD133" t="s">
        <v>74</v>
      </c>
      <c r="AE133" t="s">
        <v>74</v>
      </c>
      <c r="AF133" t="s">
        <v>74</v>
      </c>
      <c r="AG133">
        <v>31</v>
      </c>
      <c r="AH133">
        <v>5</v>
      </c>
      <c r="AI133">
        <v>5</v>
      </c>
      <c r="AJ133">
        <v>1</v>
      </c>
      <c r="AK133">
        <v>3</v>
      </c>
      <c r="AL133" t="s">
        <v>2584</v>
      </c>
      <c r="AM133" t="s">
        <v>2585</v>
      </c>
      <c r="AN133" t="s">
        <v>2586</v>
      </c>
      <c r="AO133" t="s">
        <v>2587</v>
      </c>
      <c r="AP133" t="s">
        <v>74</v>
      </c>
      <c r="AQ133" t="s">
        <v>2588</v>
      </c>
      <c r="AR133" t="s">
        <v>2589</v>
      </c>
      <c r="AS133" t="s">
        <v>2590</v>
      </c>
      <c r="AT133" t="s">
        <v>74</v>
      </c>
      <c r="AU133">
        <v>2018</v>
      </c>
      <c r="AV133">
        <v>462</v>
      </c>
      <c r="AW133" t="s">
        <v>74</v>
      </c>
      <c r="AX133" t="s">
        <v>74</v>
      </c>
      <c r="AY133" t="s">
        <v>74</v>
      </c>
      <c r="AZ133" t="s">
        <v>74</v>
      </c>
      <c r="BA133" t="s">
        <v>74</v>
      </c>
      <c r="BB133">
        <v>139</v>
      </c>
      <c r="BC133">
        <v>154</v>
      </c>
      <c r="BD133" t="s">
        <v>74</v>
      </c>
      <c r="BE133" t="s">
        <v>2712</v>
      </c>
      <c r="BF133" t="str">
        <f>HYPERLINK("http://dx.doi.org/10.1144/SP462.8","http://dx.doi.org/10.1144/SP462.8")</f>
        <v>http://dx.doi.org/10.1144/SP462.8</v>
      </c>
      <c r="BG133" t="s">
        <v>74</v>
      </c>
      <c r="BH133" t="s">
        <v>74</v>
      </c>
      <c r="BI133">
        <v>16</v>
      </c>
      <c r="BJ133" t="s">
        <v>2592</v>
      </c>
      <c r="BK133" t="s">
        <v>1801</v>
      </c>
      <c r="BL133" t="s">
        <v>281</v>
      </c>
      <c r="BM133" t="s">
        <v>2593</v>
      </c>
      <c r="BN133" t="s">
        <v>74</v>
      </c>
      <c r="BO133" t="s">
        <v>74</v>
      </c>
      <c r="BP133" t="s">
        <v>74</v>
      </c>
      <c r="BQ133" t="s">
        <v>74</v>
      </c>
      <c r="BR133" t="s">
        <v>105</v>
      </c>
      <c r="BS133" t="s">
        <v>2713</v>
      </c>
      <c r="BT133" t="str">
        <f>HYPERLINK("https%3A%2F%2Fwww.webofscience.com%2Fwos%2Fwoscc%2Ffull-record%2FWOS:000460278200010","View Full Record in Web of Science")</f>
        <v>View Full Record in Web of Science</v>
      </c>
    </row>
    <row r="134" spans="1:72" x14ac:dyDescent="0.15">
      <c r="A134" t="s">
        <v>1776</v>
      </c>
      <c r="B134" t="s">
        <v>2714</v>
      </c>
      <c r="C134" t="s">
        <v>74</v>
      </c>
      <c r="D134" t="s">
        <v>2571</v>
      </c>
      <c r="E134" t="s">
        <v>74</v>
      </c>
      <c r="F134" t="s">
        <v>2715</v>
      </c>
      <c r="G134" t="s">
        <v>74</v>
      </c>
      <c r="H134" t="s">
        <v>74</v>
      </c>
      <c r="I134" t="s">
        <v>2716</v>
      </c>
      <c r="J134" t="s">
        <v>2574</v>
      </c>
      <c r="K134" t="s">
        <v>2575</v>
      </c>
      <c r="L134" t="s">
        <v>74</v>
      </c>
      <c r="M134" t="s">
        <v>78</v>
      </c>
      <c r="N134" t="s">
        <v>1782</v>
      </c>
      <c r="O134" t="s">
        <v>2576</v>
      </c>
      <c r="P134" t="s">
        <v>2577</v>
      </c>
      <c r="Q134" t="s">
        <v>2578</v>
      </c>
      <c r="R134" t="s">
        <v>74</v>
      </c>
      <c r="S134" t="s">
        <v>74</v>
      </c>
      <c r="T134" t="s">
        <v>74</v>
      </c>
      <c r="U134" t="s">
        <v>2717</v>
      </c>
      <c r="V134" t="s">
        <v>2718</v>
      </c>
      <c r="W134" t="s">
        <v>2719</v>
      </c>
      <c r="X134" t="s">
        <v>2678</v>
      </c>
      <c r="Y134" t="s">
        <v>2720</v>
      </c>
      <c r="Z134" t="s">
        <v>2721</v>
      </c>
      <c r="AA134" t="s">
        <v>2722</v>
      </c>
      <c r="AB134" t="s">
        <v>2723</v>
      </c>
      <c r="AC134" t="s">
        <v>2724</v>
      </c>
      <c r="AD134" t="s">
        <v>2725</v>
      </c>
      <c r="AE134" t="s">
        <v>2726</v>
      </c>
      <c r="AF134" t="s">
        <v>74</v>
      </c>
      <c r="AG134">
        <v>29</v>
      </c>
      <c r="AH134">
        <v>5</v>
      </c>
      <c r="AI134">
        <v>5</v>
      </c>
      <c r="AJ134">
        <v>0</v>
      </c>
      <c r="AK134">
        <v>2</v>
      </c>
      <c r="AL134" t="s">
        <v>2584</v>
      </c>
      <c r="AM134" t="s">
        <v>2585</v>
      </c>
      <c r="AN134" t="s">
        <v>2586</v>
      </c>
      <c r="AO134" t="s">
        <v>2587</v>
      </c>
      <c r="AP134" t="s">
        <v>74</v>
      </c>
      <c r="AQ134" t="s">
        <v>2588</v>
      </c>
      <c r="AR134" t="s">
        <v>2589</v>
      </c>
      <c r="AS134" t="s">
        <v>2590</v>
      </c>
      <c r="AT134" t="s">
        <v>74</v>
      </c>
      <c r="AU134">
        <v>2018</v>
      </c>
      <c r="AV134">
        <v>462</v>
      </c>
      <c r="AW134" t="s">
        <v>74</v>
      </c>
      <c r="AX134" t="s">
        <v>74</v>
      </c>
      <c r="AY134" t="s">
        <v>74</v>
      </c>
      <c r="AZ134" t="s">
        <v>74</v>
      </c>
      <c r="BA134" t="s">
        <v>74</v>
      </c>
      <c r="BB134">
        <v>155</v>
      </c>
      <c r="BC134">
        <v>168</v>
      </c>
      <c r="BD134" t="s">
        <v>74</v>
      </c>
      <c r="BE134" t="s">
        <v>2727</v>
      </c>
      <c r="BF134" t="str">
        <f>HYPERLINK("http://dx.doi.org/10.1144/SP462.10","http://dx.doi.org/10.1144/SP462.10")</f>
        <v>http://dx.doi.org/10.1144/SP462.10</v>
      </c>
      <c r="BG134" t="s">
        <v>74</v>
      </c>
      <c r="BH134" t="s">
        <v>74</v>
      </c>
      <c r="BI134">
        <v>14</v>
      </c>
      <c r="BJ134" t="s">
        <v>2592</v>
      </c>
      <c r="BK134" t="s">
        <v>1801</v>
      </c>
      <c r="BL134" t="s">
        <v>281</v>
      </c>
      <c r="BM134" t="s">
        <v>2593</v>
      </c>
      <c r="BN134" t="s">
        <v>74</v>
      </c>
      <c r="BO134" t="s">
        <v>74</v>
      </c>
      <c r="BP134" t="s">
        <v>74</v>
      </c>
      <c r="BQ134" t="s">
        <v>74</v>
      </c>
      <c r="BR134" t="s">
        <v>105</v>
      </c>
      <c r="BS134" t="s">
        <v>2728</v>
      </c>
      <c r="BT134" t="str">
        <f>HYPERLINK("https%3A%2F%2Fwww.webofscience.com%2Fwos%2Fwoscc%2Ffull-record%2FWOS:000460278200011","View Full Record in Web of Science")</f>
        <v>View Full Record in Web of Science</v>
      </c>
    </row>
    <row r="135" spans="1:72" x14ac:dyDescent="0.15">
      <c r="A135" t="s">
        <v>1776</v>
      </c>
      <c r="B135" t="s">
        <v>2729</v>
      </c>
      <c r="C135" t="s">
        <v>74</v>
      </c>
      <c r="D135" t="s">
        <v>2571</v>
      </c>
      <c r="E135" t="s">
        <v>74</v>
      </c>
      <c r="F135" t="s">
        <v>2730</v>
      </c>
      <c r="G135" t="s">
        <v>74</v>
      </c>
      <c r="H135" t="s">
        <v>74</v>
      </c>
      <c r="I135" t="s">
        <v>2731</v>
      </c>
      <c r="J135" t="s">
        <v>2574</v>
      </c>
      <c r="K135" t="s">
        <v>2575</v>
      </c>
      <c r="L135" t="s">
        <v>74</v>
      </c>
      <c r="M135" t="s">
        <v>78</v>
      </c>
      <c r="N135" t="s">
        <v>1782</v>
      </c>
      <c r="O135" t="s">
        <v>2576</v>
      </c>
      <c r="P135" t="s">
        <v>2577</v>
      </c>
      <c r="Q135" t="s">
        <v>2578</v>
      </c>
      <c r="R135" t="s">
        <v>74</v>
      </c>
      <c r="S135" t="s">
        <v>74</v>
      </c>
      <c r="T135" t="s">
        <v>74</v>
      </c>
      <c r="U135" t="s">
        <v>2732</v>
      </c>
      <c r="V135" t="s">
        <v>2733</v>
      </c>
      <c r="W135" t="s">
        <v>2734</v>
      </c>
      <c r="X135" t="s">
        <v>2735</v>
      </c>
      <c r="Y135" t="s">
        <v>2736</v>
      </c>
      <c r="Z135" t="s">
        <v>2737</v>
      </c>
      <c r="AA135" t="s">
        <v>74</v>
      </c>
      <c r="AB135" t="s">
        <v>2738</v>
      </c>
      <c r="AC135" t="s">
        <v>74</v>
      </c>
      <c r="AD135" t="s">
        <v>74</v>
      </c>
      <c r="AE135" t="s">
        <v>74</v>
      </c>
      <c r="AF135" t="s">
        <v>74</v>
      </c>
      <c r="AG135">
        <v>142</v>
      </c>
      <c r="AH135">
        <v>4</v>
      </c>
      <c r="AI135">
        <v>4</v>
      </c>
      <c r="AJ135">
        <v>1</v>
      </c>
      <c r="AK135">
        <v>7</v>
      </c>
      <c r="AL135" t="s">
        <v>2584</v>
      </c>
      <c r="AM135" t="s">
        <v>2585</v>
      </c>
      <c r="AN135" t="s">
        <v>2586</v>
      </c>
      <c r="AO135" t="s">
        <v>2587</v>
      </c>
      <c r="AP135" t="s">
        <v>74</v>
      </c>
      <c r="AQ135" t="s">
        <v>2588</v>
      </c>
      <c r="AR135" t="s">
        <v>2589</v>
      </c>
      <c r="AS135" t="s">
        <v>2590</v>
      </c>
      <c r="AT135" t="s">
        <v>74</v>
      </c>
      <c r="AU135">
        <v>2018</v>
      </c>
      <c r="AV135">
        <v>462</v>
      </c>
      <c r="AW135" t="s">
        <v>74</v>
      </c>
      <c r="AX135" t="s">
        <v>74</v>
      </c>
      <c r="AY135" t="s">
        <v>74</v>
      </c>
      <c r="AZ135" t="s">
        <v>74</v>
      </c>
      <c r="BA135" t="s">
        <v>74</v>
      </c>
      <c r="BB135">
        <v>169</v>
      </c>
      <c r="BC135">
        <v>188</v>
      </c>
      <c r="BD135" t="s">
        <v>74</v>
      </c>
      <c r="BE135" t="s">
        <v>2739</v>
      </c>
      <c r="BF135" t="str">
        <f>HYPERLINK("http://dx.doi.org/10.1144/SP462.9","http://dx.doi.org/10.1144/SP462.9")</f>
        <v>http://dx.doi.org/10.1144/SP462.9</v>
      </c>
      <c r="BG135" t="s">
        <v>74</v>
      </c>
      <c r="BH135" t="s">
        <v>74</v>
      </c>
      <c r="BI135">
        <v>20</v>
      </c>
      <c r="BJ135" t="s">
        <v>2592</v>
      </c>
      <c r="BK135" t="s">
        <v>1801</v>
      </c>
      <c r="BL135" t="s">
        <v>281</v>
      </c>
      <c r="BM135" t="s">
        <v>2593</v>
      </c>
      <c r="BN135" t="s">
        <v>74</v>
      </c>
      <c r="BO135" t="s">
        <v>74</v>
      </c>
      <c r="BP135" t="s">
        <v>74</v>
      </c>
      <c r="BQ135" t="s">
        <v>74</v>
      </c>
      <c r="BR135" t="s">
        <v>105</v>
      </c>
      <c r="BS135" t="s">
        <v>2740</v>
      </c>
      <c r="BT135" t="str">
        <f>HYPERLINK("https%3A%2F%2Fwww.webofscience.com%2Fwos%2Fwoscc%2Ffull-record%2FWOS:000460278200012","View Full Record in Web of Science")</f>
        <v>View Full Record in Web of Science</v>
      </c>
    </row>
    <row r="136" spans="1:72" x14ac:dyDescent="0.15">
      <c r="A136" t="s">
        <v>1776</v>
      </c>
      <c r="B136" t="s">
        <v>2741</v>
      </c>
      <c r="C136" t="s">
        <v>74</v>
      </c>
      <c r="D136" t="s">
        <v>2571</v>
      </c>
      <c r="E136" t="s">
        <v>74</v>
      </c>
      <c r="F136" t="s">
        <v>2742</v>
      </c>
      <c r="G136" t="s">
        <v>74</v>
      </c>
      <c r="H136" t="s">
        <v>74</v>
      </c>
      <c r="I136" t="s">
        <v>2743</v>
      </c>
      <c r="J136" t="s">
        <v>2574</v>
      </c>
      <c r="K136" t="s">
        <v>2575</v>
      </c>
      <c r="L136" t="s">
        <v>74</v>
      </c>
      <c r="M136" t="s">
        <v>78</v>
      </c>
      <c r="N136" t="s">
        <v>1782</v>
      </c>
      <c r="O136" t="s">
        <v>2576</v>
      </c>
      <c r="P136" t="s">
        <v>2577</v>
      </c>
      <c r="Q136" t="s">
        <v>2578</v>
      </c>
      <c r="R136" t="s">
        <v>74</v>
      </c>
      <c r="S136" t="s">
        <v>74</v>
      </c>
      <c r="T136" t="s">
        <v>74</v>
      </c>
      <c r="U136" t="s">
        <v>2744</v>
      </c>
      <c r="V136" t="s">
        <v>2745</v>
      </c>
      <c r="W136" t="s">
        <v>2746</v>
      </c>
      <c r="X136" t="s">
        <v>2747</v>
      </c>
      <c r="Y136" t="s">
        <v>2748</v>
      </c>
      <c r="Z136" t="s">
        <v>2749</v>
      </c>
      <c r="AA136" t="s">
        <v>2750</v>
      </c>
      <c r="AB136" t="s">
        <v>2751</v>
      </c>
      <c r="AC136" t="s">
        <v>74</v>
      </c>
      <c r="AD136" t="s">
        <v>74</v>
      </c>
      <c r="AE136" t="s">
        <v>74</v>
      </c>
      <c r="AF136" t="s">
        <v>74</v>
      </c>
      <c r="AG136">
        <v>101</v>
      </c>
      <c r="AH136">
        <v>13</v>
      </c>
      <c r="AI136">
        <v>13</v>
      </c>
      <c r="AJ136">
        <v>1</v>
      </c>
      <c r="AK136">
        <v>9</v>
      </c>
      <c r="AL136" t="s">
        <v>2584</v>
      </c>
      <c r="AM136" t="s">
        <v>2585</v>
      </c>
      <c r="AN136" t="s">
        <v>2586</v>
      </c>
      <c r="AO136" t="s">
        <v>2587</v>
      </c>
      <c r="AP136" t="s">
        <v>74</v>
      </c>
      <c r="AQ136" t="s">
        <v>2588</v>
      </c>
      <c r="AR136" t="s">
        <v>2589</v>
      </c>
      <c r="AS136" t="s">
        <v>2590</v>
      </c>
      <c r="AT136" t="s">
        <v>74</v>
      </c>
      <c r="AU136">
        <v>2018</v>
      </c>
      <c r="AV136">
        <v>462</v>
      </c>
      <c r="AW136" t="s">
        <v>74</v>
      </c>
      <c r="AX136" t="s">
        <v>74</v>
      </c>
      <c r="AY136" t="s">
        <v>74</v>
      </c>
      <c r="AZ136" t="s">
        <v>74</v>
      </c>
      <c r="BA136" t="s">
        <v>74</v>
      </c>
      <c r="BB136">
        <v>189</v>
      </c>
      <c r="BC136">
        <v>204</v>
      </c>
      <c r="BD136" t="s">
        <v>74</v>
      </c>
      <c r="BE136" t="s">
        <v>2752</v>
      </c>
      <c r="BF136" t="str">
        <f>HYPERLINK("http://dx.doi.org/10.1144/SP462.12","http://dx.doi.org/10.1144/SP462.12")</f>
        <v>http://dx.doi.org/10.1144/SP462.12</v>
      </c>
      <c r="BG136" t="s">
        <v>74</v>
      </c>
      <c r="BH136" t="s">
        <v>74</v>
      </c>
      <c r="BI136">
        <v>16</v>
      </c>
      <c r="BJ136" t="s">
        <v>2592</v>
      </c>
      <c r="BK136" t="s">
        <v>1801</v>
      </c>
      <c r="BL136" t="s">
        <v>281</v>
      </c>
      <c r="BM136" t="s">
        <v>2593</v>
      </c>
      <c r="BN136" t="s">
        <v>74</v>
      </c>
      <c r="BO136" t="s">
        <v>389</v>
      </c>
      <c r="BP136" t="s">
        <v>74</v>
      </c>
      <c r="BQ136" t="s">
        <v>74</v>
      </c>
      <c r="BR136" t="s">
        <v>105</v>
      </c>
      <c r="BS136" t="s">
        <v>2753</v>
      </c>
      <c r="BT136" t="str">
        <f>HYPERLINK("https%3A%2F%2Fwww.webofscience.com%2Fwos%2Fwoscc%2Ffull-record%2FWOS:000460278200013","View Full Record in Web of Science")</f>
        <v>View Full Record in Web of Science</v>
      </c>
    </row>
    <row r="137" spans="1:72" x14ac:dyDescent="0.15">
      <c r="A137" t="s">
        <v>1776</v>
      </c>
      <c r="B137" t="s">
        <v>2754</v>
      </c>
      <c r="C137" t="s">
        <v>74</v>
      </c>
      <c r="D137" t="s">
        <v>2755</v>
      </c>
      <c r="E137" t="s">
        <v>74</v>
      </c>
      <c r="F137" t="s">
        <v>2756</v>
      </c>
      <c r="G137" t="s">
        <v>74</v>
      </c>
      <c r="H137" t="s">
        <v>74</v>
      </c>
      <c r="I137" t="s">
        <v>2757</v>
      </c>
      <c r="J137" t="s">
        <v>2758</v>
      </c>
      <c r="K137" t="s">
        <v>2759</v>
      </c>
      <c r="L137" t="s">
        <v>74</v>
      </c>
      <c r="M137" t="s">
        <v>78</v>
      </c>
      <c r="N137" t="s">
        <v>1782</v>
      </c>
      <c r="O137" t="s">
        <v>2760</v>
      </c>
      <c r="P137" t="s">
        <v>2761</v>
      </c>
      <c r="Q137" t="s">
        <v>2762</v>
      </c>
      <c r="R137" t="s">
        <v>74</v>
      </c>
      <c r="S137" t="s">
        <v>2763</v>
      </c>
      <c r="T137" t="s">
        <v>2764</v>
      </c>
      <c r="U137" t="s">
        <v>2765</v>
      </c>
      <c r="V137" t="s">
        <v>2766</v>
      </c>
      <c r="W137" t="s">
        <v>2767</v>
      </c>
      <c r="X137" t="s">
        <v>2768</v>
      </c>
      <c r="Y137" t="s">
        <v>2769</v>
      </c>
      <c r="Z137" t="s">
        <v>2770</v>
      </c>
      <c r="AA137" t="s">
        <v>2771</v>
      </c>
      <c r="AB137" t="s">
        <v>2772</v>
      </c>
      <c r="AC137" t="s">
        <v>2773</v>
      </c>
      <c r="AD137" t="s">
        <v>2774</v>
      </c>
      <c r="AE137" t="s">
        <v>2775</v>
      </c>
      <c r="AF137" t="s">
        <v>74</v>
      </c>
      <c r="AG137">
        <v>10</v>
      </c>
      <c r="AH137">
        <v>1</v>
      </c>
      <c r="AI137">
        <v>1</v>
      </c>
      <c r="AJ137">
        <v>0</v>
      </c>
      <c r="AK137">
        <v>5</v>
      </c>
      <c r="AL137" t="s">
        <v>1778</v>
      </c>
      <c r="AM137" t="s">
        <v>1797</v>
      </c>
      <c r="AN137" t="s">
        <v>1798</v>
      </c>
      <c r="AO137" t="s">
        <v>2776</v>
      </c>
      <c r="AP137" t="s">
        <v>74</v>
      </c>
      <c r="AQ137" t="s">
        <v>2777</v>
      </c>
      <c r="AR137" t="s">
        <v>2778</v>
      </c>
      <c r="AS137" t="s">
        <v>74</v>
      </c>
      <c r="AT137" t="s">
        <v>74</v>
      </c>
      <c r="AU137">
        <v>2018</v>
      </c>
      <c r="AV137" t="s">
        <v>74</v>
      </c>
      <c r="AW137" t="s">
        <v>74</v>
      </c>
      <c r="AX137" t="s">
        <v>74</v>
      </c>
      <c r="AY137" t="s">
        <v>74</v>
      </c>
      <c r="AZ137" t="s">
        <v>74</v>
      </c>
      <c r="BA137" t="s">
        <v>74</v>
      </c>
      <c r="BB137" t="s">
        <v>74</v>
      </c>
      <c r="BC137" t="s">
        <v>74</v>
      </c>
      <c r="BD137" t="s">
        <v>74</v>
      </c>
      <c r="BE137" t="s">
        <v>74</v>
      </c>
      <c r="BF137" t="s">
        <v>74</v>
      </c>
      <c r="BG137" t="s">
        <v>74</v>
      </c>
      <c r="BH137" t="s">
        <v>74</v>
      </c>
      <c r="BI137">
        <v>4</v>
      </c>
      <c r="BJ137" t="s">
        <v>2229</v>
      </c>
      <c r="BK137" t="s">
        <v>1801</v>
      </c>
      <c r="BL137" t="s">
        <v>2155</v>
      </c>
      <c r="BM137" t="s">
        <v>2779</v>
      </c>
      <c r="BN137" t="s">
        <v>74</v>
      </c>
      <c r="BO137" t="s">
        <v>74</v>
      </c>
      <c r="BP137" t="s">
        <v>74</v>
      </c>
      <c r="BQ137" t="s">
        <v>74</v>
      </c>
      <c r="BR137" t="s">
        <v>105</v>
      </c>
      <c r="BS137" t="s">
        <v>2780</v>
      </c>
      <c r="BT137" t="str">
        <f>HYPERLINK("https%3A%2F%2Fwww.webofscience.com%2Fwos%2Fwoscc%2Ffull-record%2FWOS:000459847200124","View Full Record in Web of Science")</f>
        <v>View Full Record in Web of Science</v>
      </c>
    </row>
    <row r="138" spans="1:72" x14ac:dyDescent="0.15">
      <c r="A138" t="s">
        <v>2085</v>
      </c>
      <c r="B138" t="s">
        <v>2781</v>
      </c>
      <c r="C138" t="s">
        <v>74</v>
      </c>
      <c r="D138" t="s">
        <v>2782</v>
      </c>
      <c r="E138" t="s">
        <v>74</v>
      </c>
      <c r="F138" t="s">
        <v>2783</v>
      </c>
      <c r="G138" t="s">
        <v>74</v>
      </c>
      <c r="H138" t="s">
        <v>74</v>
      </c>
      <c r="I138" t="s">
        <v>2784</v>
      </c>
      <c r="J138" t="s">
        <v>2785</v>
      </c>
      <c r="K138" t="s">
        <v>2786</v>
      </c>
      <c r="L138" t="s">
        <v>74</v>
      </c>
      <c r="M138" t="s">
        <v>78</v>
      </c>
      <c r="N138" t="s">
        <v>1862</v>
      </c>
      <c r="O138" t="s">
        <v>74</v>
      </c>
      <c r="P138" t="s">
        <v>74</v>
      </c>
      <c r="Q138" t="s">
        <v>74</v>
      </c>
      <c r="R138" t="s">
        <v>74</v>
      </c>
      <c r="S138" t="s">
        <v>74</v>
      </c>
      <c r="T138" t="s">
        <v>74</v>
      </c>
      <c r="U138" t="s">
        <v>2787</v>
      </c>
      <c r="V138" t="s">
        <v>74</v>
      </c>
      <c r="W138" t="s">
        <v>2788</v>
      </c>
      <c r="X138" t="s">
        <v>2789</v>
      </c>
      <c r="Y138" t="s">
        <v>2790</v>
      </c>
      <c r="Z138" t="s">
        <v>74</v>
      </c>
      <c r="AA138" t="s">
        <v>74</v>
      </c>
      <c r="AB138" t="s">
        <v>74</v>
      </c>
      <c r="AC138" t="s">
        <v>74</v>
      </c>
      <c r="AD138" t="s">
        <v>74</v>
      </c>
      <c r="AE138" t="s">
        <v>74</v>
      </c>
      <c r="AF138" t="s">
        <v>74</v>
      </c>
      <c r="AG138">
        <v>64</v>
      </c>
      <c r="AH138">
        <v>0</v>
      </c>
      <c r="AI138">
        <v>0</v>
      </c>
      <c r="AJ138">
        <v>0</v>
      </c>
      <c r="AK138">
        <v>1</v>
      </c>
      <c r="AL138" t="s">
        <v>2791</v>
      </c>
      <c r="AM138" t="s">
        <v>2792</v>
      </c>
      <c r="AN138" t="s">
        <v>2793</v>
      </c>
      <c r="AO138" t="s">
        <v>74</v>
      </c>
      <c r="AP138" t="s">
        <v>74</v>
      </c>
      <c r="AQ138" t="s">
        <v>2794</v>
      </c>
      <c r="AR138" t="s">
        <v>2795</v>
      </c>
      <c r="AS138" t="s">
        <v>74</v>
      </c>
      <c r="AT138" t="s">
        <v>74</v>
      </c>
      <c r="AU138">
        <v>2018</v>
      </c>
      <c r="AV138" t="s">
        <v>74</v>
      </c>
      <c r="AW138" t="s">
        <v>74</v>
      </c>
      <c r="AX138" t="s">
        <v>74</v>
      </c>
      <c r="AY138" t="s">
        <v>74</v>
      </c>
      <c r="AZ138" t="s">
        <v>74</v>
      </c>
      <c r="BA138" t="s">
        <v>74</v>
      </c>
      <c r="BB138">
        <v>139</v>
      </c>
      <c r="BC138">
        <v>164</v>
      </c>
      <c r="BD138" t="s">
        <v>74</v>
      </c>
      <c r="BE138" t="s">
        <v>2796</v>
      </c>
      <c r="BF138" t="str">
        <f>HYPERLINK("http://dx.doi.org/10.1007/978-3-319-91617-0_7","http://dx.doi.org/10.1007/978-3-319-91617-0_7")</f>
        <v>http://dx.doi.org/10.1007/978-3-319-91617-0_7</v>
      </c>
      <c r="BG138" t="s">
        <v>2797</v>
      </c>
      <c r="BH138" t="s">
        <v>74</v>
      </c>
      <c r="BI138">
        <v>26</v>
      </c>
      <c r="BJ138" t="s">
        <v>2798</v>
      </c>
      <c r="BK138" t="s">
        <v>2799</v>
      </c>
      <c r="BL138" t="s">
        <v>2800</v>
      </c>
      <c r="BM138" t="s">
        <v>2801</v>
      </c>
      <c r="BN138" t="s">
        <v>74</v>
      </c>
      <c r="BO138" t="s">
        <v>74</v>
      </c>
      <c r="BP138" t="s">
        <v>74</v>
      </c>
      <c r="BQ138" t="s">
        <v>74</v>
      </c>
      <c r="BR138" t="s">
        <v>105</v>
      </c>
      <c r="BS138" t="s">
        <v>2802</v>
      </c>
      <c r="BT138" t="str">
        <f>HYPERLINK("https%3A%2F%2Fwww.webofscience.com%2Fwos%2Fwoscc%2Ffull-record%2FWOS:000457316100007","View Full Record in Web of Science")</f>
        <v>View Full Record in Web of Science</v>
      </c>
    </row>
    <row r="139" spans="1:72" x14ac:dyDescent="0.15">
      <c r="A139" t="s">
        <v>1776</v>
      </c>
      <c r="B139" t="s">
        <v>2803</v>
      </c>
      <c r="C139" t="s">
        <v>74</v>
      </c>
      <c r="D139" t="s">
        <v>2804</v>
      </c>
      <c r="E139" t="s">
        <v>74</v>
      </c>
      <c r="F139" t="s">
        <v>2805</v>
      </c>
      <c r="G139" t="s">
        <v>74</v>
      </c>
      <c r="H139" t="s">
        <v>74</v>
      </c>
      <c r="I139" t="s">
        <v>2806</v>
      </c>
      <c r="J139" t="s">
        <v>2807</v>
      </c>
      <c r="K139" t="s">
        <v>2808</v>
      </c>
      <c r="L139" t="s">
        <v>74</v>
      </c>
      <c r="M139" t="s">
        <v>78</v>
      </c>
      <c r="N139" t="s">
        <v>1782</v>
      </c>
      <c r="O139" t="s">
        <v>2809</v>
      </c>
      <c r="P139" t="s">
        <v>2810</v>
      </c>
      <c r="Q139" t="s">
        <v>2811</v>
      </c>
      <c r="R139" t="s">
        <v>74</v>
      </c>
      <c r="S139" t="s">
        <v>74</v>
      </c>
      <c r="T139" t="s">
        <v>2812</v>
      </c>
      <c r="U139" t="s">
        <v>2813</v>
      </c>
      <c r="V139" t="s">
        <v>2814</v>
      </c>
      <c r="W139" t="s">
        <v>2815</v>
      </c>
      <c r="X139" t="s">
        <v>2816</v>
      </c>
      <c r="Y139" t="s">
        <v>2817</v>
      </c>
      <c r="Z139" t="s">
        <v>2818</v>
      </c>
      <c r="AA139" t="s">
        <v>2819</v>
      </c>
      <c r="AB139" t="s">
        <v>2820</v>
      </c>
      <c r="AC139" t="s">
        <v>74</v>
      </c>
      <c r="AD139" t="s">
        <v>74</v>
      </c>
      <c r="AE139" t="s">
        <v>74</v>
      </c>
      <c r="AF139" t="s">
        <v>74</v>
      </c>
      <c r="AG139">
        <v>5</v>
      </c>
      <c r="AH139">
        <v>2</v>
      </c>
      <c r="AI139">
        <v>2</v>
      </c>
      <c r="AJ139">
        <v>0</v>
      </c>
      <c r="AK139">
        <v>3</v>
      </c>
      <c r="AL139" t="s">
        <v>2821</v>
      </c>
      <c r="AM139" t="s">
        <v>2822</v>
      </c>
      <c r="AN139" t="s">
        <v>2823</v>
      </c>
      <c r="AO139" t="s">
        <v>2824</v>
      </c>
      <c r="AP139" t="s">
        <v>2825</v>
      </c>
      <c r="AQ139" t="s">
        <v>2826</v>
      </c>
      <c r="AR139" t="s">
        <v>2827</v>
      </c>
      <c r="AS139" t="s">
        <v>74</v>
      </c>
      <c r="AT139" t="s">
        <v>74</v>
      </c>
      <c r="AU139">
        <v>2018</v>
      </c>
      <c r="AV139">
        <v>10833</v>
      </c>
      <c r="AW139" t="s">
        <v>74</v>
      </c>
      <c r="AX139" t="s">
        <v>74</v>
      </c>
      <c r="AY139" t="s">
        <v>74</v>
      </c>
      <c r="AZ139" t="s">
        <v>74</v>
      </c>
      <c r="BA139" t="s">
        <v>74</v>
      </c>
      <c r="BB139" t="s">
        <v>74</v>
      </c>
      <c r="BC139" t="s">
        <v>74</v>
      </c>
      <c r="BD139" t="s">
        <v>2828</v>
      </c>
      <c r="BE139" t="s">
        <v>2829</v>
      </c>
      <c r="BF139" t="str">
        <f>HYPERLINK("http://dx.doi.org/10.1117/12.2501847","http://dx.doi.org/10.1117/12.2501847")</f>
        <v>http://dx.doi.org/10.1117/12.2501847</v>
      </c>
      <c r="BG139" t="s">
        <v>74</v>
      </c>
      <c r="BH139" t="s">
        <v>74</v>
      </c>
      <c r="BI139">
        <v>6</v>
      </c>
      <c r="BJ139" t="s">
        <v>2830</v>
      </c>
      <c r="BK139" t="s">
        <v>1801</v>
      </c>
      <c r="BL139" t="s">
        <v>2830</v>
      </c>
      <c r="BM139" t="s">
        <v>2831</v>
      </c>
      <c r="BN139" t="s">
        <v>74</v>
      </c>
      <c r="BO139" t="s">
        <v>74</v>
      </c>
      <c r="BP139" t="s">
        <v>74</v>
      </c>
      <c r="BQ139" t="s">
        <v>74</v>
      </c>
      <c r="BR139" t="s">
        <v>105</v>
      </c>
      <c r="BS139" t="s">
        <v>2832</v>
      </c>
      <c r="BT139" t="str">
        <f>HYPERLINK("https%3A%2F%2Fwww.webofscience.com%2Fwos%2Fwoscc%2Ffull-record%2FWOS:000459714100111","View Full Record in Web of Science")</f>
        <v>View Full Record in Web of Science</v>
      </c>
    </row>
    <row r="140" spans="1:72" x14ac:dyDescent="0.15">
      <c r="A140" t="s">
        <v>1776</v>
      </c>
      <c r="B140" t="s">
        <v>2833</v>
      </c>
      <c r="C140" t="s">
        <v>74</v>
      </c>
      <c r="D140" t="s">
        <v>2804</v>
      </c>
      <c r="E140" t="s">
        <v>74</v>
      </c>
      <c r="F140" t="s">
        <v>2834</v>
      </c>
      <c r="G140" t="s">
        <v>74</v>
      </c>
      <c r="H140" t="s">
        <v>74</v>
      </c>
      <c r="I140" t="s">
        <v>2835</v>
      </c>
      <c r="J140" t="s">
        <v>2807</v>
      </c>
      <c r="K140" t="s">
        <v>2808</v>
      </c>
      <c r="L140" t="s">
        <v>74</v>
      </c>
      <c r="M140" t="s">
        <v>78</v>
      </c>
      <c r="N140" t="s">
        <v>1782</v>
      </c>
      <c r="O140" t="s">
        <v>2809</v>
      </c>
      <c r="P140" t="s">
        <v>2810</v>
      </c>
      <c r="Q140" t="s">
        <v>2811</v>
      </c>
      <c r="R140" t="s">
        <v>74</v>
      </c>
      <c r="S140" t="s">
        <v>74</v>
      </c>
      <c r="T140" t="s">
        <v>2836</v>
      </c>
      <c r="U140" t="s">
        <v>2837</v>
      </c>
      <c r="V140" t="s">
        <v>2838</v>
      </c>
      <c r="W140" t="s">
        <v>2839</v>
      </c>
      <c r="X140" t="s">
        <v>2840</v>
      </c>
      <c r="Y140" t="s">
        <v>2841</v>
      </c>
      <c r="Z140" t="s">
        <v>2842</v>
      </c>
      <c r="AA140" t="s">
        <v>2843</v>
      </c>
      <c r="AB140" t="s">
        <v>2844</v>
      </c>
      <c r="AC140" t="s">
        <v>2845</v>
      </c>
      <c r="AD140" t="s">
        <v>2846</v>
      </c>
      <c r="AE140" t="s">
        <v>2847</v>
      </c>
      <c r="AF140" t="s">
        <v>74</v>
      </c>
      <c r="AG140">
        <v>14</v>
      </c>
      <c r="AH140">
        <v>0</v>
      </c>
      <c r="AI140">
        <v>0</v>
      </c>
      <c r="AJ140">
        <v>0</v>
      </c>
      <c r="AK140">
        <v>2</v>
      </c>
      <c r="AL140" t="s">
        <v>2821</v>
      </c>
      <c r="AM140" t="s">
        <v>2822</v>
      </c>
      <c r="AN140" t="s">
        <v>2823</v>
      </c>
      <c r="AO140" t="s">
        <v>2824</v>
      </c>
      <c r="AP140" t="s">
        <v>2825</v>
      </c>
      <c r="AQ140" t="s">
        <v>2826</v>
      </c>
      <c r="AR140" t="s">
        <v>2827</v>
      </c>
      <c r="AS140" t="s">
        <v>74</v>
      </c>
      <c r="AT140" t="s">
        <v>74</v>
      </c>
      <c r="AU140">
        <v>2018</v>
      </c>
      <c r="AV140">
        <v>10833</v>
      </c>
      <c r="AW140" t="s">
        <v>74</v>
      </c>
      <c r="AX140" t="s">
        <v>74</v>
      </c>
      <c r="AY140" t="s">
        <v>74</v>
      </c>
      <c r="AZ140" t="s">
        <v>74</v>
      </c>
      <c r="BA140" t="s">
        <v>74</v>
      </c>
      <c r="BB140" t="s">
        <v>74</v>
      </c>
      <c r="BC140" t="s">
        <v>74</v>
      </c>
      <c r="BD140" t="s">
        <v>2848</v>
      </c>
      <c r="BE140" t="s">
        <v>2849</v>
      </c>
      <c r="BF140" t="str">
        <f>HYPERLINK("http://dx.doi.org/10.1117/12.2504299","http://dx.doi.org/10.1117/12.2504299")</f>
        <v>http://dx.doi.org/10.1117/12.2504299</v>
      </c>
      <c r="BG140" t="s">
        <v>74</v>
      </c>
      <c r="BH140" t="s">
        <v>74</v>
      </c>
      <c r="BI140">
        <v>4</v>
      </c>
      <c r="BJ140" t="s">
        <v>2830</v>
      </c>
      <c r="BK140" t="s">
        <v>1801</v>
      </c>
      <c r="BL140" t="s">
        <v>2830</v>
      </c>
      <c r="BM140" t="s">
        <v>2831</v>
      </c>
      <c r="BN140" t="s">
        <v>74</v>
      </c>
      <c r="BO140" t="s">
        <v>74</v>
      </c>
      <c r="BP140" t="s">
        <v>74</v>
      </c>
      <c r="BQ140" t="s">
        <v>74</v>
      </c>
      <c r="BR140" t="s">
        <v>105</v>
      </c>
      <c r="BS140" t="s">
        <v>2850</v>
      </c>
      <c r="BT140" t="str">
        <f>HYPERLINK("https%3A%2F%2Fwww.webofscience.com%2Fwos%2Fwoscc%2Ffull-record%2FWOS:000459714100007","View Full Record in Web of Science")</f>
        <v>View Full Record in Web of Science</v>
      </c>
    </row>
    <row r="141" spans="1:72" x14ac:dyDescent="0.15">
      <c r="A141" t="s">
        <v>1776</v>
      </c>
      <c r="B141" t="s">
        <v>2851</v>
      </c>
      <c r="C141" t="s">
        <v>74</v>
      </c>
      <c r="D141" t="s">
        <v>2804</v>
      </c>
      <c r="E141" t="s">
        <v>74</v>
      </c>
      <c r="F141" t="s">
        <v>2852</v>
      </c>
      <c r="G141" t="s">
        <v>74</v>
      </c>
      <c r="H141" t="s">
        <v>74</v>
      </c>
      <c r="I141" t="s">
        <v>2853</v>
      </c>
      <c r="J141" t="s">
        <v>2807</v>
      </c>
      <c r="K141" t="s">
        <v>2808</v>
      </c>
      <c r="L141" t="s">
        <v>74</v>
      </c>
      <c r="M141" t="s">
        <v>78</v>
      </c>
      <c r="N141" t="s">
        <v>1782</v>
      </c>
      <c r="O141" t="s">
        <v>2809</v>
      </c>
      <c r="P141" t="s">
        <v>2810</v>
      </c>
      <c r="Q141" t="s">
        <v>2811</v>
      </c>
      <c r="R141" t="s">
        <v>74</v>
      </c>
      <c r="S141" t="s">
        <v>74</v>
      </c>
      <c r="T141" t="s">
        <v>2854</v>
      </c>
      <c r="U141" t="s">
        <v>74</v>
      </c>
      <c r="V141" t="s">
        <v>2855</v>
      </c>
      <c r="W141" t="s">
        <v>2856</v>
      </c>
      <c r="X141" t="s">
        <v>2857</v>
      </c>
      <c r="Y141" t="s">
        <v>2858</v>
      </c>
      <c r="Z141" t="s">
        <v>2859</v>
      </c>
      <c r="AA141" t="s">
        <v>2860</v>
      </c>
      <c r="AB141" t="s">
        <v>2861</v>
      </c>
      <c r="AC141" t="s">
        <v>2862</v>
      </c>
      <c r="AD141" t="s">
        <v>2863</v>
      </c>
      <c r="AE141" t="s">
        <v>2864</v>
      </c>
      <c r="AF141" t="s">
        <v>74</v>
      </c>
      <c r="AG141">
        <v>11</v>
      </c>
      <c r="AH141">
        <v>3</v>
      </c>
      <c r="AI141">
        <v>5</v>
      </c>
      <c r="AJ141">
        <v>0</v>
      </c>
      <c r="AK141">
        <v>7</v>
      </c>
      <c r="AL141" t="s">
        <v>2821</v>
      </c>
      <c r="AM141" t="s">
        <v>2822</v>
      </c>
      <c r="AN141" t="s">
        <v>2823</v>
      </c>
      <c r="AO141" t="s">
        <v>2824</v>
      </c>
      <c r="AP141" t="s">
        <v>2825</v>
      </c>
      <c r="AQ141" t="s">
        <v>2826</v>
      </c>
      <c r="AR141" t="s">
        <v>2827</v>
      </c>
      <c r="AS141" t="s">
        <v>74</v>
      </c>
      <c r="AT141" t="s">
        <v>74</v>
      </c>
      <c r="AU141">
        <v>2018</v>
      </c>
      <c r="AV141">
        <v>10833</v>
      </c>
      <c r="AW141" t="s">
        <v>74</v>
      </c>
      <c r="AX141" t="s">
        <v>74</v>
      </c>
      <c r="AY141" t="s">
        <v>74</v>
      </c>
      <c r="AZ141" t="s">
        <v>74</v>
      </c>
      <c r="BA141" t="s">
        <v>74</v>
      </c>
      <c r="BB141" t="s">
        <v>74</v>
      </c>
      <c r="BC141" t="s">
        <v>74</v>
      </c>
      <c r="BD141" t="s">
        <v>2865</v>
      </c>
      <c r="BE141" t="s">
        <v>2866</v>
      </c>
      <c r="BF141" t="str">
        <f>HYPERLINK("http://dx.doi.org/10.1117/12.2502013","http://dx.doi.org/10.1117/12.2502013")</f>
        <v>http://dx.doi.org/10.1117/12.2502013</v>
      </c>
      <c r="BG141" t="s">
        <v>74</v>
      </c>
      <c r="BH141" t="s">
        <v>74</v>
      </c>
      <c r="BI141">
        <v>6</v>
      </c>
      <c r="BJ141" t="s">
        <v>2830</v>
      </c>
      <c r="BK141" t="s">
        <v>1801</v>
      </c>
      <c r="BL141" t="s">
        <v>2830</v>
      </c>
      <c r="BM141" t="s">
        <v>2831</v>
      </c>
      <c r="BN141" t="s">
        <v>74</v>
      </c>
      <c r="BO141" t="s">
        <v>74</v>
      </c>
      <c r="BP141" t="s">
        <v>74</v>
      </c>
      <c r="BQ141" t="s">
        <v>74</v>
      </c>
      <c r="BR141" t="s">
        <v>105</v>
      </c>
      <c r="BS141" t="s">
        <v>2867</v>
      </c>
      <c r="BT141" t="str">
        <f>HYPERLINK("https%3A%2F%2Fwww.webofscience.com%2Fwos%2Fwoscc%2Ffull-record%2FWOS:000459714100115","View Full Record in Web of Science")</f>
        <v>View Full Record in Web of Science</v>
      </c>
    </row>
    <row r="142" spans="1:72" x14ac:dyDescent="0.15">
      <c r="A142" t="s">
        <v>1776</v>
      </c>
      <c r="B142" t="s">
        <v>2868</v>
      </c>
      <c r="C142" t="s">
        <v>74</v>
      </c>
      <c r="D142" t="s">
        <v>2804</v>
      </c>
      <c r="E142" t="s">
        <v>74</v>
      </c>
      <c r="F142" t="s">
        <v>2869</v>
      </c>
      <c r="G142" t="s">
        <v>74</v>
      </c>
      <c r="H142" t="s">
        <v>74</v>
      </c>
      <c r="I142" t="s">
        <v>2870</v>
      </c>
      <c r="J142" t="s">
        <v>2807</v>
      </c>
      <c r="K142" t="s">
        <v>2808</v>
      </c>
      <c r="L142" t="s">
        <v>74</v>
      </c>
      <c r="M142" t="s">
        <v>78</v>
      </c>
      <c r="N142" t="s">
        <v>1782</v>
      </c>
      <c r="O142" t="s">
        <v>2809</v>
      </c>
      <c r="P142" t="s">
        <v>2810</v>
      </c>
      <c r="Q142" t="s">
        <v>2811</v>
      </c>
      <c r="R142" t="s">
        <v>74</v>
      </c>
      <c r="S142" t="s">
        <v>74</v>
      </c>
      <c r="T142" t="s">
        <v>2871</v>
      </c>
      <c r="U142" t="s">
        <v>74</v>
      </c>
      <c r="V142" t="s">
        <v>2872</v>
      </c>
      <c r="W142" t="s">
        <v>2873</v>
      </c>
      <c r="X142" t="s">
        <v>2816</v>
      </c>
      <c r="Y142" t="s">
        <v>2858</v>
      </c>
      <c r="Z142" t="s">
        <v>2859</v>
      </c>
      <c r="AA142" t="s">
        <v>2874</v>
      </c>
      <c r="AB142" t="s">
        <v>74</v>
      </c>
      <c r="AC142" t="s">
        <v>74</v>
      </c>
      <c r="AD142" t="s">
        <v>74</v>
      </c>
      <c r="AE142" t="s">
        <v>74</v>
      </c>
      <c r="AF142" t="s">
        <v>74</v>
      </c>
      <c r="AG142">
        <v>9</v>
      </c>
      <c r="AH142">
        <v>2</v>
      </c>
      <c r="AI142">
        <v>2</v>
      </c>
      <c r="AJ142">
        <v>0</v>
      </c>
      <c r="AK142">
        <v>8</v>
      </c>
      <c r="AL142" t="s">
        <v>2821</v>
      </c>
      <c r="AM142" t="s">
        <v>2822</v>
      </c>
      <c r="AN142" t="s">
        <v>2823</v>
      </c>
      <c r="AO142" t="s">
        <v>2824</v>
      </c>
      <c r="AP142" t="s">
        <v>2825</v>
      </c>
      <c r="AQ142" t="s">
        <v>2826</v>
      </c>
      <c r="AR142" t="s">
        <v>2827</v>
      </c>
      <c r="AS142" t="s">
        <v>74</v>
      </c>
      <c r="AT142" t="s">
        <v>74</v>
      </c>
      <c r="AU142">
        <v>2018</v>
      </c>
      <c r="AV142">
        <v>10833</v>
      </c>
      <c r="AW142" t="s">
        <v>74</v>
      </c>
      <c r="AX142" t="s">
        <v>74</v>
      </c>
      <c r="AY142" t="s">
        <v>74</v>
      </c>
      <c r="AZ142" t="s">
        <v>74</v>
      </c>
      <c r="BA142" t="s">
        <v>74</v>
      </c>
      <c r="BB142" t="s">
        <v>74</v>
      </c>
      <c r="BC142" t="s">
        <v>74</v>
      </c>
      <c r="BD142" t="s">
        <v>2875</v>
      </c>
      <c r="BE142" t="s">
        <v>2876</v>
      </c>
      <c r="BF142" t="str">
        <f>HYPERLINK("http://dx.doi.org/10.1117/12.2502032","http://dx.doi.org/10.1117/12.2502032")</f>
        <v>http://dx.doi.org/10.1117/12.2502032</v>
      </c>
      <c r="BG142" t="s">
        <v>74</v>
      </c>
      <c r="BH142" t="s">
        <v>74</v>
      </c>
      <c r="BI142">
        <v>6</v>
      </c>
      <c r="BJ142" t="s">
        <v>2830</v>
      </c>
      <c r="BK142" t="s">
        <v>1801</v>
      </c>
      <c r="BL142" t="s">
        <v>2830</v>
      </c>
      <c r="BM142" t="s">
        <v>2831</v>
      </c>
      <c r="BN142" t="s">
        <v>74</v>
      </c>
      <c r="BO142" t="s">
        <v>74</v>
      </c>
      <c r="BP142" t="s">
        <v>74</v>
      </c>
      <c r="BQ142" t="s">
        <v>74</v>
      </c>
      <c r="BR142" t="s">
        <v>105</v>
      </c>
      <c r="BS142" t="s">
        <v>2877</v>
      </c>
      <c r="BT142" t="str">
        <f>HYPERLINK("https%3A%2F%2Fwww.webofscience.com%2Fwos%2Fwoscc%2Ffull-record%2FWOS:000459714100117","View Full Record in Web of Science")</f>
        <v>View Full Record in Web of Science</v>
      </c>
    </row>
    <row r="143" spans="1:72" x14ac:dyDescent="0.15">
      <c r="A143" t="s">
        <v>1776</v>
      </c>
      <c r="B143" t="s">
        <v>2878</v>
      </c>
      <c r="C143" t="s">
        <v>74</v>
      </c>
      <c r="D143" t="s">
        <v>2804</v>
      </c>
      <c r="E143" t="s">
        <v>74</v>
      </c>
      <c r="F143" t="s">
        <v>2879</v>
      </c>
      <c r="G143" t="s">
        <v>74</v>
      </c>
      <c r="H143" t="s">
        <v>74</v>
      </c>
      <c r="I143" t="s">
        <v>2880</v>
      </c>
      <c r="J143" t="s">
        <v>2807</v>
      </c>
      <c r="K143" t="s">
        <v>2808</v>
      </c>
      <c r="L143" t="s">
        <v>74</v>
      </c>
      <c r="M143" t="s">
        <v>78</v>
      </c>
      <c r="N143" t="s">
        <v>1782</v>
      </c>
      <c r="O143" t="s">
        <v>2809</v>
      </c>
      <c r="P143" t="s">
        <v>2810</v>
      </c>
      <c r="Q143" t="s">
        <v>2811</v>
      </c>
      <c r="R143" t="s">
        <v>74</v>
      </c>
      <c r="S143" t="s">
        <v>74</v>
      </c>
      <c r="T143" t="s">
        <v>2881</v>
      </c>
      <c r="U143" t="s">
        <v>2882</v>
      </c>
      <c r="V143" t="s">
        <v>2883</v>
      </c>
      <c r="W143" t="s">
        <v>2884</v>
      </c>
      <c r="X143" t="s">
        <v>2857</v>
      </c>
      <c r="Y143" t="s">
        <v>2858</v>
      </c>
      <c r="Z143" t="s">
        <v>2859</v>
      </c>
      <c r="AA143" t="s">
        <v>2885</v>
      </c>
      <c r="AB143" t="s">
        <v>2886</v>
      </c>
      <c r="AC143" t="s">
        <v>2862</v>
      </c>
      <c r="AD143" t="s">
        <v>2863</v>
      </c>
      <c r="AE143" t="s">
        <v>2887</v>
      </c>
      <c r="AF143" t="s">
        <v>74</v>
      </c>
      <c r="AG143">
        <v>17</v>
      </c>
      <c r="AH143">
        <v>0</v>
      </c>
      <c r="AI143">
        <v>0</v>
      </c>
      <c r="AJ143">
        <v>1</v>
      </c>
      <c r="AK143">
        <v>10</v>
      </c>
      <c r="AL143" t="s">
        <v>2821</v>
      </c>
      <c r="AM143" t="s">
        <v>2822</v>
      </c>
      <c r="AN143" t="s">
        <v>2823</v>
      </c>
      <c r="AO143" t="s">
        <v>2824</v>
      </c>
      <c r="AP143" t="s">
        <v>2825</v>
      </c>
      <c r="AQ143" t="s">
        <v>2826</v>
      </c>
      <c r="AR143" t="s">
        <v>2827</v>
      </c>
      <c r="AS143" t="s">
        <v>74</v>
      </c>
      <c r="AT143" t="s">
        <v>74</v>
      </c>
      <c r="AU143">
        <v>2018</v>
      </c>
      <c r="AV143">
        <v>10833</v>
      </c>
      <c r="AW143" t="s">
        <v>74</v>
      </c>
      <c r="AX143" t="s">
        <v>74</v>
      </c>
      <c r="AY143" t="s">
        <v>74</v>
      </c>
      <c r="AZ143" t="s">
        <v>74</v>
      </c>
      <c r="BA143" t="s">
        <v>74</v>
      </c>
      <c r="BB143" t="s">
        <v>74</v>
      </c>
      <c r="BC143" t="s">
        <v>74</v>
      </c>
      <c r="BD143" t="s">
        <v>2888</v>
      </c>
      <c r="BE143" t="s">
        <v>2889</v>
      </c>
      <c r="BF143" t="str">
        <f>HYPERLINK("http://dx.doi.org/10.1117/12.2502011","http://dx.doi.org/10.1117/12.2502011")</f>
        <v>http://dx.doi.org/10.1117/12.2502011</v>
      </c>
      <c r="BG143" t="s">
        <v>74</v>
      </c>
      <c r="BH143" t="s">
        <v>74</v>
      </c>
      <c r="BI143">
        <v>6</v>
      </c>
      <c r="BJ143" t="s">
        <v>2830</v>
      </c>
      <c r="BK143" t="s">
        <v>1801</v>
      </c>
      <c r="BL143" t="s">
        <v>2830</v>
      </c>
      <c r="BM143" t="s">
        <v>2831</v>
      </c>
      <c r="BN143" t="s">
        <v>74</v>
      </c>
      <c r="BO143" t="s">
        <v>74</v>
      </c>
      <c r="BP143" t="s">
        <v>74</v>
      </c>
      <c r="BQ143" t="s">
        <v>74</v>
      </c>
      <c r="BR143" t="s">
        <v>105</v>
      </c>
      <c r="BS143" t="s">
        <v>2890</v>
      </c>
      <c r="BT143" t="str">
        <f>HYPERLINK("https%3A%2F%2Fwww.webofscience.com%2Fwos%2Fwoscc%2Ffull-record%2FWOS:000459714100114","View Full Record in Web of Science")</f>
        <v>View Full Record in Web of Science</v>
      </c>
    </row>
    <row r="144" spans="1:72" x14ac:dyDescent="0.15">
      <c r="A144" t="s">
        <v>1776</v>
      </c>
      <c r="B144" t="s">
        <v>2891</v>
      </c>
      <c r="C144" t="s">
        <v>74</v>
      </c>
      <c r="D144" t="s">
        <v>2804</v>
      </c>
      <c r="E144" t="s">
        <v>74</v>
      </c>
      <c r="F144" t="s">
        <v>2892</v>
      </c>
      <c r="G144" t="s">
        <v>74</v>
      </c>
      <c r="H144" t="s">
        <v>74</v>
      </c>
      <c r="I144" t="s">
        <v>2893</v>
      </c>
      <c r="J144" t="s">
        <v>2807</v>
      </c>
      <c r="K144" t="s">
        <v>2808</v>
      </c>
      <c r="L144" t="s">
        <v>74</v>
      </c>
      <c r="M144" t="s">
        <v>78</v>
      </c>
      <c r="N144" t="s">
        <v>1782</v>
      </c>
      <c r="O144" t="s">
        <v>2809</v>
      </c>
      <c r="P144" t="s">
        <v>2810</v>
      </c>
      <c r="Q144" t="s">
        <v>2811</v>
      </c>
      <c r="R144" t="s">
        <v>74</v>
      </c>
      <c r="S144" t="s">
        <v>74</v>
      </c>
      <c r="T144" t="s">
        <v>2894</v>
      </c>
      <c r="U144" t="s">
        <v>2895</v>
      </c>
      <c r="V144" t="s">
        <v>2896</v>
      </c>
      <c r="W144" t="s">
        <v>2897</v>
      </c>
      <c r="X144" t="s">
        <v>2898</v>
      </c>
      <c r="Y144" t="s">
        <v>2899</v>
      </c>
      <c r="Z144" t="s">
        <v>74</v>
      </c>
      <c r="AA144" t="s">
        <v>2900</v>
      </c>
      <c r="AB144" t="s">
        <v>2901</v>
      </c>
      <c r="AC144" t="s">
        <v>74</v>
      </c>
      <c r="AD144" t="s">
        <v>74</v>
      </c>
      <c r="AE144" t="s">
        <v>74</v>
      </c>
      <c r="AF144" t="s">
        <v>74</v>
      </c>
      <c r="AG144">
        <v>14</v>
      </c>
      <c r="AH144">
        <v>0</v>
      </c>
      <c r="AI144">
        <v>0</v>
      </c>
      <c r="AJ144">
        <v>1</v>
      </c>
      <c r="AK144">
        <v>4</v>
      </c>
      <c r="AL144" t="s">
        <v>2821</v>
      </c>
      <c r="AM144" t="s">
        <v>2822</v>
      </c>
      <c r="AN144" t="s">
        <v>2823</v>
      </c>
      <c r="AO144" t="s">
        <v>2824</v>
      </c>
      <c r="AP144" t="s">
        <v>2825</v>
      </c>
      <c r="AQ144" t="s">
        <v>2826</v>
      </c>
      <c r="AR144" t="s">
        <v>2827</v>
      </c>
      <c r="AS144" t="s">
        <v>74</v>
      </c>
      <c r="AT144" t="s">
        <v>74</v>
      </c>
      <c r="AU144">
        <v>2018</v>
      </c>
      <c r="AV144">
        <v>10833</v>
      </c>
      <c r="AW144" t="s">
        <v>74</v>
      </c>
      <c r="AX144" t="s">
        <v>74</v>
      </c>
      <c r="AY144" t="s">
        <v>74</v>
      </c>
      <c r="AZ144" t="s">
        <v>74</v>
      </c>
      <c r="BA144" t="s">
        <v>74</v>
      </c>
      <c r="BB144" t="s">
        <v>74</v>
      </c>
      <c r="BC144" t="s">
        <v>74</v>
      </c>
      <c r="BD144" t="s">
        <v>2902</v>
      </c>
      <c r="BE144" t="s">
        <v>2903</v>
      </c>
      <c r="BF144" t="str">
        <f>HYPERLINK("http://dx.doi.org/10.1117/12.2500158","http://dx.doi.org/10.1117/12.2500158")</f>
        <v>http://dx.doi.org/10.1117/12.2500158</v>
      </c>
      <c r="BG144" t="s">
        <v>74</v>
      </c>
      <c r="BH144" t="s">
        <v>74</v>
      </c>
      <c r="BI144">
        <v>5</v>
      </c>
      <c r="BJ144" t="s">
        <v>2830</v>
      </c>
      <c r="BK144" t="s">
        <v>1801</v>
      </c>
      <c r="BL144" t="s">
        <v>2830</v>
      </c>
      <c r="BM144" t="s">
        <v>2831</v>
      </c>
      <c r="BN144" t="s">
        <v>74</v>
      </c>
      <c r="BO144" t="s">
        <v>74</v>
      </c>
      <c r="BP144" t="s">
        <v>74</v>
      </c>
      <c r="BQ144" t="s">
        <v>74</v>
      </c>
      <c r="BR144" t="s">
        <v>105</v>
      </c>
      <c r="BS144" t="s">
        <v>2904</v>
      </c>
      <c r="BT144" t="str">
        <f>HYPERLINK("https%3A%2F%2Fwww.webofscience.com%2Fwos%2Fwoscc%2Ffull-record%2FWOS:000459714100326","View Full Record in Web of Science")</f>
        <v>View Full Record in Web of Science</v>
      </c>
    </row>
    <row r="145" spans="1:72" x14ac:dyDescent="0.15">
      <c r="A145" t="s">
        <v>72</v>
      </c>
      <c r="B145" t="s">
        <v>2905</v>
      </c>
      <c r="C145" t="s">
        <v>74</v>
      </c>
      <c r="D145" t="s">
        <v>74</v>
      </c>
      <c r="E145" t="s">
        <v>74</v>
      </c>
      <c r="F145" t="s">
        <v>2906</v>
      </c>
      <c r="G145" t="s">
        <v>74</v>
      </c>
      <c r="H145" t="s">
        <v>74</v>
      </c>
      <c r="I145" t="s">
        <v>2907</v>
      </c>
      <c r="J145" t="s">
        <v>2908</v>
      </c>
      <c r="K145" t="s">
        <v>74</v>
      </c>
      <c r="L145" t="s">
        <v>74</v>
      </c>
      <c r="M145" t="s">
        <v>78</v>
      </c>
      <c r="N145" t="s">
        <v>79</v>
      </c>
      <c r="O145" t="s">
        <v>74</v>
      </c>
      <c r="P145" t="s">
        <v>74</v>
      </c>
      <c r="Q145" t="s">
        <v>74</v>
      </c>
      <c r="R145" t="s">
        <v>74</v>
      </c>
      <c r="S145" t="s">
        <v>74</v>
      </c>
      <c r="T145" t="s">
        <v>74</v>
      </c>
      <c r="U145" t="s">
        <v>2909</v>
      </c>
      <c r="V145" t="s">
        <v>2910</v>
      </c>
      <c r="W145" t="s">
        <v>2911</v>
      </c>
      <c r="X145" t="s">
        <v>2912</v>
      </c>
      <c r="Y145" t="s">
        <v>2913</v>
      </c>
      <c r="Z145" t="s">
        <v>2914</v>
      </c>
      <c r="AA145" t="s">
        <v>2915</v>
      </c>
      <c r="AB145" t="s">
        <v>2916</v>
      </c>
      <c r="AC145" t="s">
        <v>74</v>
      </c>
      <c r="AD145" t="s">
        <v>74</v>
      </c>
      <c r="AE145" t="s">
        <v>74</v>
      </c>
      <c r="AF145" t="s">
        <v>74</v>
      </c>
      <c r="AG145">
        <v>112</v>
      </c>
      <c r="AH145">
        <v>6</v>
      </c>
      <c r="AI145">
        <v>6</v>
      </c>
      <c r="AJ145">
        <v>0</v>
      </c>
      <c r="AK145">
        <v>3</v>
      </c>
      <c r="AL145" t="s">
        <v>2917</v>
      </c>
      <c r="AM145" t="s">
        <v>1701</v>
      </c>
      <c r="AN145" t="s">
        <v>2918</v>
      </c>
      <c r="AO145" t="s">
        <v>2919</v>
      </c>
      <c r="AP145" t="s">
        <v>2920</v>
      </c>
      <c r="AQ145" t="s">
        <v>74</v>
      </c>
      <c r="AR145" t="s">
        <v>2921</v>
      </c>
      <c r="AS145" t="s">
        <v>2922</v>
      </c>
      <c r="AT145" t="s">
        <v>74</v>
      </c>
      <c r="AU145">
        <v>2018</v>
      </c>
      <c r="AV145">
        <v>27</v>
      </c>
      <c r="AW145">
        <v>1</v>
      </c>
      <c r="AX145" t="s">
        <v>74</v>
      </c>
      <c r="AY145" t="s">
        <v>74</v>
      </c>
      <c r="AZ145" t="s">
        <v>74</v>
      </c>
      <c r="BA145" t="s">
        <v>74</v>
      </c>
      <c r="BB145">
        <v>1</v>
      </c>
      <c r="BC145">
        <v>30</v>
      </c>
      <c r="BD145" t="s">
        <v>74</v>
      </c>
      <c r="BE145" t="s">
        <v>2923</v>
      </c>
      <c r="BF145" t="str">
        <f>HYPERLINK("http://dx.doi.org/10.1080/10383441.2018.1477364","http://dx.doi.org/10.1080/10383441.2018.1477364")</f>
        <v>http://dx.doi.org/10.1080/10383441.2018.1477364</v>
      </c>
      <c r="BG145" t="s">
        <v>74</v>
      </c>
      <c r="BH145" t="s">
        <v>74</v>
      </c>
      <c r="BI145">
        <v>30</v>
      </c>
      <c r="BJ145" t="s">
        <v>2924</v>
      </c>
      <c r="BK145" t="s">
        <v>2081</v>
      </c>
      <c r="BL145" t="s">
        <v>2925</v>
      </c>
      <c r="BM145" t="s">
        <v>2926</v>
      </c>
      <c r="BN145" t="s">
        <v>74</v>
      </c>
      <c r="BO145" t="s">
        <v>74</v>
      </c>
      <c r="BP145" t="s">
        <v>74</v>
      </c>
      <c r="BQ145" t="s">
        <v>74</v>
      </c>
      <c r="BR145" t="s">
        <v>105</v>
      </c>
      <c r="BS145" t="s">
        <v>2927</v>
      </c>
      <c r="BT145" t="str">
        <f>HYPERLINK("https%3A%2F%2Fwww.webofscience.com%2Fwos%2Fwoscc%2Ffull-record%2FWOS:000459677300001","View Full Record in Web of Science")</f>
        <v>View Full Record in Web of Science</v>
      </c>
    </row>
    <row r="146" spans="1:72" x14ac:dyDescent="0.15">
      <c r="A146" t="s">
        <v>1776</v>
      </c>
      <c r="B146" t="s">
        <v>2928</v>
      </c>
      <c r="C146" t="s">
        <v>74</v>
      </c>
      <c r="D146" t="s">
        <v>2929</v>
      </c>
      <c r="E146" t="s">
        <v>74</v>
      </c>
      <c r="F146" t="s">
        <v>2930</v>
      </c>
      <c r="G146" t="s">
        <v>74</v>
      </c>
      <c r="H146" t="s">
        <v>74</v>
      </c>
      <c r="I146" t="s">
        <v>2931</v>
      </c>
      <c r="J146" t="s">
        <v>2932</v>
      </c>
      <c r="K146" t="s">
        <v>2933</v>
      </c>
      <c r="L146" t="s">
        <v>74</v>
      </c>
      <c r="M146" t="s">
        <v>78</v>
      </c>
      <c r="N146" t="s">
        <v>1782</v>
      </c>
      <c r="O146" t="s">
        <v>2934</v>
      </c>
      <c r="P146" t="s">
        <v>2935</v>
      </c>
      <c r="Q146" t="s">
        <v>2936</v>
      </c>
      <c r="R146" t="s">
        <v>74</v>
      </c>
      <c r="S146" t="s">
        <v>2937</v>
      </c>
      <c r="T146" t="s">
        <v>74</v>
      </c>
      <c r="U146" t="s">
        <v>2938</v>
      </c>
      <c r="V146" t="s">
        <v>2939</v>
      </c>
      <c r="W146" t="s">
        <v>2940</v>
      </c>
      <c r="X146" t="s">
        <v>2941</v>
      </c>
      <c r="Y146" t="s">
        <v>2942</v>
      </c>
      <c r="Z146" t="s">
        <v>2943</v>
      </c>
      <c r="AA146" t="s">
        <v>2944</v>
      </c>
      <c r="AB146" t="s">
        <v>2945</v>
      </c>
      <c r="AC146" t="s">
        <v>2946</v>
      </c>
      <c r="AD146" t="s">
        <v>2947</v>
      </c>
      <c r="AE146" t="s">
        <v>2948</v>
      </c>
      <c r="AF146" t="s">
        <v>74</v>
      </c>
      <c r="AG146">
        <v>19</v>
      </c>
      <c r="AH146">
        <v>4</v>
      </c>
      <c r="AI146">
        <v>5</v>
      </c>
      <c r="AJ146">
        <v>1</v>
      </c>
      <c r="AK146">
        <v>13</v>
      </c>
      <c r="AL146" t="s">
        <v>149</v>
      </c>
      <c r="AM146" t="s">
        <v>150</v>
      </c>
      <c r="AN146" t="s">
        <v>2949</v>
      </c>
      <c r="AO146" t="s">
        <v>2950</v>
      </c>
      <c r="AP146" t="s">
        <v>74</v>
      </c>
      <c r="AQ146" t="s">
        <v>74</v>
      </c>
      <c r="AR146" t="s">
        <v>2951</v>
      </c>
      <c r="AS146" t="s">
        <v>74</v>
      </c>
      <c r="AT146" t="s">
        <v>74</v>
      </c>
      <c r="AU146">
        <v>2018</v>
      </c>
      <c r="AV146">
        <v>379</v>
      </c>
      <c r="AW146" t="s">
        <v>74</v>
      </c>
      <c r="AX146" t="s">
        <v>74</v>
      </c>
      <c r="AY146" t="s">
        <v>74</v>
      </c>
      <c r="AZ146" t="s">
        <v>74</v>
      </c>
      <c r="BA146" t="s">
        <v>74</v>
      </c>
      <c r="BB146">
        <v>67</v>
      </c>
      <c r="BC146">
        <v>72</v>
      </c>
      <c r="BD146" t="s">
        <v>74</v>
      </c>
      <c r="BE146" t="s">
        <v>2952</v>
      </c>
      <c r="BF146" t="str">
        <f>HYPERLINK("http://dx.doi.org/10.5194/piahs-379-67-2018","http://dx.doi.org/10.5194/piahs-379-67-2018")</f>
        <v>http://dx.doi.org/10.5194/piahs-379-67-2018</v>
      </c>
      <c r="BG146" t="s">
        <v>74</v>
      </c>
      <c r="BH146" t="s">
        <v>74</v>
      </c>
      <c r="BI146">
        <v>6</v>
      </c>
      <c r="BJ146" t="s">
        <v>2953</v>
      </c>
      <c r="BK146" t="s">
        <v>1801</v>
      </c>
      <c r="BL146" t="s">
        <v>2953</v>
      </c>
      <c r="BM146" t="s">
        <v>2954</v>
      </c>
      <c r="BN146" t="s">
        <v>74</v>
      </c>
      <c r="BO146" t="s">
        <v>212</v>
      </c>
      <c r="BP146" t="s">
        <v>74</v>
      </c>
      <c r="BQ146" t="s">
        <v>74</v>
      </c>
      <c r="BR146" t="s">
        <v>105</v>
      </c>
      <c r="BS146" t="s">
        <v>2955</v>
      </c>
      <c r="BT146" t="str">
        <f>HYPERLINK("https%3A%2F%2Fwww.webofscience.com%2Fwos%2Fwoscc%2Ffull-record%2FWOS:000459240300010","View Full Record in Web of Science")</f>
        <v>View Full Record in Web of Science</v>
      </c>
    </row>
    <row r="147" spans="1:72" x14ac:dyDescent="0.15">
      <c r="A147" t="s">
        <v>1776</v>
      </c>
      <c r="B147" t="s">
        <v>2956</v>
      </c>
      <c r="C147" t="s">
        <v>74</v>
      </c>
      <c r="D147" t="s">
        <v>74</v>
      </c>
      <c r="E147" t="s">
        <v>1778</v>
      </c>
      <c r="F147" t="s">
        <v>2957</v>
      </c>
      <c r="G147" t="s">
        <v>74</v>
      </c>
      <c r="H147" t="s">
        <v>74</v>
      </c>
      <c r="I147" t="s">
        <v>2958</v>
      </c>
      <c r="J147" t="s">
        <v>2959</v>
      </c>
      <c r="K147" t="s">
        <v>2960</v>
      </c>
      <c r="L147" t="s">
        <v>74</v>
      </c>
      <c r="M147" t="s">
        <v>78</v>
      </c>
      <c r="N147" t="s">
        <v>1782</v>
      </c>
      <c r="O147" t="s">
        <v>2961</v>
      </c>
      <c r="P147" t="s">
        <v>2962</v>
      </c>
      <c r="Q147" t="s">
        <v>2963</v>
      </c>
      <c r="R147" t="s">
        <v>74</v>
      </c>
      <c r="S147" t="s">
        <v>74</v>
      </c>
      <c r="T147" t="s">
        <v>2964</v>
      </c>
      <c r="U147" t="s">
        <v>2965</v>
      </c>
      <c r="V147" t="s">
        <v>2966</v>
      </c>
      <c r="W147" t="s">
        <v>2967</v>
      </c>
      <c r="X147" t="s">
        <v>2968</v>
      </c>
      <c r="Y147" t="s">
        <v>2969</v>
      </c>
      <c r="Z147" t="s">
        <v>74</v>
      </c>
      <c r="AA147" t="s">
        <v>2970</v>
      </c>
      <c r="AB147" t="s">
        <v>2971</v>
      </c>
      <c r="AC147" t="s">
        <v>2972</v>
      </c>
      <c r="AD147" t="s">
        <v>2973</v>
      </c>
      <c r="AE147" t="s">
        <v>2974</v>
      </c>
      <c r="AF147" t="s">
        <v>74</v>
      </c>
      <c r="AG147">
        <v>37</v>
      </c>
      <c r="AH147">
        <v>2</v>
      </c>
      <c r="AI147">
        <v>2</v>
      </c>
      <c r="AJ147">
        <v>0</v>
      </c>
      <c r="AK147">
        <v>0</v>
      </c>
      <c r="AL147" t="s">
        <v>1778</v>
      </c>
      <c r="AM147" t="s">
        <v>1797</v>
      </c>
      <c r="AN147" t="s">
        <v>1798</v>
      </c>
      <c r="AO147" t="s">
        <v>2975</v>
      </c>
      <c r="AP147" t="s">
        <v>74</v>
      </c>
      <c r="AQ147" t="s">
        <v>2976</v>
      </c>
      <c r="AR147" t="s">
        <v>2977</v>
      </c>
      <c r="AS147" t="s">
        <v>74</v>
      </c>
      <c r="AT147" t="s">
        <v>74</v>
      </c>
      <c r="AU147">
        <v>2018</v>
      </c>
      <c r="AV147" t="s">
        <v>74</v>
      </c>
      <c r="AW147" t="s">
        <v>74</v>
      </c>
      <c r="AX147" t="s">
        <v>74</v>
      </c>
      <c r="AY147" t="s">
        <v>74</v>
      </c>
      <c r="AZ147" t="s">
        <v>74</v>
      </c>
      <c r="BA147" t="s">
        <v>74</v>
      </c>
      <c r="BB147">
        <v>112</v>
      </c>
      <c r="BC147">
        <v>117</v>
      </c>
      <c r="BD147" t="s">
        <v>74</v>
      </c>
      <c r="BE147" t="s">
        <v>74</v>
      </c>
      <c r="BF147" t="s">
        <v>74</v>
      </c>
      <c r="BG147" t="s">
        <v>74</v>
      </c>
      <c r="BH147" t="s">
        <v>74</v>
      </c>
      <c r="BI147">
        <v>6</v>
      </c>
      <c r="BJ147" t="s">
        <v>2978</v>
      </c>
      <c r="BK147" t="s">
        <v>1801</v>
      </c>
      <c r="BL147" t="s">
        <v>2979</v>
      </c>
      <c r="BM147" t="s">
        <v>2980</v>
      </c>
      <c r="BN147" t="s">
        <v>74</v>
      </c>
      <c r="BO147" t="s">
        <v>74</v>
      </c>
      <c r="BP147" t="s">
        <v>74</v>
      </c>
      <c r="BQ147" t="s">
        <v>74</v>
      </c>
      <c r="BR147" t="s">
        <v>105</v>
      </c>
      <c r="BS147" t="s">
        <v>2981</v>
      </c>
      <c r="BT147" t="str">
        <f>HYPERLINK("https%3A%2F%2Fwww.webofscience.com%2Fwos%2Fwoscc%2Ffull-record%2FWOS:000458982900021","View Full Record in Web of Science")</f>
        <v>View Full Record in Web of Science</v>
      </c>
    </row>
    <row r="148" spans="1:72" x14ac:dyDescent="0.15">
      <c r="A148" t="s">
        <v>72</v>
      </c>
      <c r="B148" t="s">
        <v>2982</v>
      </c>
      <c r="C148" t="s">
        <v>74</v>
      </c>
      <c r="D148" t="s">
        <v>74</v>
      </c>
      <c r="E148" t="s">
        <v>74</v>
      </c>
      <c r="F148" t="s">
        <v>2983</v>
      </c>
      <c r="G148" t="s">
        <v>74</v>
      </c>
      <c r="H148" t="s">
        <v>74</v>
      </c>
      <c r="I148" t="s">
        <v>2984</v>
      </c>
      <c r="J148" t="s">
        <v>2985</v>
      </c>
      <c r="K148" t="s">
        <v>74</v>
      </c>
      <c r="L148" t="s">
        <v>74</v>
      </c>
      <c r="M148" t="s">
        <v>2986</v>
      </c>
      <c r="N148" t="s">
        <v>79</v>
      </c>
      <c r="O148" t="s">
        <v>74</v>
      </c>
      <c r="P148" t="s">
        <v>74</v>
      </c>
      <c r="Q148" t="s">
        <v>74</v>
      </c>
      <c r="R148" t="s">
        <v>74</v>
      </c>
      <c r="S148" t="s">
        <v>74</v>
      </c>
      <c r="T148" t="s">
        <v>2987</v>
      </c>
      <c r="U148" t="s">
        <v>74</v>
      </c>
      <c r="V148" t="s">
        <v>2988</v>
      </c>
      <c r="W148" t="s">
        <v>2989</v>
      </c>
      <c r="X148" t="s">
        <v>74</v>
      </c>
      <c r="Y148" t="s">
        <v>2990</v>
      </c>
      <c r="Z148" t="s">
        <v>74</v>
      </c>
      <c r="AA148" t="s">
        <v>74</v>
      </c>
      <c r="AB148" t="s">
        <v>74</v>
      </c>
      <c r="AC148" t="s">
        <v>74</v>
      </c>
      <c r="AD148" t="s">
        <v>74</v>
      </c>
      <c r="AE148" t="s">
        <v>74</v>
      </c>
      <c r="AF148" t="s">
        <v>74</v>
      </c>
      <c r="AG148">
        <v>38</v>
      </c>
      <c r="AH148">
        <v>0</v>
      </c>
      <c r="AI148">
        <v>0</v>
      </c>
      <c r="AJ148">
        <v>0</v>
      </c>
      <c r="AK148">
        <v>1</v>
      </c>
      <c r="AL148" t="s">
        <v>2991</v>
      </c>
      <c r="AM148" t="s">
        <v>2992</v>
      </c>
      <c r="AN148" t="s">
        <v>2993</v>
      </c>
      <c r="AO148" t="s">
        <v>2994</v>
      </c>
      <c r="AP148" t="s">
        <v>74</v>
      </c>
      <c r="AQ148" t="s">
        <v>74</v>
      </c>
      <c r="AR148" t="s">
        <v>2995</v>
      </c>
      <c r="AS148" t="s">
        <v>2996</v>
      </c>
      <c r="AT148" t="s">
        <v>74</v>
      </c>
      <c r="AU148">
        <v>2018</v>
      </c>
      <c r="AV148">
        <v>9</v>
      </c>
      <c r="AW148">
        <v>9</v>
      </c>
      <c r="AX148" t="s">
        <v>74</v>
      </c>
      <c r="AY148" t="s">
        <v>74</v>
      </c>
      <c r="AZ148" t="s">
        <v>74</v>
      </c>
      <c r="BA148" t="s">
        <v>74</v>
      </c>
      <c r="BB148" t="s">
        <v>74</v>
      </c>
      <c r="BC148" t="s">
        <v>74</v>
      </c>
      <c r="BD148" t="s">
        <v>74</v>
      </c>
      <c r="BE148" t="s">
        <v>2997</v>
      </c>
      <c r="BF148" t="str">
        <f>HYPERLINK("http://dx.doi.org/10.18254/S0002471-7-1","http://dx.doi.org/10.18254/S0002471-7-1")</f>
        <v>http://dx.doi.org/10.18254/S0002471-7-1</v>
      </c>
      <c r="BG148" t="s">
        <v>74</v>
      </c>
      <c r="BH148" t="s">
        <v>74</v>
      </c>
      <c r="BI148">
        <v>26</v>
      </c>
      <c r="BJ148" t="s">
        <v>2998</v>
      </c>
      <c r="BK148" t="s">
        <v>2081</v>
      </c>
      <c r="BL148" t="s">
        <v>2998</v>
      </c>
      <c r="BM148" t="s">
        <v>2999</v>
      </c>
      <c r="BN148" t="s">
        <v>74</v>
      </c>
      <c r="BO148" t="s">
        <v>74</v>
      </c>
      <c r="BP148" t="s">
        <v>74</v>
      </c>
      <c r="BQ148" t="s">
        <v>74</v>
      </c>
      <c r="BR148" t="s">
        <v>105</v>
      </c>
      <c r="BS148" t="s">
        <v>3000</v>
      </c>
      <c r="BT148" t="str">
        <f>HYPERLINK("https%3A%2F%2Fwww.webofscience.com%2Fwos%2Fwoscc%2Ffull-record%2FWOS:000458577500024","View Full Record in Web of Science")</f>
        <v>View Full Record in Web of Science</v>
      </c>
    </row>
    <row r="149" spans="1:72" x14ac:dyDescent="0.15">
      <c r="A149" t="s">
        <v>72</v>
      </c>
      <c r="B149" t="s">
        <v>3001</v>
      </c>
      <c r="C149" t="s">
        <v>74</v>
      </c>
      <c r="D149" t="s">
        <v>74</v>
      </c>
      <c r="E149" t="s">
        <v>74</v>
      </c>
      <c r="F149" t="s">
        <v>3002</v>
      </c>
      <c r="G149" t="s">
        <v>74</v>
      </c>
      <c r="H149" t="s">
        <v>74</v>
      </c>
      <c r="I149" t="s">
        <v>3003</v>
      </c>
      <c r="J149" t="s">
        <v>3004</v>
      </c>
      <c r="K149" t="s">
        <v>74</v>
      </c>
      <c r="L149" t="s">
        <v>74</v>
      </c>
      <c r="M149" t="s">
        <v>78</v>
      </c>
      <c r="N149" t="s">
        <v>79</v>
      </c>
      <c r="O149" t="s">
        <v>74</v>
      </c>
      <c r="P149" t="s">
        <v>74</v>
      </c>
      <c r="Q149" t="s">
        <v>74</v>
      </c>
      <c r="R149" t="s">
        <v>74</v>
      </c>
      <c r="S149" t="s">
        <v>74</v>
      </c>
      <c r="T149" t="s">
        <v>3005</v>
      </c>
      <c r="U149" t="s">
        <v>3006</v>
      </c>
      <c r="V149" t="s">
        <v>3007</v>
      </c>
      <c r="W149" t="s">
        <v>3008</v>
      </c>
      <c r="X149" t="s">
        <v>3009</v>
      </c>
      <c r="Y149" t="s">
        <v>3010</v>
      </c>
      <c r="Z149" t="s">
        <v>3011</v>
      </c>
      <c r="AA149" t="s">
        <v>3012</v>
      </c>
      <c r="AB149" t="s">
        <v>74</v>
      </c>
      <c r="AC149" t="s">
        <v>3013</v>
      </c>
      <c r="AD149" t="s">
        <v>3014</v>
      </c>
      <c r="AE149" t="s">
        <v>3015</v>
      </c>
      <c r="AF149" t="s">
        <v>74</v>
      </c>
      <c r="AG149">
        <v>45</v>
      </c>
      <c r="AH149">
        <v>0</v>
      </c>
      <c r="AI149">
        <v>0</v>
      </c>
      <c r="AJ149">
        <v>0</v>
      </c>
      <c r="AK149">
        <v>14</v>
      </c>
      <c r="AL149" t="s">
        <v>2323</v>
      </c>
      <c r="AM149" t="s">
        <v>2324</v>
      </c>
      <c r="AN149" t="s">
        <v>2325</v>
      </c>
      <c r="AO149" t="s">
        <v>3016</v>
      </c>
      <c r="AP149" t="s">
        <v>74</v>
      </c>
      <c r="AQ149" t="s">
        <v>74</v>
      </c>
      <c r="AR149" t="s">
        <v>3004</v>
      </c>
      <c r="AS149" t="s">
        <v>3017</v>
      </c>
      <c r="AT149" t="s">
        <v>74</v>
      </c>
      <c r="AU149">
        <v>2018</v>
      </c>
      <c r="AV149">
        <v>15</v>
      </c>
      <c r="AW149">
        <v>4</v>
      </c>
      <c r="AX149" t="s">
        <v>74</v>
      </c>
      <c r="AY149" t="s">
        <v>74</v>
      </c>
      <c r="AZ149" t="s">
        <v>74</v>
      </c>
      <c r="BA149" t="s">
        <v>74</v>
      </c>
      <c r="BB149">
        <v>265</v>
      </c>
      <c r="BC149">
        <v>278</v>
      </c>
      <c r="BD149" t="s">
        <v>74</v>
      </c>
      <c r="BE149" t="s">
        <v>3018</v>
      </c>
      <c r="BF149" t="str">
        <f>HYPERLINK("http://dx.doi.org/10.29041/strat.15.4.265-278","http://dx.doi.org/10.29041/strat.15.4.265-278")</f>
        <v>http://dx.doi.org/10.29041/strat.15.4.265-278</v>
      </c>
      <c r="BG149" t="s">
        <v>74</v>
      </c>
      <c r="BH149" t="s">
        <v>74</v>
      </c>
      <c r="BI149">
        <v>14</v>
      </c>
      <c r="BJ149" t="s">
        <v>3019</v>
      </c>
      <c r="BK149" t="s">
        <v>101</v>
      </c>
      <c r="BL149" t="s">
        <v>3019</v>
      </c>
      <c r="BM149" t="s">
        <v>3020</v>
      </c>
      <c r="BN149" t="s">
        <v>74</v>
      </c>
      <c r="BO149" t="s">
        <v>74</v>
      </c>
      <c r="BP149" t="s">
        <v>74</v>
      </c>
      <c r="BQ149" t="s">
        <v>74</v>
      </c>
      <c r="BR149" t="s">
        <v>105</v>
      </c>
      <c r="BS149" t="s">
        <v>3021</v>
      </c>
      <c r="BT149" t="str">
        <f>HYPERLINK("https%3A%2F%2Fwww.webofscience.com%2Fwos%2Fwoscc%2Ffull-record%2FWOS:000458756000003","View Full Record in Web of Science")</f>
        <v>View Full Record in Web of Science</v>
      </c>
    </row>
    <row r="150" spans="1:72" x14ac:dyDescent="0.15">
      <c r="A150" t="s">
        <v>1776</v>
      </c>
      <c r="B150" t="s">
        <v>3022</v>
      </c>
      <c r="C150" t="s">
        <v>74</v>
      </c>
      <c r="D150" t="s">
        <v>3023</v>
      </c>
      <c r="E150" t="s">
        <v>74</v>
      </c>
      <c r="F150" t="s">
        <v>3024</v>
      </c>
      <c r="G150" t="s">
        <v>74</v>
      </c>
      <c r="H150" t="s">
        <v>74</v>
      </c>
      <c r="I150" t="s">
        <v>3025</v>
      </c>
      <c r="J150" t="s">
        <v>3026</v>
      </c>
      <c r="K150" t="s">
        <v>74</v>
      </c>
      <c r="L150" t="s">
        <v>74</v>
      </c>
      <c r="M150" t="s">
        <v>78</v>
      </c>
      <c r="N150" t="s">
        <v>1782</v>
      </c>
      <c r="O150" t="s">
        <v>3027</v>
      </c>
      <c r="P150" t="s">
        <v>2163</v>
      </c>
      <c r="Q150" t="s">
        <v>3028</v>
      </c>
      <c r="R150" t="s">
        <v>74</v>
      </c>
      <c r="S150" t="s">
        <v>74</v>
      </c>
      <c r="T150" t="s">
        <v>3029</v>
      </c>
      <c r="U150" t="s">
        <v>74</v>
      </c>
      <c r="V150" t="s">
        <v>3030</v>
      </c>
      <c r="W150" t="s">
        <v>3031</v>
      </c>
      <c r="X150" t="s">
        <v>3032</v>
      </c>
      <c r="Y150" t="s">
        <v>3033</v>
      </c>
      <c r="Z150" t="s">
        <v>3034</v>
      </c>
      <c r="AA150" t="s">
        <v>3035</v>
      </c>
      <c r="AB150" t="s">
        <v>3036</v>
      </c>
      <c r="AC150" t="s">
        <v>74</v>
      </c>
      <c r="AD150" t="s">
        <v>74</v>
      </c>
      <c r="AE150" t="s">
        <v>74</v>
      </c>
      <c r="AF150" t="s">
        <v>74</v>
      </c>
      <c r="AG150">
        <v>16</v>
      </c>
      <c r="AH150">
        <v>0</v>
      </c>
      <c r="AI150">
        <v>0</v>
      </c>
      <c r="AJ150">
        <v>0</v>
      </c>
      <c r="AK150">
        <v>2</v>
      </c>
      <c r="AL150" t="s">
        <v>1778</v>
      </c>
      <c r="AM150" t="s">
        <v>1797</v>
      </c>
      <c r="AN150" t="s">
        <v>1798</v>
      </c>
      <c r="AO150" t="s">
        <v>74</v>
      </c>
      <c r="AP150" t="s">
        <v>74</v>
      </c>
      <c r="AQ150" t="s">
        <v>3037</v>
      </c>
      <c r="AR150" t="s">
        <v>74</v>
      </c>
      <c r="AS150" t="s">
        <v>74</v>
      </c>
      <c r="AT150" t="s">
        <v>74</v>
      </c>
      <c r="AU150">
        <v>2018</v>
      </c>
      <c r="AV150" t="s">
        <v>74</v>
      </c>
      <c r="AW150" t="s">
        <v>74</v>
      </c>
      <c r="AX150" t="s">
        <v>74</v>
      </c>
      <c r="AY150" t="s">
        <v>74</v>
      </c>
      <c r="AZ150" t="s">
        <v>74</v>
      </c>
      <c r="BA150" t="s">
        <v>74</v>
      </c>
      <c r="BB150">
        <v>123</v>
      </c>
      <c r="BC150">
        <v>126</v>
      </c>
      <c r="BD150" t="s">
        <v>74</v>
      </c>
      <c r="BE150" t="s">
        <v>74</v>
      </c>
      <c r="BF150" t="s">
        <v>74</v>
      </c>
      <c r="BG150" t="s">
        <v>74</v>
      </c>
      <c r="BH150" t="s">
        <v>74</v>
      </c>
      <c r="BI150">
        <v>4</v>
      </c>
      <c r="BJ150" t="s">
        <v>2229</v>
      </c>
      <c r="BK150" t="s">
        <v>1801</v>
      </c>
      <c r="BL150" t="s">
        <v>2155</v>
      </c>
      <c r="BM150" t="s">
        <v>3038</v>
      </c>
      <c r="BN150" t="s">
        <v>74</v>
      </c>
      <c r="BO150" t="s">
        <v>74</v>
      </c>
      <c r="BP150" t="s">
        <v>74</v>
      </c>
      <c r="BQ150" t="s">
        <v>74</v>
      </c>
      <c r="BR150" t="s">
        <v>105</v>
      </c>
      <c r="BS150" t="s">
        <v>3039</v>
      </c>
      <c r="BT150" t="str">
        <f>HYPERLINK("https%3A%2F%2Fwww.webofscience.com%2Fwos%2Fwoscc%2Ffull-record%2FWOS:000458304300022","View Full Record in Web of Science")</f>
        <v>View Full Record in Web of Science</v>
      </c>
    </row>
    <row r="151" spans="1:72" x14ac:dyDescent="0.15">
      <c r="A151" t="s">
        <v>1776</v>
      </c>
      <c r="B151" t="s">
        <v>3040</v>
      </c>
      <c r="C151" t="s">
        <v>74</v>
      </c>
      <c r="D151" t="s">
        <v>3041</v>
      </c>
      <c r="E151" t="s">
        <v>74</v>
      </c>
      <c r="F151" t="s">
        <v>3042</v>
      </c>
      <c r="G151" t="s">
        <v>74</v>
      </c>
      <c r="H151" t="s">
        <v>74</v>
      </c>
      <c r="I151" t="s">
        <v>3043</v>
      </c>
      <c r="J151" t="s">
        <v>3044</v>
      </c>
      <c r="K151" t="s">
        <v>3045</v>
      </c>
      <c r="L151" t="s">
        <v>74</v>
      </c>
      <c r="M151" t="s">
        <v>78</v>
      </c>
      <c r="N151" t="s">
        <v>1782</v>
      </c>
      <c r="O151" t="s">
        <v>3046</v>
      </c>
      <c r="P151" t="s">
        <v>3047</v>
      </c>
      <c r="Q151" t="s">
        <v>3048</v>
      </c>
      <c r="R151" t="s">
        <v>74</v>
      </c>
      <c r="S151" t="s">
        <v>74</v>
      </c>
      <c r="T151" t="s">
        <v>74</v>
      </c>
      <c r="U151" t="s">
        <v>3049</v>
      </c>
      <c r="V151" t="s">
        <v>3050</v>
      </c>
      <c r="W151" t="s">
        <v>3051</v>
      </c>
      <c r="X151" t="s">
        <v>3052</v>
      </c>
      <c r="Y151" t="s">
        <v>3053</v>
      </c>
      <c r="Z151" t="s">
        <v>3054</v>
      </c>
      <c r="AA151" t="s">
        <v>3055</v>
      </c>
      <c r="AB151" t="s">
        <v>3056</v>
      </c>
      <c r="AC151" t="s">
        <v>3057</v>
      </c>
      <c r="AD151" t="s">
        <v>3058</v>
      </c>
      <c r="AE151" t="s">
        <v>3059</v>
      </c>
      <c r="AF151" t="s">
        <v>74</v>
      </c>
      <c r="AG151">
        <v>14</v>
      </c>
      <c r="AH151">
        <v>0</v>
      </c>
      <c r="AI151">
        <v>0</v>
      </c>
      <c r="AJ151">
        <v>0</v>
      </c>
      <c r="AK151">
        <v>6</v>
      </c>
      <c r="AL151" t="s">
        <v>1898</v>
      </c>
      <c r="AM151" t="s">
        <v>1899</v>
      </c>
      <c r="AN151" t="s">
        <v>1900</v>
      </c>
      <c r="AO151" t="s">
        <v>3060</v>
      </c>
      <c r="AP151" t="s">
        <v>3061</v>
      </c>
      <c r="AQ151" t="s">
        <v>3062</v>
      </c>
      <c r="AR151" t="s">
        <v>3063</v>
      </c>
      <c r="AS151" t="s">
        <v>74</v>
      </c>
      <c r="AT151" t="s">
        <v>74</v>
      </c>
      <c r="AU151">
        <v>2018</v>
      </c>
      <c r="AV151" t="s">
        <v>74</v>
      </c>
      <c r="AW151" t="s">
        <v>74</v>
      </c>
      <c r="AX151" t="s">
        <v>74</v>
      </c>
      <c r="AY151" t="s">
        <v>74</v>
      </c>
      <c r="AZ151" t="s">
        <v>74</v>
      </c>
      <c r="BA151" t="s">
        <v>74</v>
      </c>
      <c r="BB151">
        <v>272</v>
      </c>
      <c r="BC151">
        <v>281</v>
      </c>
      <c r="BD151" t="s">
        <v>74</v>
      </c>
      <c r="BE151" t="s">
        <v>3064</v>
      </c>
      <c r="BF151" t="str">
        <f>HYPERLINK("http://dx.doi.org/10.1007/978-3-319-61648-3_19","http://dx.doi.org/10.1007/978-3-319-61648-3_19")</f>
        <v>http://dx.doi.org/10.1007/978-3-319-61648-3_19</v>
      </c>
      <c r="BG151" t="s">
        <v>74</v>
      </c>
      <c r="BH151" t="s">
        <v>74</v>
      </c>
      <c r="BI151">
        <v>10</v>
      </c>
      <c r="BJ151" t="s">
        <v>3065</v>
      </c>
      <c r="BK151" t="s">
        <v>1801</v>
      </c>
      <c r="BL151" t="s">
        <v>2155</v>
      </c>
      <c r="BM151" t="s">
        <v>3066</v>
      </c>
      <c r="BN151" t="s">
        <v>74</v>
      </c>
      <c r="BO151" t="s">
        <v>74</v>
      </c>
      <c r="BP151" t="s">
        <v>74</v>
      </c>
      <c r="BQ151" t="s">
        <v>74</v>
      </c>
      <c r="BR151" t="s">
        <v>105</v>
      </c>
      <c r="BS151" t="s">
        <v>3067</v>
      </c>
      <c r="BT151" t="str">
        <f>HYPERLINK("https%3A%2F%2Fwww.webofscience.com%2Fwos%2Fwoscc%2Ffull-record%2FWOS:000456832700019","View Full Record in Web of Science")</f>
        <v>View Full Record in Web of Science</v>
      </c>
    </row>
    <row r="152" spans="1:72" x14ac:dyDescent="0.15">
      <c r="A152" t="s">
        <v>72</v>
      </c>
      <c r="B152" t="s">
        <v>3068</v>
      </c>
      <c r="C152" t="s">
        <v>74</v>
      </c>
      <c r="D152" t="s">
        <v>74</v>
      </c>
      <c r="E152" t="s">
        <v>74</v>
      </c>
      <c r="F152" t="s">
        <v>3069</v>
      </c>
      <c r="G152" t="s">
        <v>74</v>
      </c>
      <c r="H152" t="s">
        <v>74</v>
      </c>
      <c r="I152" t="s">
        <v>3070</v>
      </c>
      <c r="J152" t="s">
        <v>3071</v>
      </c>
      <c r="K152" t="s">
        <v>74</v>
      </c>
      <c r="L152" t="s">
        <v>74</v>
      </c>
      <c r="M152" t="s">
        <v>78</v>
      </c>
      <c r="N152" t="s">
        <v>79</v>
      </c>
      <c r="O152" t="s">
        <v>74</v>
      </c>
      <c r="P152" t="s">
        <v>74</v>
      </c>
      <c r="Q152" t="s">
        <v>74</v>
      </c>
      <c r="R152" t="s">
        <v>74</v>
      </c>
      <c r="S152" t="s">
        <v>74</v>
      </c>
      <c r="T152" t="s">
        <v>3072</v>
      </c>
      <c r="U152" t="s">
        <v>3073</v>
      </c>
      <c r="V152" t="s">
        <v>3074</v>
      </c>
      <c r="W152" t="s">
        <v>3075</v>
      </c>
      <c r="X152" t="s">
        <v>3076</v>
      </c>
      <c r="Y152" t="s">
        <v>3077</v>
      </c>
      <c r="Z152" t="s">
        <v>1510</v>
      </c>
      <c r="AA152" t="s">
        <v>3078</v>
      </c>
      <c r="AB152" t="s">
        <v>3079</v>
      </c>
      <c r="AC152" t="s">
        <v>3080</v>
      </c>
      <c r="AD152" t="s">
        <v>3080</v>
      </c>
      <c r="AE152" t="s">
        <v>3081</v>
      </c>
      <c r="AF152" t="s">
        <v>74</v>
      </c>
      <c r="AG152">
        <v>42</v>
      </c>
      <c r="AH152">
        <v>15</v>
      </c>
      <c r="AI152">
        <v>15</v>
      </c>
      <c r="AJ152">
        <v>1</v>
      </c>
      <c r="AK152">
        <v>4</v>
      </c>
      <c r="AL152" t="s">
        <v>3082</v>
      </c>
      <c r="AM152" t="s">
        <v>3083</v>
      </c>
      <c r="AN152" t="s">
        <v>3084</v>
      </c>
      <c r="AO152" t="s">
        <v>3085</v>
      </c>
      <c r="AP152" t="s">
        <v>74</v>
      </c>
      <c r="AQ152" t="s">
        <v>74</v>
      </c>
      <c r="AR152" t="s">
        <v>3071</v>
      </c>
      <c r="AS152" t="s">
        <v>3086</v>
      </c>
      <c r="AT152" t="s">
        <v>74</v>
      </c>
      <c r="AU152">
        <v>2018</v>
      </c>
      <c r="AV152">
        <v>18</v>
      </c>
      <c r="AW152">
        <v>2</v>
      </c>
      <c r="AX152" t="s">
        <v>74</v>
      </c>
      <c r="AY152" t="s">
        <v>74</v>
      </c>
      <c r="AZ152" t="s">
        <v>74</v>
      </c>
      <c r="BA152" t="s">
        <v>74</v>
      </c>
      <c r="BB152">
        <v>200</v>
      </c>
      <c r="BC152">
        <v>211</v>
      </c>
      <c r="BD152" t="s">
        <v>74</v>
      </c>
      <c r="BE152" t="s">
        <v>3087</v>
      </c>
      <c r="BF152" t="str">
        <f>HYPERLINK("http://dx.doi.org/10.5507/fot.2018.006","http://dx.doi.org/10.5507/fot.2018.006")</f>
        <v>http://dx.doi.org/10.5507/fot.2018.006</v>
      </c>
      <c r="BG152" t="s">
        <v>74</v>
      </c>
      <c r="BH152" t="s">
        <v>74</v>
      </c>
      <c r="BI152">
        <v>12</v>
      </c>
      <c r="BJ152" t="s">
        <v>492</v>
      </c>
      <c r="BK152" t="s">
        <v>101</v>
      </c>
      <c r="BL152" t="s">
        <v>492</v>
      </c>
      <c r="BM152" t="s">
        <v>3088</v>
      </c>
      <c r="BN152" t="s">
        <v>74</v>
      </c>
      <c r="BO152" t="s">
        <v>212</v>
      </c>
      <c r="BP152" t="s">
        <v>74</v>
      </c>
      <c r="BQ152" t="s">
        <v>74</v>
      </c>
      <c r="BR152" t="s">
        <v>105</v>
      </c>
      <c r="BS152" t="s">
        <v>3089</v>
      </c>
      <c r="BT152" t="str">
        <f>HYPERLINK("https%3A%2F%2Fwww.webofscience.com%2Fwos%2Fwoscc%2Ffull-record%2FWOS:000457025500008","View Full Record in Web of Science")</f>
        <v>View Full Record in Web of Science</v>
      </c>
    </row>
    <row r="153" spans="1:72" x14ac:dyDescent="0.15">
      <c r="A153" t="s">
        <v>72</v>
      </c>
      <c r="B153" t="s">
        <v>3090</v>
      </c>
      <c r="C153" t="s">
        <v>74</v>
      </c>
      <c r="D153" t="s">
        <v>74</v>
      </c>
      <c r="E153" t="s">
        <v>74</v>
      </c>
      <c r="F153" t="s">
        <v>3091</v>
      </c>
      <c r="G153" t="s">
        <v>74</v>
      </c>
      <c r="H153" t="s">
        <v>74</v>
      </c>
      <c r="I153" t="s">
        <v>3092</v>
      </c>
      <c r="J153" t="s">
        <v>3093</v>
      </c>
      <c r="K153" t="s">
        <v>74</v>
      </c>
      <c r="L153" t="s">
        <v>74</v>
      </c>
      <c r="M153" t="s">
        <v>78</v>
      </c>
      <c r="N153" t="s">
        <v>79</v>
      </c>
      <c r="O153" t="s">
        <v>74</v>
      </c>
      <c r="P153" t="s">
        <v>74</v>
      </c>
      <c r="Q153" t="s">
        <v>74</v>
      </c>
      <c r="R153" t="s">
        <v>74</v>
      </c>
      <c r="S153" t="s">
        <v>74</v>
      </c>
      <c r="T153" t="s">
        <v>3094</v>
      </c>
      <c r="U153" t="s">
        <v>3095</v>
      </c>
      <c r="V153" t="s">
        <v>3096</v>
      </c>
      <c r="W153" t="s">
        <v>3097</v>
      </c>
      <c r="X153" t="s">
        <v>3098</v>
      </c>
      <c r="Y153" t="s">
        <v>3099</v>
      </c>
      <c r="Z153" t="s">
        <v>3100</v>
      </c>
      <c r="AA153" t="s">
        <v>3101</v>
      </c>
      <c r="AB153" t="s">
        <v>3102</v>
      </c>
      <c r="AC153" t="s">
        <v>3103</v>
      </c>
      <c r="AD153" t="s">
        <v>3104</v>
      </c>
      <c r="AE153" t="s">
        <v>3105</v>
      </c>
      <c r="AF153" t="s">
        <v>74</v>
      </c>
      <c r="AG153">
        <v>47</v>
      </c>
      <c r="AH153">
        <v>11</v>
      </c>
      <c r="AI153">
        <v>11</v>
      </c>
      <c r="AJ153">
        <v>0</v>
      </c>
      <c r="AK153">
        <v>5</v>
      </c>
      <c r="AL153" t="s">
        <v>3106</v>
      </c>
      <c r="AM153" t="s">
        <v>3107</v>
      </c>
      <c r="AN153" t="s">
        <v>3108</v>
      </c>
      <c r="AO153" t="s">
        <v>3109</v>
      </c>
      <c r="AP153" t="s">
        <v>3110</v>
      </c>
      <c r="AQ153" t="s">
        <v>74</v>
      </c>
      <c r="AR153" t="s">
        <v>3111</v>
      </c>
      <c r="AS153" t="s">
        <v>3112</v>
      </c>
      <c r="AT153" t="s">
        <v>74</v>
      </c>
      <c r="AU153">
        <v>2018</v>
      </c>
      <c r="AV153">
        <v>96</v>
      </c>
      <c r="AW153">
        <v>6</v>
      </c>
      <c r="AX153" t="s">
        <v>74</v>
      </c>
      <c r="AY153" t="s">
        <v>74</v>
      </c>
      <c r="AZ153" t="s">
        <v>74</v>
      </c>
      <c r="BA153" t="s">
        <v>74</v>
      </c>
      <c r="BB153">
        <v>587</v>
      </c>
      <c r="BC153">
        <v>600</v>
      </c>
      <c r="BD153" t="s">
        <v>74</v>
      </c>
      <c r="BE153" t="s">
        <v>3113</v>
      </c>
      <c r="BF153" t="str">
        <f>HYPERLINK("http://dx.doi.org/10.2151/jmsj.2018-057","http://dx.doi.org/10.2151/jmsj.2018-057")</f>
        <v>http://dx.doi.org/10.2151/jmsj.2018-057</v>
      </c>
      <c r="BG153" t="s">
        <v>74</v>
      </c>
      <c r="BH153" t="s">
        <v>74</v>
      </c>
      <c r="BI153">
        <v>14</v>
      </c>
      <c r="BJ153" t="s">
        <v>430</v>
      </c>
      <c r="BK153" t="s">
        <v>101</v>
      </c>
      <c r="BL153" t="s">
        <v>430</v>
      </c>
      <c r="BM153" t="s">
        <v>3114</v>
      </c>
      <c r="BN153" t="s">
        <v>74</v>
      </c>
      <c r="BO153" t="s">
        <v>160</v>
      </c>
      <c r="BP153" t="s">
        <v>74</v>
      </c>
      <c r="BQ153" t="s">
        <v>74</v>
      </c>
      <c r="BR153" t="s">
        <v>105</v>
      </c>
      <c r="BS153" t="s">
        <v>3115</v>
      </c>
      <c r="BT153" t="str">
        <f>HYPERLINK("https%3A%2F%2Fwww.webofscience.com%2Fwos%2Fwoscc%2Ffull-record%2FWOS:000457452700006","View Full Record in Web of Science")</f>
        <v>View Full Record in Web of Science</v>
      </c>
    </row>
    <row r="154" spans="1:72" x14ac:dyDescent="0.15">
      <c r="A154" t="s">
        <v>72</v>
      </c>
      <c r="B154" t="s">
        <v>3116</v>
      </c>
      <c r="C154" t="s">
        <v>74</v>
      </c>
      <c r="D154" t="s">
        <v>74</v>
      </c>
      <c r="E154" t="s">
        <v>74</v>
      </c>
      <c r="F154" t="s">
        <v>3117</v>
      </c>
      <c r="G154" t="s">
        <v>74</v>
      </c>
      <c r="H154" t="s">
        <v>74</v>
      </c>
      <c r="I154" t="s">
        <v>3118</v>
      </c>
      <c r="J154" t="s">
        <v>3119</v>
      </c>
      <c r="K154" t="s">
        <v>74</v>
      </c>
      <c r="L154" t="s">
        <v>74</v>
      </c>
      <c r="M154" t="s">
        <v>3120</v>
      </c>
      <c r="N154" t="s">
        <v>79</v>
      </c>
      <c r="O154" t="s">
        <v>74</v>
      </c>
      <c r="P154" t="s">
        <v>74</v>
      </c>
      <c r="Q154" t="s">
        <v>74</v>
      </c>
      <c r="R154" t="s">
        <v>74</v>
      </c>
      <c r="S154" t="s">
        <v>74</v>
      </c>
      <c r="T154" t="s">
        <v>3121</v>
      </c>
      <c r="U154" t="s">
        <v>3122</v>
      </c>
      <c r="V154" t="s">
        <v>3123</v>
      </c>
      <c r="W154" t="s">
        <v>3124</v>
      </c>
      <c r="X154" t="s">
        <v>3125</v>
      </c>
      <c r="Y154" t="s">
        <v>3126</v>
      </c>
      <c r="Z154" t="s">
        <v>3127</v>
      </c>
      <c r="AA154" t="s">
        <v>74</v>
      </c>
      <c r="AB154" t="s">
        <v>3128</v>
      </c>
      <c r="AC154" t="s">
        <v>74</v>
      </c>
      <c r="AD154" t="s">
        <v>74</v>
      </c>
      <c r="AE154" t="s">
        <v>74</v>
      </c>
      <c r="AF154" t="s">
        <v>74</v>
      </c>
      <c r="AG154">
        <v>51</v>
      </c>
      <c r="AH154">
        <v>2</v>
      </c>
      <c r="AI154">
        <v>4</v>
      </c>
      <c r="AJ154">
        <v>0</v>
      </c>
      <c r="AK154">
        <v>4</v>
      </c>
      <c r="AL154" t="s">
        <v>3129</v>
      </c>
      <c r="AM154" t="s">
        <v>3130</v>
      </c>
      <c r="AN154" t="s">
        <v>3131</v>
      </c>
      <c r="AO154" t="s">
        <v>3132</v>
      </c>
      <c r="AP154" t="s">
        <v>74</v>
      </c>
      <c r="AQ154" t="s">
        <v>74</v>
      </c>
      <c r="AR154" t="s">
        <v>3119</v>
      </c>
      <c r="AS154" t="s">
        <v>3133</v>
      </c>
      <c r="AT154" t="s">
        <v>74</v>
      </c>
      <c r="AU154">
        <v>2018</v>
      </c>
      <c r="AV154">
        <v>46</v>
      </c>
      <c r="AW154">
        <v>2</v>
      </c>
      <c r="AX154" t="s">
        <v>74</v>
      </c>
      <c r="AY154" t="s">
        <v>74</v>
      </c>
      <c r="AZ154" t="s">
        <v>74</v>
      </c>
      <c r="BA154" t="s">
        <v>74</v>
      </c>
      <c r="BB154">
        <v>143</v>
      </c>
      <c r="BC154">
        <v>165</v>
      </c>
      <c r="BD154" t="s">
        <v>74</v>
      </c>
      <c r="BE154" t="s">
        <v>3134</v>
      </c>
      <c r="BF154" t="str">
        <f>HYPERLINK("http://dx.doi.org/10.4067/S0718-22442018000200143","http://dx.doi.org/10.4067/S0718-22442018000200143")</f>
        <v>http://dx.doi.org/10.4067/S0718-22442018000200143</v>
      </c>
      <c r="BG154" t="s">
        <v>74</v>
      </c>
      <c r="BH154" t="s">
        <v>74</v>
      </c>
      <c r="BI154">
        <v>23</v>
      </c>
      <c r="BJ154" t="s">
        <v>3135</v>
      </c>
      <c r="BK154" t="s">
        <v>3136</v>
      </c>
      <c r="BL154" t="s">
        <v>3135</v>
      </c>
      <c r="BM154" t="s">
        <v>3137</v>
      </c>
      <c r="BN154" t="s">
        <v>74</v>
      </c>
      <c r="BO154" t="s">
        <v>494</v>
      </c>
      <c r="BP154" t="s">
        <v>74</v>
      </c>
      <c r="BQ154" t="s">
        <v>74</v>
      </c>
      <c r="BR154" t="s">
        <v>105</v>
      </c>
      <c r="BS154" t="s">
        <v>3138</v>
      </c>
      <c r="BT154" t="str">
        <f>HYPERLINK("https%3A%2F%2Fwww.webofscience.com%2Fwos%2Fwoscc%2Ffull-record%2FWOS:000456941900008","View Full Record in Web of Science")</f>
        <v>View Full Record in Web of Science</v>
      </c>
    </row>
    <row r="155" spans="1:72" x14ac:dyDescent="0.15">
      <c r="A155" t="s">
        <v>72</v>
      </c>
      <c r="B155" t="s">
        <v>3139</v>
      </c>
      <c r="C155" t="s">
        <v>74</v>
      </c>
      <c r="D155" t="s">
        <v>74</v>
      </c>
      <c r="E155" t="s">
        <v>74</v>
      </c>
      <c r="F155" t="s">
        <v>3140</v>
      </c>
      <c r="G155" t="s">
        <v>74</v>
      </c>
      <c r="H155" t="s">
        <v>74</v>
      </c>
      <c r="I155" t="s">
        <v>3141</v>
      </c>
      <c r="J155" t="s">
        <v>3142</v>
      </c>
      <c r="K155" t="s">
        <v>74</v>
      </c>
      <c r="L155" t="s">
        <v>74</v>
      </c>
      <c r="M155" t="s">
        <v>78</v>
      </c>
      <c r="N155" t="s">
        <v>79</v>
      </c>
      <c r="O155" t="s">
        <v>74</v>
      </c>
      <c r="P155" t="s">
        <v>74</v>
      </c>
      <c r="Q155" t="s">
        <v>74</v>
      </c>
      <c r="R155" t="s">
        <v>74</v>
      </c>
      <c r="S155" t="s">
        <v>74</v>
      </c>
      <c r="T155" t="s">
        <v>74</v>
      </c>
      <c r="U155" t="s">
        <v>3143</v>
      </c>
      <c r="V155" t="s">
        <v>3144</v>
      </c>
      <c r="W155" t="s">
        <v>3145</v>
      </c>
      <c r="X155" t="s">
        <v>3146</v>
      </c>
      <c r="Y155" t="s">
        <v>3147</v>
      </c>
      <c r="Z155" t="s">
        <v>74</v>
      </c>
      <c r="AA155" t="s">
        <v>74</v>
      </c>
      <c r="AB155" t="s">
        <v>3148</v>
      </c>
      <c r="AC155" t="s">
        <v>74</v>
      </c>
      <c r="AD155" t="s">
        <v>74</v>
      </c>
      <c r="AE155" t="s">
        <v>74</v>
      </c>
      <c r="AF155" t="s">
        <v>74</v>
      </c>
      <c r="AG155">
        <v>14</v>
      </c>
      <c r="AH155">
        <v>5</v>
      </c>
      <c r="AI155">
        <v>5</v>
      </c>
      <c r="AJ155">
        <v>0</v>
      </c>
      <c r="AK155">
        <v>5</v>
      </c>
      <c r="AL155" t="s">
        <v>3149</v>
      </c>
      <c r="AM155" t="s">
        <v>1797</v>
      </c>
      <c r="AN155" t="s">
        <v>3150</v>
      </c>
      <c r="AO155" t="s">
        <v>3151</v>
      </c>
      <c r="AP155" t="s">
        <v>74</v>
      </c>
      <c r="AQ155" t="s">
        <v>74</v>
      </c>
      <c r="AR155" t="s">
        <v>3152</v>
      </c>
      <c r="AS155" t="s">
        <v>3153</v>
      </c>
      <c r="AT155" t="s">
        <v>74</v>
      </c>
      <c r="AU155">
        <v>2018</v>
      </c>
      <c r="AV155">
        <v>3</v>
      </c>
      <c r="AW155">
        <v>61</v>
      </c>
      <c r="AX155" t="s">
        <v>74</v>
      </c>
      <c r="AY155" t="s">
        <v>74</v>
      </c>
      <c r="AZ155" t="s">
        <v>74</v>
      </c>
      <c r="BA155" t="s">
        <v>74</v>
      </c>
      <c r="BB155">
        <v>3557</v>
      </c>
      <c r="BC155">
        <v>3562</v>
      </c>
      <c r="BD155" t="s">
        <v>74</v>
      </c>
      <c r="BE155" t="s">
        <v>3154</v>
      </c>
      <c r="BF155" t="str">
        <f>HYPERLINK("http://dx.doi.org/10.1557/adv.2018.533","http://dx.doi.org/10.1557/adv.2018.533")</f>
        <v>http://dx.doi.org/10.1557/adv.2018.533</v>
      </c>
      <c r="BG155" t="s">
        <v>74</v>
      </c>
      <c r="BH155" t="s">
        <v>74</v>
      </c>
      <c r="BI155">
        <v>6</v>
      </c>
      <c r="BJ155" t="s">
        <v>3155</v>
      </c>
      <c r="BK155" t="s">
        <v>2081</v>
      </c>
      <c r="BL155" t="s">
        <v>3156</v>
      </c>
      <c r="BM155" t="s">
        <v>3157</v>
      </c>
      <c r="BN155" t="s">
        <v>74</v>
      </c>
      <c r="BO155" t="s">
        <v>74</v>
      </c>
      <c r="BP155" t="s">
        <v>74</v>
      </c>
      <c r="BQ155" t="s">
        <v>74</v>
      </c>
      <c r="BR155" t="s">
        <v>105</v>
      </c>
      <c r="BS155" t="s">
        <v>3158</v>
      </c>
      <c r="BT155" t="str">
        <f>HYPERLINK("https%3A%2F%2Fwww.webofscience.com%2Fwos%2Fwoscc%2Ffull-record%2FWOS:000456267700004","View Full Record in Web of Science")</f>
        <v>View Full Record in Web of Science</v>
      </c>
    </row>
    <row r="156" spans="1:72" x14ac:dyDescent="0.15">
      <c r="A156" t="s">
        <v>72</v>
      </c>
      <c r="B156" t="s">
        <v>3159</v>
      </c>
      <c r="C156" t="s">
        <v>74</v>
      </c>
      <c r="D156" t="s">
        <v>74</v>
      </c>
      <c r="E156" t="s">
        <v>74</v>
      </c>
      <c r="F156" t="s">
        <v>3160</v>
      </c>
      <c r="G156" t="s">
        <v>74</v>
      </c>
      <c r="H156" t="s">
        <v>74</v>
      </c>
      <c r="I156" t="s">
        <v>3161</v>
      </c>
      <c r="J156" t="s">
        <v>3162</v>
      </c>
      <c r="K156" t="s">
        <v>74</v>
      </c>
      <c r="L156" t="s">
        <v>74</v>
      </c>
      <c r="M156" t="s">
        <v>78</v>
      </c>
      <c r="N156" t="s">
        <v>79</v>
      </c>
      <c r="O156" t="s">
        <v>74</v>
      </c>
      <c r="P156" t="s">
        <v>74</v>
      </c>
      <c r="Q156" t="s">
        <v>74</v>
      </c>
      <c r="R156" t="s">
        <v>74</v>
      </c>
      <c r="S156" t="s">
        <v>74</v>
      </c>
      <c r="T156" t="s">
        <v>3163</v>
      </c>
      <c r="U156" t="s">
        <v>3164</v>
      </c>
      <c r="V156" t="s">
        <v>3165</v>
      </c>
      <c r="W156" t="s">
        <v>3166</v>
      </c>
      <c r="X156" t="s">
        <v>3167</v>
      </c>
      <c r="Y156" t="s">
        <v>3168</v>
      </c>
      <c r="Z156" t="s">
        <v>3169</v>
      </c>
      <c r="AA156" t="s">
        <v>3170</v>
      </c>
      <c r="AB156" t="s">
        <v>3171</v>
      </c>
      <c r="AC156" t="s">
        <v>3172</v>
      </c>
      <c r="AD156" t="s">
        <v>3173</v>
      </c>
      <c r="AE156" t="s">
        <v>3174</v>
      </c>
      <c r="AF156" t="s">
        <v>74</v>
      </c>
      <c r="AG156">
        <v>54</v>
      </c>
      <c r="AH156">
        <v>5</v>
      </c>
      <c r="AI156">
        <v>5</v>
      </c>
      <c r="AJ156">
        <v>0</v>
      </c>
      <c r="AK156">
        <v>4</v>
      </c>
      <c r="AL156" t="s">
        <v>1700</v>
      </c>
      <c r="AM156" t="s">
        <v>1701</v>
      </c>
      <c r="AN156" t="s">
        <v>1702</v>
      </c>
      <c r="AO156" t="s">
        <v>3175</v>
      </c>
      <c r="AP156" t="s">
        <v>3176</v>
      </c>
      <c r="AQ156" t="s">
        <v>74</v>
      </c>
      <c r="AR156" t="s">
        <v>3162</v>
      </c>
      <c r="AS156" t="s">
        <v>3177</v>
      </c>
      <c r="AT156" t="s">
        <v>74</v>
      </c>
      <c r="AU156">
        <v>2018</v>
      </c>
      <c r="AV156">
        <v>8</v>
      </c>
      <c r="AW156">
        <v>3</v>
      </c>
      <c r="AX156" t="s">
        <v>74</v>
      </c>
      <c r="AY156" t="s">
        <v>74</v>
      </c>
      <c r="AZ156" t="s">
        <v>74</v>
      </c>
      <c r="BA156" t="s">
        <v>74</v>
      </c>
      <c r="BB156">
        <v>341</v>
      </c>
      <c r="BC156">
        <v>355</v>
      </c>
      <c r="BD156" t="s">
        <v>74</v>
      </c>
      <c r="BE156" t="s">
        <v>3178</v>
      </c>
      <c r="BF156" t="str">
        <f>HYPERLINK("http://dx.doi.org/10.1080/20442041.2018.1487118","http://dx.doi.org/10.1080/20442041.2018.1487118")</f>
        <v>http://dx.doi.org/10.1080/20442041.2018.1487118</v>
      </c>
      <c r="BG156" t="s">
        <v>74</v>
      </c>
      <c r="BH156" t="s">
        <v>74</v>
      </c>
      <c r="BI156">
        <v>15</v>
      </c>
      <c r="BJ156" t="s">
        <v>3179</v>
      </c>
      <c r="BK156" t="s">
        <v>101</v>
      </c>
      <c r="BL156" t="s">
        <v>3180</v>
      </c>
      <c r="BM156" t="s">
        <v>3181</v>
      </c>
      <c r="BN156" t="s">
        <v>74</v>
      </c>
      <c r="BO156" t="s">
        <v>74</v>
      </c>
      <c r="BP156" t="s">
        <v>74</v>
      </c>
      <c r="BQ156" t="s">
        <v>74</v>
      </c>
      <c r="BR156" t="s">
        <v>105</v>
      </c>
      <c r="BS156" t="s">
        <v>3182</v>
      </c>
      <c r="BT156" t="str">
        <f>HYPERLINK("https%3A%2F%2Fwww.webofscience.com%2Fwos%2Fwoscc%2Ffull-record%2FWOS:000456214100009","View Full Record in Web of Science")</f>
        <v>View Full Record in Web of Science</v>
      </c>
    </row>
    <row r="157" spans="1:72" x14ac:dyDescent="0.15">
      <c r="A157" t="s">
        <v>72</v>
      </c>
      <c r="B157" t="s">
        <v>3183</v>
      </c>
      <c r="C157" t="s">
        <v>74</v>
      </c>
      <c r="D157" t="s">
        <v>74</v>
      </c>
      <c r="E157" t="s">
        <v>74</v>
      </c>
      <c r="F157" t="s">
        <v>3184</v>
      </c>
      <c r="G157" t="s">
        <v>74</v>
      </c>
      <c r="H157" t="s">
        <v>74</v>
      </c>
      <c r="I157" t="s">
        <v>3185</v>
      </c>
      <c r="J157" t="s">
        <v>3186</v>
      </c>
      <c r="K157" t="s">
        <v>74</v>
      </c>
      <c r="L157" t="s">
        <v>74</v>
      </c>
      <c r="M157" t="s">
        <v>78</v>
      </c>
      <c r="N157" t="s">
        <v>289</v>
      </c>
      <c r="O157" t="s">
        <v>74</v>
      </c>
      <c r="P157" t="s">
        <v>74</v>
      </c>
      <c r="Q157" t="s">
        <v>74</v>
      </c>
      <c r="R157" t="s">
        <v>74</v>
      </c>
      <c r="S157" t="s">
        <v>74</v>
      </c>
      <c r="T157" t="s">
        <v>3187</v>
      </c>
      <c r="U157" t="s">
        <v>3188</v>
      </c>
      <c r="V157" t="s">
        <v>3189</v>
      </c>
      <c r="W157" t="s">
        <v>3190</v>
      </c>
      <c r="X157" t="s">
        <v>3191</v>
      </c>
      <c r="Y157" t="s">
        <v>3192</v>
      </c>
      <c r="Z157" t="s">
        <v>3193</v>
      </c>
      <c r="AA157" t="s">
        <v>3194</v>
      </c>
      <c r="AB157" t="s">
        <v>3195</v>
      </c>
      <c r="AC157" t="s">
        <v>3196</v>
      </c>
      <c r="AD157" t="s">
        <v>3197</v>
      </c>
      <c r="AE157" t="s">
        <v>3198</v>
      </c>
      <c r="AF157" t="s">
        <v>74</v>
      </c>
      <c r="AG157">
        <v>118</v>
      </c>
      <c r="AH157">
        <v>10</v>
      </c>
      <c r="AI157">
        <v>10</v>
      </c>
      <c r="AJ157">
        <v>0</v>
      </c>
      <c r="AK157">
        <v>18</v>
      </c>
      <c r="AL157" t="s">
        <v>3199</v>
      </c>
      <c r="AM157" t="s">
        <v>3200</v>
      </c>
      <c r="AN157" t="s">
        <v>3201</v>
      </c>
      <c r="AO157" t="s">
        <v>3202</v>
      </c>
      <c r="AP157" t="s">
        <v>74</v>
      </c>
      <c r="AQ157" t="s">
        <v>74</v>
      </c>
      <c r="AR157" t="s">
        <v>3203</v>
      </c>
      <c r="AS157" t="s">
        <v>3204</v>
      </c>
      <c r="AT157" t="s">
        <v>2468</v>
      </c>
      <c r="AU157">
        <v>2018</v>
      </c>
      <c r="AV157">
        <v>26</v>
      </c>
      <c r="AW157">
        <v>1</v>
      </c>
      <c r="AX157" t="s">
        <v>74</v>
      </c>
      <c r="AY157" t="s">
        <v>74</v>
      </c>
      <c r="AZ157" t="s">
        <v>74</v>
      </c>
      <c r="BA157" t="s">
        <v>74</v>
      </c>
      <c r="BB157">
        <v>1</v>
      </c>
      <c r="BC157">
        <v>19</v>
      </c>
      <c r="BD157" t="s">
        <v>74</v>
      </c>
      <c r="BE157" t="s">
        <v>74</v>
      </c>
      <c r="BF157" t="s">
        <v>74</v>
      </c>
      <c r="BG157" t="s">
        <v>74</v>
      </c>
      <c r="BH157" t="s">
        <v>74</v>
      </c>
      <c r="BI157">
        <v>19</v>
      </c>
      <c r="BJ157" t="s">
        <v>129</v>
      </c>
      <c r="BK157" t="s">
        <v>2081</v>
      </c>
      <c r="BL157" t="s">
        <v>130</v>
      </c>
      <c r="BM157" t="s">
        <v>3205</v>
      </c>
      <c r="BN157" t="s">
        <v>74</v>
      </c>
      <c r="BO157" t="s">
        <v>74</v>
      </c>
      <c r="BP157" t="s">
        <v>74</v>
      </c>
      <c r="BQ157" t="s">
        <v>74</v>
      </c>
      <c r="BR157" t="s">
        <v>105</v>
      </c>
      <c r="BS157" t="s">
        <v>3206</v>
      </c>
      <c r="BT157" t="str">
        <f>HYPERLINK("https%3A%2F%2Fwww.webofscience.com%2Fwos%2Fwoscc%2Ffull-record%2FWOS:000456095400002","View Full Record in Web of Science")</f>
        <v>View Full Record in Web of Science</v>
      </c>
    </row>
    <row r="158" spans="1:72" x14ac:dyDescent="0.15">
      <c r="A158" t="s">
        <v>72</v>
      </c>
      <c r="B158" t="s">
        <v>3207</v>
      </c>
      <c r="C158" t="s">
        <v>74</v>
      </c>
      <c r="D158" t="s">
        <v>74</v>
      </c>
      <c r="E158" t="s">
        <v>74</v>
      </c>
      <c r="F158" t="s">
        <v>3208</v>
      </c>
      <c r="G158" t="s">
        <v>74</v>
      </c>
      <c r="H158" t="s">
        <v>74</v>
      </c>
      <c r="I158" t="s">
        <v>3209</v>
      </c>
      <c r="J158" t="s">
        <v>3210</v>
      </c>
      <c r="K158" t="s">
        <v>74</v>
      </c>
      <c r="L158" t="s">
        <v>74</v>
      </c>
      <c r="M158" t="s">
        <v>78</v>
      </c>
      <c r="N158" t="s">
        <v>79</v>
      </c>
      <c r="O158" t="s">
        <v>74</v>
      </c>
      <c r="P158" t="s">
        <v>74</v>
      </c>
      <c r="Q158" t="s">
        <v>74</v>
      </c>
      <c r="R158" t="s">
        <v>74</v>
      </c>
      <c r="S158" t="s">
        <v>74</v>
      </c>
      <c r="T158" t="s">
        <v>3211</v>
      </c>
      <c r="U158" t="s">
        <v>3212</v>
      </c>
      <c r="V158" t="s">
        <v>3213</v>
      </c>
      <c r="W158" t="s">
        <v>3214</v>
      </c>
      <c r="X158" t="s">
        <v>3215</v>
      </c>
      <c r="Y158" t="s">
        <v>3216</v>
      </c>
      <c r="Z158" t="s">
        <v>3217</v>
      </c>
      <c r="AA158" t="s">
        <v>3218</v>
      </c>
      <c r="AB158" t="s">
        <v>74</v>
      </c>
      <c r="AC158" t="s">
        <v>3219</v>
      </c>
      <c r="AD158" t="s">
        <v>3220</v>
      </c>
      <c r="AE158" t="s">
        <v>3221</v>
      </c>
      <c r="AF158" t="s">
        <v>74</v>
      </c>
      <c r="AG158">
        <v>45</v>
      </c>
      <c r="AH158">
        <v>4</v>
      </c>
      <c r="AI158">
        <v>5</v>
      </c>
      <c r="AJ158">
        <v>3</v>
      </c>
      <c r="AK158">
        <v>9</v>
      </c>
      <c r="AL158" t="s">
        <v>3222</v>
      </c>
      <c r="AM158" t="s">
        <v>3223</v>
      </c>
      <c r="AN158" t="s">
        <v>3224</v>
      </c>
      <c r="AO158" t="s">
        <v>3225</v>
      </c>
      <c r="AP158" t="s">
        <v>74</v>
      </c>
      <c r="AQ158" t="s">
        <v>74</v>
      </c>
      <c r="AR158" t="s">
        <v>3210</v>
      </c>
      <c r="AS158" t="s">
        <v>3226</v>
      </c>
      <c r="AT158" t="s">
        <v>74</v>
      </c>
      <c r="AU158">
        <v>2018</v>
      </c>
      <c r="AV158">
        <v>9</v>
      </c>
      <c r="AW158">
        <v>6</v>
      </c>
      <c r="AX158" t="s">
        <v>74</v>
      </c>
      <c r="AY158" t="s">
        <v>74</v>
      </c>
      <c r="AZ158" t="s">
        <v>74</v>
      </c>
      <c r="BA158" t="s">
        <v>74</v>
      </c>
      <c r="BB158">
        <v>1222</v>
      </c>
      <c r="BC158">
        <v>1234</v>
      </c>
      <c r="BD158" t="s">
        <v>74</v>
      </c>
      <c r="BE158" t="s">
        <v>3227</v>
      </c>
      <c r="BF158" t="str">
        <f>HYPERLINK("http://dx.doi.org/10.5943/mycosphere/9/6/11","http://dx.doi.org/10.5943/mycosphere/9/6/11")</f>
        <v>http://dx.doi.org/10.5943/mycosphere/9/6/11</v>
      </c>
      <c r="BG158" t="s">
        <v>74</v>
      </c>
      <c r="BH158" t="s">
        <v>74</v>
      </c>
      <c r="BI158">
        <v>13</v>
      </c>
      <c r="BJ158" t="s">
        <v>3228</v>
      </c>
      <c r="BK158" t="s">
        <v>101</v>
      </c>
      <c r="BL158" t="s">
        <v>3228</v>
      </c>
      <c r="BM158" t="s">
        <v>3229</v>
      </c>
      <c r="BN158" t="s">
        <v>74</v>
      </c>
      <c r="BO158" t="s">
        <v>160</v>
      </c>
      <c r="BP158" t="s">
        <v>74</v>
      </c>
      <c r="BQ158" t="s">
        <v>74</v>
      </c>
      <c r="BR158" t="s">
        <v>105</v>
      </c>
      <c r="BS158" t="s">
        <v>3230</v>
      </c>
      <c r="BT158" t="str">
        <f>HYPERLINK("https%3A%2F%2Fwww.webofscience.com%2Fwos%2Fwoscc%2Ffull-record%2FWOS:000456197900011","View Full Record in Web of Science")</f>
        <v>View Full Record in Web of Science</v>
      </c>
    </row>
    <row r="159" spans="1:72" x14ac:dyDescent="0.15">
      <c r="A159" t="s">
        <v>72</v>
      </c>
      <c r="B159" t="s">
        <v>3231</v>
      </c>
      <c r="C159" t="s">
        <v>74</v>
      </c>
      <c r="D159" t="s">
        <v>74</v>
      </c>
      <c r="E159" t="s">
        <v>74</v>
      </c>
      <c r="F159" t="s">
        <v>3232</v>
      </c>
      <c r="G159" t="s">
        <v>74</v>
      </c>
      <c r="H159" t="s">
        <v>74</v>
      </c>
      <c r="I159" t="s">
        <v>3233</v>
      </c>
      <c r="J159" t="s">
        <v>3234</v>
      </c>
      <c r="K159" t="s">
        <v>74</v>
      </c>
      <c r="L159" t="s">
        <v>74</v>
      </c>
      <c r="M159" t="s">
        <v>78</v>
      </c>
      <c r="N159" t="s">
        <v>79</v>
      </c>
      <c r="O159" t="s">
        <v>74</v>
      </c>
      <c r="P159" t="s">
        <v>74</v>
      </c>
      <c r="Q159" t="s">
        <v>74</v>
      </c>
      <c r="R159" t="s">
        <v>74</v>
      </c>
      <c r="S159" t="s">
        <v>74</v>
      </c>
      <c r="T159" t="s">
        <v>3235</v>
      </c>
      <c r="U159" t="s">
        <v>3236</v>
      </c>
      <c r="V159" t="s">
        <v>3237</v>
      </c>
      <c r="W159" t="s">
        <v>3238</v>
      </c>
      <c r="X159" t="s">
        <v>3239</v>
      </c>
      <c r="Y159" t="s">
        <v>3240</v>
      </c>
      <c r="Z159" t="s">
        <v>3241</v>
      </c>
      <c r="AA159" t="s">
        <v>3242</v>
      </c>
      <c r="AB159" t="s">
        <v>3243</v>
      </c>
      <c r="AC159" t="s">
        <v>3244</v>
      </c>
      <c r="AD159" t="s">
        <v>3245</v>
      </c>
      <c r="AE159" t="s">
        <v>3246</v>
      </c>
      <c r="AF159" t="s">
        <v>74</v>
      </c>
      <c r="AG159">
        <v>163</v>
      </c>
      <c r="AH159">
        <v>4</v>
      </c>
      <c r="AI159">
        <v>4</v>
      </c>
      <c r="AJ159">
        <v>1</v>
      </c>
      <c r="AK159">
        <v>5</v>
      </c>
      <c r="AL159" t="s">
        <v>3247</v>
      </c>
      <c r="AM159" t="s">
        <v>3248</v>
      </c>
      <c r="AN159" t="s">
        <v>3249</v>
      </c>
      <c r="AO159" t="s">
        <v>3250</v>
      </c>
      <c r="AP159" t="s">
        <v>3251</v>
      </c>
      <c r="AQ159" t="s">
        <v>74</v>
      </c>
      <c r="AR159" t="s">
        <v>3252</v>
      </c>
      <c r="AS159" t="s">
        <v>3253</v>
      </c>
      <c r="AT159" t="s">
        <v>74</v>
      </c>
      <c r="AU159">
        <v>2018</v>
      </c>
      <c r="AV159">
        <v>87</v>
      </c>
      <c r="AW159">
        <v>4</v>
      </c>
      <c r="AX159" t="s">
        <v>74</v>
      </c>
      <c r="AY159" t="s">
        <v>74</v>
      </c>
      <c r="AZ159" t="s">
        <v>1146</v>
      </c>
      <c r="BA159" t="s">
        <v>74</v>
      </c>
      <c r="BB159" t="s">
        <v>74</v>
      </c>
      <c r="BC159" t="s">
        <v>74</v>
      </c>
      <c r="BD159">
        <v>3597</v>
      </c>
      <c r="BE159" t="s">
        <v>3254</v>
      </c>
      <c r="BF159" t="str">
        <f>HYPERLINK("http://dx.doi.org/10.5586/asbp.3597","http://dx.doi.org/10.5586/asbp.3597")</f>
        <v>http://dx.doi.org/10.5586/asbp.3597</v>
      </c>
      <c r="BG159" t="s">
        <v>74</v>
      </c>
      <c r="BH159" t="s">
        <v>74</v>
      </c>
      <c r="BI159">
        <v>17</v>
      </c>
      <c r="BJ159" t="s">
        <v>492</v>
      </c>
      <c r="BK159" t="s">
        <v>101</v>
      </c>
      <c r="BL159" t="s">
        <v>492</v>
      </c>
      <c r="BM159" t="s">
        <v>3255</v>
      </c>
      <c r="BN159" t="s">
        <v>74</v>
      </c>
      <c r="BO159" t="s">
        <v>160</v>
      </c>
      <c r="BP159" t="s">
        <v>74</v>
      </c>
      <c r="BQ159" t="s">
        <v>74</v>
      </c>
      <c r="BR159" t="s">
        <v>105</v>
      </c>
      <c r="BS159" t="s">
        <v>3256</v>
      </c>
      <c r="BT159" t="str">
        <f>HYPERLINK("https%3A%2F%2Fwww.webofscience.com%2Fwos%2Fwoscc%2Ffull-record%2FWOS:000455583800003","View Full Record in Web of Science")</f>
        <v>View Full Record in Web of Science</v>
      </c>
    </row>
    <row r="160" spans="1:72" x14ac:dyDescent="0.15">
      <c r="A160" t="s">
        <v>72</v>
      </c>
      <c r="B160" t="s">
        <v>3257</v>
      </c>
      <c r="C160" t="s">
        <v>74</v>
      </c>
      <c r="D160" t="s">
        <v>74</v>
      </c>
      <c r="E160" t="s">
        <v>74</v>
      </c>
      <c r="F160" t="s">
        <v>3258</v>
      </c>
      <c r="G160" t="s">
        <v>74</v>
      </c>
      <c r="H160" t="s">
        <v>74</v>
      </c>
      <c r="I160" t="s">
        <v>3259</v>
      </c>
      <c r="J160" t="s">
        <v>3234</v>
      </c>
      <c r="K160" t="s">
        <v>74</v>
      </c>
      <c r="L160" t="s">
        <v>74</v>
      </c>
      <c r="M160" t="s">
        <v>78</v>
      </c>
      <c r="N160" t="s">
        <v>79</v>
      </c>
      <c r="O160" t="s">
        <v>74</v>
      </c>
      <c r="P160" t="s">
        <v>74</v>
      </c>
      <c r="Q160" t="s">
        <v>74</v>
      </c>
      <c r="R160" t="s">
        <v>74</v>
      </c>
      <c r="S160" t="s">
        <v>74</v>
      </c>
      <c r="T160" t="s">
        <v>3260</v>
      </c>
      <c r="U160" t="s">
        <v>3261</v>
      </c>
      <c r="V160" t="s">
        <v>3262</v>
      </c>
      <c r="W160" t="s">
        <v>3263</v>
      </c>
      <c r="X160" t="s">
        <v>3264</v>
      </c>
      <c r="Y160" t="s">
        <v>3265</v>
      </c>
      <c r="Z160" t="s">
        <v>3266</v>
      </c>
      <c r="AA160" t="s">
        <v>3267</v>
      </c>
      <c r="AB160" t="s">
        <v>3268</v>
      </c>
      <c r="AC160" t="s">
        <v>3269</v>
      </c>
      <c r="AD160" t="s">
        <v>3270</v>
      </c>
      <c r="AE160" t="s">
        <v>3271</v>
      </c>
      <c r="AF160" t="s">
        <v>74</v>
      </c>
      <c r="AG160">
        <v>59</v>
      </c>
      <c r="AH160">
        <v>2</v>
      </c>
      <c r="AI160">
        <v>2</v>
      </c>
      <c r="AJ160">
        <v>0</v>
      </c>
      <c r="AK160">
        <v>2</v>
      </c>
      <c r="AL160" t="s">
        <v>3247</v>
      </c>
      <c r="AM160" t="s">
        <v>3248</v>
      </c>
      <c r="AN160" t="s">
        <v>3249</v>
      </c>
      <c r="AO160" t="s">
        <v>3250</v>
      </c>
      <c r="AP160" t="s">
        <v>3251</v>
      </c>
      <c r="AQ160" t="s">
        <v>74</v>
      </c>
      <c r="AR160" t="s">
        <v>3252</v>
      </c>
      <c r="AS160" t="s">
        <v>3253</v>
      </c>
      <c r="AT160" t="s">
        <v>74</v>
      </c>
      <c r="AU160">
        <v>2018</v>
      </c>
      <c r="AV160">
        <v>87</v>
      </c>
      <c r="AW160">
        <v>4</v>
      </c>
      <c r="AX160" t="s">
        <v>74</v>
      </c>
      <c r="AY160" t="s">
        <v>74</v>
      </c>
      <c r="AZ160" t="s">
        <v>1146</v>
      </c>
      <c r="BA160" t="s">
        <v>74</v>
      </c>
      <c r="BB160" t="s">
        <v>74</v>
      </c>
      <c r="BC160" t="s">
        <v>74</v>
      </c>
      <c r="BD160">
        <v>3601</v>
      </c>
      <c r="BE160" t="s">
        <v>3272</v>
      </c>
      <c r="BF160" t="str">
        <f>HYPERLINK("http://dx.doi.org/10.5586/asbp.3601","http://dx.doi.org/10.5586/asbp.3601")</f>
        <v>http://dx.doi.org/10.5586/asbp.3601</v>
      </c>
      <c r="BG160" t="s">
        <v>74</v>
      </c>
      <c r="BH160" t="s">
        <v>74</v>
      </c>
      <c r="BI160">
        <v>14</v>
      </c>
      <c r="BJ160" t="s">
        <v>492</v>
      </c>
      <c r="BK160" t="s">
        <v>101</v>
      </c>
      <c r="BL160" t="s">
        <v>492</v>
      </c>
      <c r="BM160" t="s">
        <v>3255</v>
      </c>
      <c r="BN160" t="s">
        <v>74</v>
      </c>
      <c r="BO160" t="s">
        <v>160</v>
      </c>
      <c r="BP160" t="s">
        <v>74</v>
      </c>
      <c r="BQ160" t="s">
        <v>74</v>
      </c>
      <c r="BR160" t="s">
        <v>105</v>
      </c>
      <c r="BS160" t="s">
        <v>3273</v>
      </c>
      <c r="BT160" t="str">
        <f>HYPERLINK("https%3A%2F%2Fwww.webofscience.com%2Fwos%2Fwoscc%2Ffull-record%2FWOS:000455583800007","View Full Record in Web of Science")</f>
        <v>View Full Record in Web of Science</v>
      </c>
    </row>
    <row r="161" spans="1:72" x14ac:dyDescent="0.15">
      <c r="A161" t="s">
        <v>72</v>
      </c>
      <c r="B161" t="s">
        <v>3274</v>
      </c>
      <c r="C161" t="s">
        <v>74</v>
      </c>
      <c r="D161" t="s">
        <v>74</v>
      </c>
      <c r="E161" t="s">
        <v>74</v>
      </c>
      <c r="F161" t="s">
        <v>3275</v>
      </c>
      <c r="G161" t="s">
        <v>74</v>
      </c>
      <c r="H161" t="s">
        <v>74</v>
      </c>
      <c r="I161" t="s">
        <v>3276</v>
      </c>
      <c r="J161" t="s">
        <v>3234</v>
      </c>
      <c r="K161" t="s">
        <v>74</v>
      </c>
      <c r="L161" t="s">
        <v>74</v>
      </c>
      <c r="M161" t="s">
        <v>78</v>
      </c>
      <c r="N161" t="s">
        <v>79</v>
      </c>
      <c r="O161" t="s">
        <v>74</v>
      </c>
      <c r="P161" t="s">
        <v>74</v>
      </c>
      <c r="Q161" t="s">
        <v>74</v>
      </c>
      <c r="R161" t="s">
        <v>74</v>
      </c>
      <c r="S161" t="s">
        <v>74</v>
      </c>
      <c r="T161" t="s">
        <v>3277</v>
      </c>
      <c r="U161" t="s">
        <v>3278</v>
      </c>
      <c r="V161" t="s">
        <v>3279</v>
      </c>
      <c r="W161" t="s">
        <v>3280</v>
      </c>
      <c r="X161" t="s">
        <v>3281</v>
      </c>
      <c r="Y161" t="s">
        <v>3282</v>
      </c>
      <c r="Z161" t="s">
        <v>3283</v>
      </c>
      <c r="AA161" t="s">
        <v>3284</v>
      </c>
      <c r="AB161" t="s">
        <v>3285</v>
      </c>
      <c r="AC161" t="s">
        <v>3286</v>
      </c>
      <c r="AD161" t="s">
        <v>3287</v>
      </c>
      <c r="AE161" t="s">
        <v>3288</v>
      </c>
      <c r="AF161" t="s">
        <v>74</v>
      </c>
      <c r="AG161">
        <v>30</v>
      </c>
      <c r="AH161">
        <v>5</v>
      </c>
      <c r="AI161">
        <v>5</v>
      </c>
      <c r="AJ161">
        <v>0</v>
      </c>
      <c r="AK161">
        <v>2</v>
      </c>
      <c r="AL161" t="s">
        <v>3247</v>
      </c>
      <c r="AM161" t="s">
        <v>3248</v>
      </c>
      <c r="AN161" t="s">
        <v>3249</v>
      </c>
      <c r="AO161" t="s">
        <v>3250</v>
      </c>
      <c r="AP161" t="s">
        <v>3251</v>
      </c>
      <c r="AQ161" t="s">
        <v>74</v>
      </c>
      <c r="AR161" t="s">
        <v>3252</v>
      </c>
      <c r="AS161" t="s">
        <v>3253</v>
      </c>
      <c r="AT161" t="s">
        <v>74</v>
      </c>
      <c r="AU161">
        <v>2018</v>
      </c>
      <c r="AV161">
        <v>87</v>
      </c>
      <c r="AW161">
        <v>4</v>
      </c>
      <c r="AX161" t="s">
        <v>74</v>
      </c>
      <c r="AY161" t="s">
        <v>74</v>
      </c>
      <c r="AZ161" t="s">
        <v>1146</v>
      </c>
      <c r="BA161" t="s">
        <v>74</v>
      </c>
      <c r="BB161" t="s">
        <v>74</v>
      </c>
      <c r="BC161" t="s">
        <v>74</v>
      </c>
      <c r="BD161">
        <v>3596</v>
      </c>
      <c r="BE161" t="s">
        <v>3289</v>
      </c>
      <c r="BF161" t="str">
        <f>HYPERLINK("http://dx.doi.org/10.5586/asbp.3596","http://dx.doi.org/10.5586/asbp.3596")</f>
        <v>http://dx.doi.org/10.5586/asbp.3596</v>
      </c>
      <c r="BG161" t="s">
        <v>74</v>
      </c>
      <c r="BH161" t="s">
        <v>74</v>
      </c>
      <c r="BI161">
        <v>18</v>
      </c>
      <c r="BJ161" t="s">
        <v>492</v>
      </c>
      <c r="BK161" t="s">
        <v>101</v>
      </c>
      <c r="BL161" t="s">
        <v>492</v>
      </c>
      <c r="BM161" t="s">
        <v>3255</v>
      </c>
      <c r="BN161" t="s">
        <v>74</v>
      </c>
      <c r="BO161" t="s">
        <v>494</v>
      </c>
      <c r="BP161" t="s">
        <v>74</v>
      </c>
      <c r="BQ161" t="s">
        <v>74</v>
      </c>
      <c r="BR161" t="s">
        <v>105</v>
      </c>
      <c r="BS161" t="s">
        <v>3290</v>
      </c>
      <c r="BT161" t="str">
        <f>HYPERLINK("https%3A%2F%2Fwww.webofscience.com%2Fwos%2Fwoscc%2Ffull-record%2FWOS:000455583800002","View Full Record in Web of Science")</f>
        <v>View Full Record in Web of Science</v>
      </c>
    </row>
    <row r="162" spans="1:72" x14ac:dyDescent="0.15">
      <c r="A162" t="s">
        <v>72</v>
      </c>
      <c r="B162" t="s">
        <v>3291</v>
      </c>
      <c r="C162" t="s">
        <v>74</v>
      </c>
      <c r="D162" t="s">
        <v>74</v>
      </c>
      <c r="E162" t="s">
        <v>74</v>
      </c>
      <c r="F162" t="s">
        <v>3292</v>
      </c>
      <c r="G162" t="s">
        <v>74</v>
      </c>
      <c r="H162" t="s">
        <v>74</v>
      </c>
      <c r="I162" t="s">
        <v>3293</v>
      </c>
      <c r="J162" t="s">
        <v>3234</v>
      </c>
      <c r="K162" t="s">
        <v>74</v>
      </c>
      <c r="L162" t="s">
        <v>74</v>
      </c>
      <c r="M162" t="s">
        <v>78</v>
      </c>
      <c r="N162" t="s">
        <v>79</v>
      </c>
      <c r="O162" t="s">
        <v>74</v>
      </c>
      <c r="P162" t="s">
        <v>74</v>
      </c>
      <c r="Q162" t="s">
        <v>74</v>
      </c>
      <c r="R162" t="s">
        <v>74</v>
      </c>
      <c r="S162" t="s">
        <v>74</v>
      </c>
      <c r="T162" t="s">
        <v>3294</v>
      </c>
      <c r="U162" t="s">
        <v>3295</v>
      </c>
      <c r="V162" t="s">
        <v>3296</v>
      </c>
      <c r="W162" t="s">
        <v>3297</v>
      </c>
      <c r="X162" t="s">
        <v>3298</v>
      </c>
      <c r="Y162" t="s">
        <v>3299</v>
      </c>
      <c r="Z162" t="s">
        <v>3300</v>
      </c>
      <c r="AA162" t="s">
        <v>3301</v>
      </c>
      <c r="AB162" t="s">
        <v>3302</v>
      </c>
      <c r="AC162" t="s">
        <v>3303</v>
      </c>
      <c r="AD162" t="s">
        <v>3304</v>
      </c>
      <c r="AE162" t="s">
        <v>3305</v>
      </c>
      <c r="AF162" t="s">
        <v>74</v>
      </c>
      <c r="AG162">
        <v>81</v>
      </c>
      <c r="AH162">
        <v>8</v>
      </c>
      <c r="AI162">
        <v>9</v>
      </c>
      <c r="AJ162">
        <v>0</v>
      </c>
      <c r="AK162">
        <v>9</v>
      </c>
      <c r="AL162" t="s">
        <v>3247</v>
      </c>
      <c r="AM162" t="s">
        <v>3248</v>
      </c>
      <c r="AN162" t="s">
        <v>3249</v>
      </c>
      <c r="AO162" t="s">
        <v>3250</v>
      </c>
      <c r="AP162" t="s">
        <v>3251</v>
      </c>
      <c r="AQ162" t="s">
        <v>74</v>
      </c>
      <c r="AR162" t="s">
        <v>3252</v>
      </c>
      <c r="AS162" t="s">
        <v>3253</v>
      </c>
      <c r="AT162" t="s">
        <v>74</v>
      </c>
      <c r="AU162">
        <v>2018</v>
      </c>
      <c r="AV162">
        <v>87</v>
      </c>
      <c r="AW162">
        <v>4</v>
      </c>
      <c r="AX162" t="s">
        <v>74</v>
      </c>
      <c r="AY162" t="s">
        <v>74</v>
      </c>
      <c r="AZ162" t="s">
        <v>1146</v>
      </c>
      <c r="BA162" t="s">
        <v>74</v>
      </c>
      <c r="BB162" t="s">
        <v>74</v>
      </c>
      <c r="BC162" t="s">
        <v>74</v>
      </c>
      <c r="BD162">
        <v>3605</v>
      </c>
      <c r="BE162" t="s">
        <v>3306</v>
      </c>
      <c r="BF162" t="str">
        <f>HYPERLINK("http://dx.doi.org/10.5586/asbp.3605","http://dx.doi.org/10.5586/asbp.3605")</f>
        <v>http://dx.doi.org/10.5586/asbp.3605</v>
      </c>
      <c r="BG162" t="s">
        <v>74</v>
      </c>
      <c r="BH162" t="s">
        <v>74</v>
      </c>
      <c r="BI162">
        <v>21</v>
      </c>
      <c r="BJ162" t="s">
        <v>492</v>
      </c>
      <c r="BK162" t="s">
        <v>101</v>
      </c>
      <c r="BL162" t="s">
        <v>492</v>
      </c>
      <c r="BM162" t="s">
        <v>3255</v>
      </c>
      <c r="BN162" t="s">
        <v>74</v>
      </c>
      <c r="BO162" t="s">
        <v>160</v>
      </c>
      <c r="BP162" t="s">
        <v>74</v>
      </c>
      <c r="BQ162" t="s">
        <v>74</v>
      </c>
      <c r="BR162" t="s">
        <v>105</v>
      </c>
      <c r="BS162" t="s">
        <v>3307</v>
      </c>
      <c r="BT162" t="str">
        <f>HYPERLINK("https%3A%2F%2Fwww.webofscience.com%2Fwos%2Fwoscc%2Ffull-record%2FWOS:000455583800011","View Full Record in Web of Science")</f>
        <v>View Full Record in Web of Science</v>
      </c>
    </row>
    <row r="163" spans="1:72" x14ac:dyDescent="0.15">
      <c r="A163" t="s">
        <v>72</v>
      </c>
      <c r="B163" t="s">
        <v>3308</v>
      </c>
      <c r="C163" t="s">
        <v>74</v>
      </c>
      <c r="D163" t="s">
        <v>74</v>
      </c>
      <c r="E163" t="s">
        <v>74</v>
      </c>
      <c r="F163" t="s">
        <v>3309</v>
      </c>
      <c r="G163" t="s">
        <v>74</v>
      </c>
      <c r="H163" t="s">
        <v>74</v>
      </c>
      <c r="I163" t="s">
        <v>3310</v>
      </c>
      <c r="J163" t="s">
        <v>3234</v>
      </c>
      <c r="K163" t="s">
        <v>74</v>
      </c>
      <c r="L163" t="s">
        <v>74</v>
      </c>
      <c r="M163" t="s">
        <v>78</v>
      </c>
      <c r="N163" t="s">
        <v>79</v>
      </c>
      <c r="O163" t="s">
        <v>74</v>
      </c>
      <c r="P163" t="s">
        <v>74</v>
      </c>
      <c r="Q163" t="s">
        <v>74</v>
      </c>
      <c r="R163" t="s">
        <v>74</v>
      </c>
      <c r="S163" t="s">
        <v>74</v>
      </c>
      <c r="T163" t="s">
        <v>3311</v>
      </c>
      <c r="U163" t="s">
        <v>3312</v>
      </c>
      <c r="V163" t="s">
        <v>3313</v>
      </c>
      <c r="W163" t="s">
        <v>3314</v>
      </c>
      <c r="X163" t="s">
        <v>3315</v>
      </c>
      <c r="Y163" t="s">
        <v>3316</v>
      </c>
      <c r="Z163" t="s">
        <v>3317</v>
      </c>
      <c r="AA163" t="s">
        <v>3318</v>
      </c>
      <c r="AB163" t="s">
        <v>3319</v>
      </c>
      <c r="AC163" t="s">
        <v>3320</v>
      </c>
      <c r="AD163" t="s">
        <v>3321</v>
      </c>
      <c r="AE163" t="s">
        <v>3322</v>
      </c>
      <c r="AF163" t="s">
        <v>74</v>
      </c>
      <c r="AG163">
        <v>35</v>
      </c>
      <c r="AH163">
        <v>11</v>
      </c>
      <c r="AI163">
        <v>11</v>
      </c>
      <c r="AJ163">
        <v>0</v>
      </c>
      <c r="AK163">
        <v>3</v>
      </c>
      <c r="AL163" t="s">
        <v>3247</v>
      </c>
      <c r="AM163" t="s">
        <v>3248</v>
      </c>
      <c r="AN163" t="s">
        <v>3249</v>
      </c>
      <c r="AO163" t="s">
        <v>3250</v>
      </c>
      <c r="AP163" t="s">
        <v>3251</v>
      </c>
      <c r="AQ163" t="s">
        <v>74</v>
      </c>
      <c r="AR163" t="s">
        <v>3252</v>
      </c>
      <c r="AS163" t="s">
        <v>3253</v>
      </c>
      <c r="AT163" t="s">
        <v>74</v>
      </c>
      <c r="AU163">
        <v>2018</v>
      </c>
      <c r="AV163">
        <v>87</v>
      </c>
      <c r="AW163">
        <v>4</v>
      </c>
      <c r="AX163" t="s">
        <v>74</v>
      </c>
      <c r="AY163" t="s">
        <v>74</v>
      </c>
      <c r="AZ163" t="s">
        <v>1146</v>
      </c>
      <c r="BA163" t="s">
        <v>74</v>
      </c>
      <c r="BB163" t="s">
        <v>74</v>
      </c>
      <c r="BC163" t="s">
        <v>74</v>
      </c>
      <c r="BD163">
        <v>3609</v>
      </c>
      <c r="BE163" t="s">
        <v>3323</v>
      </c>
      <c r="BF163" t="str">
        <f>HYPERLINK("http://dx.doi.org/10.5586/asbp.3609","http://dx.doi.org/10.5586/asbp.3609")</f>
        <v>http://dx.doi.org/10.5586/asbp.3609</v>
      </c>
      <c r="BG163" t="s">
        <v>74</v>
      </c>
      <c r="BH163" t="s">
        <v>74</v>
      </c>
      <c r="BI163">
        <v>11</v>
      </c>
      <c r="BJ163" t="s">
        <v>492</v>
      </c>
      <c r="BK163" t="s">
        <v>101</v>
      </c>
      <c r="BL163" t="s">
        <v>492</v>
      </c>
      <c r="BM163" t="s">
        <v>3255</v>
      </c>
      <c r="BN163" t="s">
        <v>74</v>
      </c>
      <c r="BO163" t="s">
        <v>160</v>
      </c>
      <c r="BP163" t="s">
        <v>74</v>
      </c>
      <c r="BQ163" t="s">
        <v>74</v>
      </c>
      <c r="BR163" t="s">
        <v>105</v>
      </c>
      <c r="BS163" t="s">
        <v>3324</v>
      </c>
      <c r="BT163" t="str">
        <f>HYPERLINK("https%3A%2F%2Fwww.webofscience.com%2Fwos%2Fwoscc%2Ffull-record%2FWOS:000455583800015","View Full Record in Web of Science")</f>
        <v>View Full Record in Web of Science</v>
      </c>
    </row>
    <row r="164" spans="1:72" x14ac:dyDescent="0.15">
      <c r="A164" t="s">
        <v>72</v>
      </c>
      <c r="B164" t="s">
        <v>3325</v>
      </c>
      <c r="C164" t="s">
        <v>74</v>
      </c>
      <c r="D164" t="s">
        <v>74</v>
      </c>
      <c r="E164" t="s">
        <v>74</v>
      </c>
      <c r="F164" t="s">
        <v>3326</v>
      </c>
      <c r="G164" t="s">
        <v>74</v>
      </c>
      <c r="H164" t="s">
        <v>74</v>
      </c>
      <c r="I164" t="s">
        <v>3327</v>
      </c>
      <c r="J164" t="s">
        <v>3234</v>
      </c>
      <c r="K164" t="s">
        <v>74</v>
      </c>
      <c r="L164" t="s">
        <v>74</v>
      </c>
      <c r="M164" t="s">
        <v>78</v>
      </c>
      <c r="N164" t="s">
        <v>79</v>
      </c>
      <c r="O164" t="s">
        <v>74</v>
      </c>
      <c r="P164" t="s">
        <v>74</v>
      </c>
      <c r="Q164" t="s">
        <v>74</v>
      </c>
      <c r="R164" t="s">
        <v>74</v>
      </c>
      <c r="S164" t="s">
        <v>74</v>
      </c>
      <c r="T164" t="s">
        <v>3328</v>
      </c>
      <c r="U164" t="s">
        <v>3329</v>
      </c>
      <c r="V164" t="s">
        <v>3330</v>
      </c>
      <c r="W164" t="s">
        <v>3331</v>
      </c>
      <c r="X164" t="s">
        <v>3332</v>
      </c>
      <c r="Y164" t="s">
        <v>3333</v>
      </c>
      <c r="Z164" t="s">
        <v>3334</v>
      </c>
      <c r="AA164" t="s">
        <v>3335</v>
      </c>
      <c r="AB164" t="s">
        <v>3336</v>
      </c>
      <c r="AC164" t="s">
        <v>3337</v>
      </c>
      <c r="AD164" t="s">
        <v>3338</v>
      </c>
      <c r="AE164" t="s">
        <v>3339</v>
      </c>
      <c r="AF164" t="s">
        <v>74</v>
      </c>
      <c r="AG164">
        <v>41</v>
      </c>
      <c r="AH164">
        <v>6</v>
      </c>
      <c r="AI164">
        <v>6</v>
      </c>
      <c r="AJ164">
        <v>0</v>
      </c>
      <c r="AK164">
        <v>7</v>
      </c>
      <c r="AL164" t="s">
        <v>3247</v>
      </c>
      <c r="AM164" t="s">
        <v>3248</v>
      </c>
      <c r="AN164" t="s">
        <v>3249</v>
      </c>
      <c r="AO164" t="s">
        <v>3250</v>
      </c>
      <c r="AP164" t="s">
        <v>3251</v>
      </c>
      <c r="AQ164" t="s">
        <v>74</v>
      </c>
      <c r="AR164" t="s">
        <v>3252</v>
      </c>
      <c r="AS164" t="s">
        <v>3253</v>
      </c>
      <c r="AT164" t="s">
        <v>74</v>
      </c>
      <c r="AU164">
        <v>2018</v>
      </c>
      <c r="AV164">
        <v>87</v>
      </c>
      <c r="AW164">
        <v>4</v>
      </c>
      <c r="AX164" t="s">
        <v>74</v>
      </c>
      <c r="AY164" t="s">
        <v>74</v>
      </c>
      <c r="AZ164" t="s">
        <v>1146</v>
      </c>
      <c r="BA164" t="s">
        <v>74</v>
      </c>
      <c r="BB164" t="s">
        <v>74</v>
      </c>
      <c r="BC164" t="s">
        <v>74</v>
      </c>
      <c r="BD164">
        <v>3606</v>
      </c>
      <c r="BE164" t="s">
        <v>3340</v>
      </c>
      <c r="BF164" t="str">
        <f>HYPERLINK("http://dx.doi.org/10.5586/asbp.3606","http://dx.doi.org/10.5586/asbp.3606")</f>
        <v>http://dx.doi.org/10.5586/asbp.3606</v>
      </c>
      <c r="BG164" t="s">
        <v>74</v>
      </c>
      <c r="BH164" t="s">
        <v>74</v>
      </c>
      <c r="BI164">
        <v>11</v>
      </c>
      <c r="BJ164" t="s">
        <v>492</v>
      </c>
      <c r="BK164" t="s">
        <v>101</v>
      </c>
      <c r="BL164" t="s">
        <v>492</v>
      </c>
      <c r="BM164" t="s">
        <v>3255</v>
      </c>
      <c r="BN164" t="s">
        <v>74</v>
      </c>
      <c r="BO164" t="s">
        <v>160</v>
      </c>
      <c r="BP164" t="s">
        <v>74</v>
      </c>
      <c r="BQ164" t="s">
        <v>74</v>
      </c>
      <c r="BR164" t="s">
        <v>105</v>
      </c>
      <c r="BS164" t="s">
        <v>3341</v>
      </c>
      <c r="BT164" t="str">
        <f>HYPERLINK("https%3A%2F%2Fwww.webofscience.com%2Fwos%2Fwoscc%2Ffull-record%2FWOS:000455583800012","View Full Record in Web of Science")</f>
        <v>View Full Record in Web of Science</v>
      </c>
    </row>
    <row r="165" spans="1:72" x14ac:dyDescent="0.15">
      <c r="A165" t="s">
        <v>1776</v>
      </c>
      <c r="B165" t="s">
        <v>3342</v>
      </c>
      <c r="C165" t="s">
        <v>74</v>
      </c>
      <c r="D165" t="s">
        <v>74</v>
      </c>
      <c r="E165" t="s">
        <v>1778</v>
      </c>
      <c r="F165" t="s">
        <v>3343</v>
      </c>
      <c r="G165" t="s">
        <v>74</v>
      </c>
      <c r="H165" t="s">
        <v>74</v>
      </c>
      <c r="I165" t="s">
        <v>3344</v>
      </c>
      <c r="J165" t="s">
        <v>3345</v>
      </c>
      <c r="K165" t="s">
        <v>74</v>
      </c>
      <c r="L165" t="s">
        <v>74</v>
      </c>
      <c r="M165" t="s">
        <v>78</v>
      </c>
      <c r="N165" t="s">
        <v>1782</v>
      </c>
      <c r="O165" t="s">
        <v>3346</v>
      </c>
      <c r="P165" t="s">
        <v>3347</v>
      </c>
      <c r="Q165" t="s">
        <v>3348</v>
      </c>
      <c r="R165" t="s">
        <v>74</v>
      </c>
      <c r="S165" t="s">
        <v>74</v>
      </c>
      <c r="T165" t="s">
        <v>3349</v>
      </c>
      <c r="U165" t="s">
        <v>74</v>
      </c>
      <c r="V165" t="s">
        <v>3350</v>
      </c>
      <c r="W165" t="s">
        <v>3351</v>
      </c>
      <c r="X165" t="s">
        <v>3352</v>
      </c>
      <c r="Y165" t="s">
        <v>3353</v>
      </c>
      <c r="Z165" t="s">
        <v>74</v>
      </c>
      <c r="AA165" t="s">
        <v>74</v>
      </c>
      <c r="AB165" t="s">
        <v>74</v>
      </c>
      <c r="AC165" t="s">
        <v>74</v>
      </c>
      <c r="AD165" t="s">
        <v>74</v>
      </c>
      <c r="AE165" t="s">
        <v>74</v>
      </c>
      <c r="AF165" t="s">
        <v>74</v>
      </c>
      <c r="AG165">
        <v>15</v>
      </c>
      <c r="AH165">
        <v>4</v>
      </c>
      <c r="AI165">
        <v>4</v>
      </c>
      <c r="AJ165">
        <v>0</v>
      </c>
      <c r="AK165">
        <v>2</v>
      </c>
      <c r="AL165" t="s">
        <v>1778</v>
      </c>
      <c r="AM165" t="s">
        <v>1797</v>
      </c>
      <c r="AN165" t="s">
        <v>1798</v>
      </c>
      <c r="AO165" t="s">
        <v>74</v>
      </c>
      <c r="AP165" t="s">
        <v>74</v>
      </c>
      <c r="AQ165" t="s">
        <v>3354</v>
      </c>
      <c r="AR165" t="s">
        <v>74</v>
      </c>
      <c r="AS165" t="s">
        <v>74</v>
      </c>
      <c r="AT165" t="s">
        <v>74</v>
      </c>
      <c r="AU165">
        <v>2018</v>
      </c>
      <c r="AV165" t="s">
        <v>74</v>
      </c>
      <c r="AW165" t="s">
        <v>74</v>
      </c>
      <c r="AX165" t="s">
        <v>74</v>
      </c>
      <c r="AY165" t="s">
        <v>74</v>
      </c>
      <c r="AZ165" t="s">
        <v>74</v>
      </c>
      <c r="BA165" t="s">
        <v>74</v>
      </c>
      <c r="BB165">
        <v>519</v>
      </c>
      <c r="BC165">
        <v>522</v>
      </c>
      <c r="BD165" t="s">
        <v>74</v>
      </c>
      <c r="BE165" t="s">
        <v>74</v>
      </c>
      <c r="BF165" t="s">
        <v>74</v>
      </c>
      <c r="BG165" t="s">
        <v>74</v>
      </c>
      <c r="BH165" t="s">
        <v>74</v>
      </c>
      <c r="BI165">
        <v>4</v>
      </c>
      <c r="BJ165" t="s">
        <v>3355</v>
      </c>
      <c r="BK165" t="s">
        <v>1801</v>
      </c>
      <c r="BL165" t="s">
        <v>2979</v>
      </c>
      <c r="BM165" t="s">
        <v>3356</v>
      </c>
      <c r="BN165" t="s">
        <v>74</v>
      </c>
      <c r="BO165" t="s">
        <v>74</v>
      </c>
      <c r="BP165" t="s">
        <v>74</v>
      </c>
      <c r="BQ165" t="s">
        <v>74</v>
      </c>
      <c r="BR165" t="s">
        <v>105</v>
      </c>
      <c r="BS165" t="s">
        <v>3357</v>
      </c>
      <c r="BT165" t="str">
        <f>HYPERLINK("https%3A%2F%2Fwww.webofscience.com%2Fwos%2Fwoscc%2Ffull-record%2FWOS:000455103600087","View Full Record in Web of Science")</f>
        <v>View Full Record in Web of Science</v>
      </c>
    </row>
    <row r="166" spans="1:72" x14ac:dyDescent="0.15">
      <c r="A166" t="s">
        <v>1776</v>
      </c>
      <c r="B166" t="s">
        <v>3358</v>
      </c>
      <c r="C166" t="s">
        <v>74</v>
      </c>
      <c r="D166" t="s">
        <v>3359</v>
      </c>
      <c r="E166" t="s">
        <v>74</v>
      </c>
      <c r="F166" t="s">
        <v>3360</v>
      </c>
      <c r="G166" t="s">
        <v>74</v>
      </c>
      <c r="H166" t="s">
        <v>74</v>
      </c>
      <c r="I166" t="s">
        <v>3361</v>
      </c>
      <c r="J166" t="s">
        <v>3362</v>
      </c>
      <c r="K166" t="s">
        <v>74</v>
      </c>
      <c r="L166" t="s">
        <v>74</v>
      </c>
      <c r="M166" t="s">
        <v>78</v>
      </c>
      <c r="N166" t="s">
        <v>1782</v>
      </c>
      <c r="O166" t="s">
        <v>3363</v>
      </c>
      <c r="P166" t="s">
        <v>3364</v>
      </c>
      <c r="Q166" t="s">
        <v>3365</v>
      </c>
      <c r="R166" t="s">
        <v>74</v>
      </c>
      <c r="S166" t="s">
        <v>74</v>
      </c>
      <c r="T166" t="s">
        <v>3366</v>
      </c>
      <c r="U166" t="s">
        <v>74</v>
      </c>
      <c r="V166" t="s">
        <v>3367</v>
      </c>
      <c r="W166" t="s">
        <v>3368</v>
      </c>
      <c r="X166" t="s">
        <v>74</v>
      </c>
      <c r="Y166" t="s">
        <v>3369</v>
      </c>
      <c r="Z166" t="s">
        <v>3370</v>
      </c>
      <c r="AA166" t="s">
        <v>74</v>
      </c>
      <c r="AB166" t="s">
        <v>74</v>
      </c>
      <c r="AC166" t="s">
        <v>3371</v>
      </c>
      <c r="AD166" t="s">
        <v>3372</v>
      </c>
      <c r="AE166" t="s">
        <v>3373</v>
      </c>
      <c r="AF166" t="s">
        <v>74</v>
      </c>
      <c r="AG166">
        <v>5</v>
      </c>
      <c r="AH166">
        <v>0</v>
      </c>
      <c r="AI166">
        <v>0</v>
      </c>
      <c r="AJ166">
        <v>1</v>
      </c>
      <c r="AK166">
        <v>2</v>
      </c>
      <c r="AL166" t="s">
        <v>3374</v>
      </c>
      <c r="AM166" t="s">
        <v>92</v>
      </c>
      <c r="AN166" t="s">
        <v>3375</v>
      </c>
      <c r="AO166" t="s">
        <v>74</v>
      </c>
      <c r="AP166" t="s">
        <v>74</v>
      </c>
      <c r="AQ166" t="s">
        <v>3376</v>
      </c>
      <c r="AR166" t="s">
        <v>74</v>
      </c>
      <c r="AS166" t="s">
        <v>74</v>
      </c>
      <c r="AT166" t="s">
        <v>74</v>
      </c>
      <c r="AU166">
        <v>2018</v>
      </c>
      <c r="AV166" t="s">
        <v>74</v>
      </c>
      <c r="AW166" t="s">
        <v>74</v>
      </c>
      <c r="AX166" t="s">
        <v>74</v>
      </c>
      <c r="AY166" t="s">
        <v>74</v>
      </c>
      <c r="AZ166" t="s">
        <v>74</v>
      </c>
      <c r="BA166" t="s">
        <v>74</v>
      </c>
      <c r="BB166">
        <v>168</v>
      </c>
      <c r="BC166">
        <v>172</v>
      </c>
      <c r="BD166" t="s">
        <v>74</v>
      </c>
      <c r="BE166" t="s">
        <v>74</v>
      </c>
      <c r="BF166" t="s">
        <v>74</v>
      </c>
      <c r="BG166" t="s">
        <v>74</v>
      </c>
      <c r="BH166" t="s">
        <v>74</v>
      </c>
      <c r="BI166">
        <v>5</v>
      </c>
      <c r="BJ166" t="s">
        <v>3377</v>
      </c>
      <c r="BK166" t="s">
        <v>3378</v>
      </c>
      <c r="BL166" t="s">
        <v>3379</v>
      </c>
      <c r="BM166" t="s">
        <v>3380</v>
      </c>
      <c r="BN166" t="s">
        <v>74</v>
      </c>
      <c r="BO166" t="s">
        <v>74</v>
      </c>
      <c r="BP166" t="s">
        <v>74</v>
      </c>
      <c r="BQ166" t="s">
        <v>74</v>
      </c>
      <c r="BR166" t="s">
        <v>105</v>
      </c>
      <c r="BS166" t="s">
        <v>3381</v>
      </c>
      <c r="BT166" t="str">
        <f>HYPERLINK("https%3A%2F%2Fwww.webofscience.com%2Fwos%2Fwoscc%2Ffull-record%2FWOS:000455264000038","View Full Record in Web of Science")</f>
        <v>View Full Record in Web of Science</v>
      </c>
    </row>
    <row r="167" spans="1:72" x14ac:dyDescent="0.15">
      <c r="A167" t="s">
        <v>72</v>
      </c>
      <c r="B167" t="s">
        <v>3382</v>
      </c>
      <c r="C167" t="s">
        <v>74</v>
      </c>
      <c r="D167" t="s">
        <v>74</v>
      </c>
      <c r="E167" t="s">
        <v>74</v>
      </c>
      <c r="F167" t="s">
        <v>3383</v>
      </c>
      <c r="G167" t="s">
        <v>74</v>
      </c>
      <c r="H167" t="s">
        <v>74</v>
      </c>
      <c r="I167" t="s">
        <v>3384</v>
      </c>
      <c r="J167" t="s">
        <v>3385</v>
      </c>
      <c r="K167" t="s">
        <v>74</v>
      </c>
      <c r="L167" t="s">
        <v>74</v>
      </c>
      <c r="M167" t="s">
        <v>3386</v>
      </c>
      <c r="N167" t="s">
        <v>79</v>
      </c>
      <c r="O167" t="s">
        <v>74</v>
      </c>
      <c r="P167" t="s">
        <v>74</v>
      </c>
      <c r="Q167" t="s">
        <v>74</v>
      </c>
      <c r="R167" t="s">
        <v>74</v>
      </c>
      <c r="S167" t="s">
        <v>74</v>
      </c>
      <c r="T167" t="s">
        <v>3387</v>
      </c>
      <c r="U167" t="s">
        <v>3388</v>
      </c>
      <c r="V167" t="s">
        <v>3389</v>
      </c>
      <c r="W167" t="s">
        <v>3390</v>
      </c>
      <c r="X167" t="s">
        <v>3391</v>
      </c>
      <c r="Y167" t="s">
        <v>3392</v>
      </c>
      <c r="Z167" t="s">
        <v>3393</v>
      </c>
      <c r="AA167" t="s">
        <v>74</v>
      </c>
      <c r="AB167" t="s">
        <v>74</v>
      </c>
      <c r="AC167" t="s">
        <v>74</v>
      </c>
      <c r="AD167" t="s">
        <v>74</v>
      </c>
      <c r="AE167" t="s">
        <v>74</v>
      </c>
      <c r="AF167" t="s">
        <v>74</v>
      </c>
      <c r="AG167">
        <v>85</v>
      </c>
      <c r="AH167">
        <v>0</v>
      </c>
      <c r="AI167">
        <v>0</v>
      </c>
      <c r="AJ167">
        <v>1</v>
      </c>
      <c r="AK167">
        <v>4</v>
      </c>
      <c r="AL167" t="s">
        <v>3394</v>
      </c>
      <c r="AM167" t="s">
        <v>3395</v>
      </c>
      <c r="AN167" t="s">
        <v>3396</v>
      </c>
      <c r="AO167" t="s">
        <v>3397</v>
      </c>
      <c r="AP167" t="s">
        <v>74</v>
      </c>
      <c r="AQ167" t="s">
        <v>74</v>
      </c>
      <c r="AR167" t="s">
        <v>3394</v>
      </c>
      <c r="AS167" t="s">
        <v>3398</v>
      </c>
      <c r="AT167" t="s">
        <v>74</v>
      </c>
      <c r="AU167">
        <v>2018</v>
      </c>
      <c r="AV167" t="s">
        <v>74</v>
      </c>
      <c r="AW167" t="s">
        <v>74</v>
      </c>
      <c r="AX167" t="s">
        <v>74</v>
      </c>
      <c r="AY167" t="s">
        <v>74</v>
      </c>
      <c r="AZ167" t="s">
        <v>74</v>
      </c>
      <c r="BA167" t="s">
        <v>74</v>
      </c>
      <c r="BB167" t="s">
        <v>74</v>
      </c>
      <c r="BC167" t="s">
        <v>74</v>
      </c>
      <c r="BD167">
        <v>842</v>
      </c>
      <c r="BE167" t="s">
        <v>3399</v>
      </c>
      <c r="BF167" t="str">
        <f>HYPERLINK("http://dx.doi.org/10.4000/cybergeo.28917","http://dx.doi.org/10.4000/cybergeo.28917")</f>
        <v>http://dx.doi.org/10.4000/cybergeo.28917</v>
      </c>
      <c r="BG167" t="s">
        <v>74</v>
      </c>
      <c r="BH167" t="s">
        <v>74</v>
      </c>
      <c r="BI167">
        <v>21</v>
      </c>
      <c r="BJ167" t="s">
        <v>3400</v>
      </c>
      <c r="BK167" t="s">
        <v>2081</v>
      </c>
      <c r="BL167" t="s">
        <v>3400</v>
      </c>
      <c r="BM167" t="s">
        <v>3401</v>
      </c>
      <c r="BN167" t="s">
        <v>74</v>
      </c>
      <c r="BO167" t="s">
        <v>212</v>
      </c>
      <c r="BP167" t="s">
        <v>74</v>
      </c>
      <c r="BQ167" t="s">
        <v>74</v>
      </c>
      <c r="BR167" t="s">
        <v>105</v>
      </c>
      <c r="BS167" t="s">
        <v>3402</v>
      </c>
      <c r="BT167" t="str">
        <f>HYPERLINK("https%3A%2F%2Fwww.webofscience.com%2Fwos%2Fwoscc%2Ffull-record%2FWOS:000455237600009","View Full Record in Web of Science")</f>
        <v>View Full Record in Web of Science</v>
      </c>
    </row>
    <row r="168" spans="1:72" x14ac:dyDescent="0.15">
      <c r="A168" t="s">
        <v>72</v>
      </c>
      <c r="B168" t="s">
        <v>3403</v>
      </c>
      <c r="C168" t="s">
        <v>74</v>
      </c>
      <c r="D168" t="s">
        <v>74</v>
      </c>
      <c r="E168" t="s">
        <v>74</v>
      </c>
      <c r="F168" t="s">
        <v>3404</v>
      </c>
      <c r="G168" t="s">
        <v>74</v>
      </c>
      <c r="H168" t="s">
        <v>74</v>
      </c>
      <c r="I168" t="s">
        <v>3405</v>
      </c>
      <c r="J168" t="s">
        <v>3406</v>
      </c>
      <c r="K168" t="s">
        <v>74</v>
      </c>
      <c r="L168" t="s">
        <v>74</v>
      </c>
      <c r="M168" t="s">
        <v>78</v>
      </c>
      <c r="N168" t="s">
        <v>79</v>
      </c>
      <c r="O168" t="s">
        <v>74</v>
      </c>
      <c r="P168" t="s">
        <v>74</v>
      </c>
      <c r="Q168" t="s">
        <v>74</v>
      </c>
      <c r="R168" t="s">
        <v>74</v>
      </c>
      <c r="S168" t="s">
        <v>74</v>
      </c>
      <c r="T168" t="s">
        <v>3407</v>
      </c>
      <c r="U168" t="s">
        <v>3408</v>
      </c>
      <c r="V168" t="s">
        <v>3409</v>
      </c>
      <c r="W168" t="s">
        <v>3410</v>
      </c>
      <c r="X168" t="s">
        <v>3411</v>
      </c>
      <c r="Y168" t="s">
        <v>3412</v>
      </c>
      <c r="Z168" t="s">
        <v>74</v>
      </c>
      <c r="AA168" t="s">
        <v>3413</v>
      </c>
      <c r="AB168" t="s">
        <v>3414</v>
      </c>
      <c r="AC168" t="s">
        <v>3415</v>
      </c>
      <c r="AD168" t="s">
        <v>3415</v>
      </c>
      <c r="AE168" t="s">
        <v>3416</v>
      </c>
      <c r="AF168" t="s">
        <v>74</v>
      </c>
      <c r="AG168">
        <v>109</v>
      </c>
      <c r="AH168">
        <v>45</v>
      </c>
      <c r="AI168">
        <v>48</v>
      </c>
      <c r="AJ168">
        <v>0</v>
      </c>
      <c r="AK168">
        <v>16</v>
      </c>
      <c r="AL168" t="s">
        <v>3417</v>
      </c>
      <c r="AM168" t="s">
        <v>3418</v>
      </c>
      <c r="AN168" t="s">
        <v>3419</v>
      </c>
      <c r="AO168" t="s">
        <v>3420</v>
      </c>
      <c r="AP168" t="s">
        <v>74</v>
      </c>
      <c r="AQ168" t="s">
        <v>74</v>
      </c>
      <c r="AR168" t="s">
        <v>3421</v>
      </c>
      <c r="AS168" t="s">
        <v>3422</v>
      </c>
      <c r="AT168" t="s">
        <v>74</v>
      </c>
      <c r="AU168">
        <v>2018</v>
      </c>
      <c r="AV168">
        <v>23</v>
      </c>
      <c r="AW168">
        <v>4</v>
      </c>
      <c r="AX168" t="s">
        <v>74</v>
      </c>
      <c r="AY168" t="s">
        <v>74</v>
      </c>
      <c r="AZ168" t="s">
        <v>74</v>
      </c>
      <c r="BA168" t="s">
        <v>74</v>
      </c>
      <c r="BB168" t="s">
        <v>74</v>
      </c>
      <c r="BC168" t="s">
        <v>74</v>
      </c>
      <c r="BD168">
        <v>4</v>
      </c>
      <c r="BE168" t="s">
        <v>3423</v>
      </c>
      <c r="BF168" t="str">
        <f>HYPERLINK("http://dx.doi.org/10.5751/ES-10504-230404","http://dx.doi.org/10.5751/ES-10504-230404")</f>
        <v>http://dx.doi.org/10.5751/ES-10504-230404</v>
      </c>
      <c r="BG168" t="s">
        <v>74</v>
      </c>
      <c r="BH168" t="s">
        <v>74</v>
      </c>
      <c r="BI168">
        <v>24</v>
      </c>
      <c r="BJ168" t="s">
        <v>3424</v>
      </c>
      <c r="BK168" t="s">
        <v>2471</v>
      </c>
      <c r="BL168" t="s">
        <v>1120</v>
      </c>
      <c r="BM168" t="s">
        <v>3425</v>
      </c>
      <c r="BN168" t="s">
        <v>74</v>
      </c>
      <c r="BO168" t="s">
        <v>494</v>
      </c>
      <c r="BP168" t="s">
        <v>74</v>
      </c>
      <c r="BQ168" t="s">
        <v>74</v>
      </c>
      <c r="BR168" t="s">
        <v>105</v>
      </c>
      <c r="BS168" t="s">
        <v>3426</v>
      </c>
      <c r="BT168" t="str">
        <f>HYPERLINK("https%3A%2F%2Fwww.webofscience.com%2Fwos%2Fwoscc%2Ffull-record%2FWOS:000454653700029","View Full Record in Web of Science")</f>
        <v>View Full Record in Web of Science</v>
      </c>
    </row>
    <row r="169" spans="1:72" x14ac:dyDescent="0.15">
      <c r="A169" t="s">
        <v>72</v>
      </c>
      <c r="B169" t="s">
        <v>3427</v>
      </c>
      <c r="C169" t="s">
        <v>74</v>
      </c>
      <c r="D169" t="s">
        <v>74</v>
      </c>
      <c r="E169" t="s">
        <v>74</v>
      </c>
      <c r="F169" t="s">
        <v>3428</v>
      </c>
      <c r="G169" t="s">
        <v>74</v>
      </c>
      <c r="H169" t="s">
        <v>74</v>
      </c>
      <c r="I169" t="s">
        <v>3429</v>
      </c>
      <c r="J169" t="s">
        <v>3430</v>
      </c>
      <c r="K169" t="s">
        <v>74</v>
      </c>
      <c r="L169" t="s">
        <v>74</v>
      </c>
      <c r="M169" t="s">
        <v>78</v>
      </c>
      <c r="N169" t="s">
        <v>79</v>
      </c>
      <c r="O169" t="s">
        <v>74</v>
      </c>
      <c r="P169" t="s">
        <v>74</v>
      </c>
      <c r="Q169" t="s">
        <v>74</v>
      </c>
      <c r="R169" t="s">
        <v>74</v>
      </c>
      <c r="S169" t="s">
        <v>74</v>
      </c>
      <c r="T169" t="s">
        <v>3431</v>
      </c>
      <c r="U169" t="s">
        <v>3432</v>
      </c>
      <c r="V169" t="s">
        <v>3433</v>
      </c>
      <c r="W169" t="s">
        <v>3434</v>
      </c>
      <c r="X169" t="s">
        <v>3435</v>
      </c>
      <c r="Y169" t="s">
        <v>3436</v>
      </c>
      <c r="Z169" t="s">
        <v>3437</v>
      </c>
      <c r="AA169" t="s">
        <v>3438</v>
      </c>
      <c r="AB169" t="s">
        <v>3439</v>
      </c>
      <c r="AC169" t="s">
        <v>3440</v>
      </c>
      <c r="AD169" t="s">
        <v>3440</v>
      </c>
      <c r="AE169" t="s">
        <v>3441</v>
      </c>
      <c r="AF169" t="s">
        <v>74</v>
      </c>
      <c r="AG169">
        <v>103</v>
      </c>
      <c r="AH169">
        <v>7</v>
      </c>
      <c r="AI169">
        <v>7</v>
      </c>
      <c r="AJ169">
        <v>0</v>
      </c>
      <c r="AK169">
        <v>11</v>
      </c>
      <c r="AL169" t="s">
        <v>3442</v>
      </c>
      <c r="AM169" t="s">
        <v>3443</v>
      </c>
      <c r="AN169" t="s">
        <v>3444</v>
      </c>
      <c r="AO169" t="s">
        <v>3445</v>
      </c>
      <c r="AP169" t="s">
        <v>74</v>
      </c>
      <c r="AQ169" t="s">
        <v>74</v>
      </c>
      <c r="AR169" t="s">
        <v>3446</v>
      </c>
      <c r="AS169" t="s">
        <v>3447</v>
      </c>
      <c r="AT169" t="s">
        <v>74</v>
      </c>
      <c r="AU169">
        <v>2018</v>
      </c>
      <c r="AV169">
        <v>57</v>
      </c>
      <c r="AW169">
        <v>3</v>
      </c>
      <c r="AX169" t="s">
        <v>74</v>
      </c>
      <c r="AY169" t="s">
        <v>74</v>
      </c>
      <c r="AZ169" t="s">
        <v>74</v>
      </c>
      <c r="BA169" t="s">
        <v>74</v>
      </c>
      <c r="BB169">
        <v>187</v>
      </c>
      <c r="BC169">
        <v>202</v>
      </c>
      <c r="BD169" t="s">
        <v>74</v>
      </c>
      <c r="BE169" t="s">
        <v>3448</v>
      </c>
      <c r="BF169" t="str">
        <f>HYPERLINK("http://dx.doi.org/10.4435/BSPI.2018.12","http://dx.doi.org/10.4435/BSPI.2018.12")</f>
        <v>http://dx.doi.org/10.4435/BSPI.2018.12</v>
      </c>
      <c r="BG169" t="s">
        <v>74</v>
      </c>
      <c r="BH169" t="s">
        <v>74</v>
      </c>
      <c r="BI169">
        <v>16</v>
      </c>
      <c r="BJ169" t="s">
        <v>1496</v>
      </c>
      <c r="BK169" t="s">
        <v>101</v>
      </c>
      <c r="BL169" t="s">
        <v>1496</v>
      </c>
      <c r="BM169" t="s">
        <v>3449</v>
      </c>
      <c r="BN169" t="s">
        <v>74</v>
      </c>
      <c r="BO169" t="s">
        <v>74</v>
      </c>
      <c r="BP169" t="s">
        <v>74</v>
      </c>
      <c r="BQ169" t="s">
        <v>74</v>
      </c>
      <c r="BR169" t="s">
        <v>105</v>
      </c>
      <c r="BS169" t="s">
        <v>3450</v>
      </c>
      <c r="BT169" t="str">
        <f>HYPERLINK("https%3A%2F%2Fwww.webofscience.com%2Fwos%2Fwoscc%2Ffull-record%2FWOS:000454510800002","View Full Record in Web of Science")</f>
        <v>View Full Record in Web of Science</v>
      </c>
    </row>
    <row r="170" spans="1:72" x14ac:dyDescent="0.15">
      <c r="A170" t="s">
        <v>72</v>
      </c>
      <c r="B170" t="s">
        <v>3451</v>
      </c>
      <c r="C170" t="s">
        <v>74</v>
      </c>
      <c r="D170" t="s">
        <v>74</v>
      </c>
      <c r="E170" t="s">
        <v>74</v>
      </c>
      <c r="F170" t="s">
        <v>3452</v>
      </c>
      <c r="G170" t="s">
        <v>74</v>
      </c>
      <c r="H170" t="s">
        <v>74</v>
      </c>
      <c r="I170" t="s">
        <v>3453</v>
      </c>
      <c r="J170" t="s">
        <v>3454</v>
      </c>
      <c r="K170" t="s">
        <v>74</v>
      </c>
      <c r="L170" t="s">
        <v>74</v>
      </c>
      <c r="M170" t="s">
        <v>78</v>
      </c>
      <c r="N170" t="s">
        <v>79</v>
      </c>
      <c r="O170" t="s">
        <v>74</v>
      </c>
      <c r="P170" t="s">
        <v>74</v>
      </c>
      <c r="Q170" t="s">
        <v>74</v>
      </c>
      <c r="R170" t="s">
        <v>74</v>
      </c>
      <c r="S170" t="s">
        <v>74</v>
      </c>
      <c r="T170" t="s">
        <v>3455</v>
      </c>
      <c r="U170" t="s">
        <v>3456</v>
      </c>
      <c r="V170" t="s">
        <v>3457</v>
      </c>
      <c r="W170" t="s">
        <v>3458</v>
      </c>
      <c r="X170" t="s">
        <v>3459</v>
      </c>
      <c r="Y170" t="s">
        <v>3460</v>
      </c>
      <c r="Z170" t="s">
        <v>3461</v>
      </c>
      <c r="AA170" t="s">
        <v>74</v>
      </c>
      <c r="AB170" t="s">
        <v>3462</v>
      </c>
      <c r="AC170" t="s">
        <v>3463</v>
      </c>
      <c r="AD170" t="s">
        <v>3464</v>
      </c>
      <c r="AE170" t="s">
        <v>3465</v>
      </c>
      <c r="AF170" t="s">
        <v>74</v>
      </c>
      <c r="AG170">
        <v>52</v>
      </c>
      <c r="AH170">
        <v>9</v>
      </c>
      <c r="AI170">
        <v>10</v>
      </c>
      <c r="AJ170">
        <v>0</v>
      </c>
      <c r="AK170">
        <v>7</v>
      </c>
      <c r="AL170" t="s">
        <v>512</v>
      </c>
      <c r="AM170" t="s">
        <v>513</v>
      </c>
      <c r="AN170" t="s">
        <v>514</v>
      </c>
      <c r="AO170" t="s">
        <v>3466</v>
      </c>
      <c r="AP170" t="s">
        <v>3467</v>
      </c>
      <c r="AQ170" t="s">
        <v>74</v>
      </c>
      <c r="AR170" t="s">
        <v>3468</v>
      </c>
      <c r="AS170" t="s">
        <v>3469</v>
      </c>
      <c r="AT170" t="s">
        <v>74</v>
      </c>
      <c r="AU170">
        <v>2018</v>
      </c>
      <c r="AV170">
        <v>37</v>
      </c>
      <c r="AW170" t="s">
        <v>74</v>
      </c>
      <c r="AX170" t="s">
        <v>74</v>
      </c>
      <c r="AY170" t="s">
        <v>74</v>
      </c>
      <c r="AZ170" t="s">
        <v>74</v>
      </c>
      <c r="BA170" t="s">
        <v>74</v>
      </c>
      <c r="BB170">
        <v>183</v>
      </c>
      <c r="BC170">
        <v>194</v>
      </c>
      <c r="BD170" t="s">
        <v>74</v>
      </c>
      <c r="BE170" t="s">
        <v>3470</v>
      </c>
      <c r="BF170" t="str">
        <f>HYPERLINK("http://dx.doi.org/10.3354/esr00910","http://dx.doi.org/10.3354/esr00910")</f>
        <v>http://dx.doi.org/10.3354/esr00910</v>
      </c>
      <c r="BG170" t="s">
        <v>74</v>
      </c>
      <c r="BH170" t="s">
        <v>74</v>
      </c>
      <c r="BI170">
        <v>12</v>
      </c>
      <c r="BJ170" t="s">
        <v>3471</v>
      </c>
      <c r="BK170" t="s">
        <v>101</v>
      </c>
      <c r="BL170" t="s">
        <v>3472</v>
      </c>
      <c r="BM170" t="s">
        <v>3473</v>
      </c>
      <c r="BN170" t="s">
        <v>74</v>
      </c>
      <c r="BO170" t="s">
        <v>212</v>
      </c>
      <c r="BP170" t="s">
        <v>74</v>
      </c>
      <c r="BQ170" t="s">
        <v>74</v>
      </c>
      <c r="BR170" t="s">
        <v>105</v>
      </c>
      <c r="BS170" t="s">
        <v>3474</v>
      </c>
      <c r="BT170" t="str">
        <f>HYPERLINK("https%3A%2F%2Fwww.webofscience.com%2Fwos%2Fwoscc%2Ffull-record%2FWOS:000454299500006","View Full Record in Web of Science")</f>
        <v>View Full Record in Web of Science</v>
      </c>
    </row>
    <row r="171" spans="1:72" x14ac:dyDescent="0.15">
      <c r="A171" t="s">
        <v>72</v>
      </c>
      <c r="B171" t="s">
        <v>3475</v>
      </c>
      <c r="C171" t="s">
        <v>74</v>
      </c>
      <c r="D171" t="s">
        <v>74</v>
      </c>
      <c r="E171" t="s">
        <v>74</v>
      </c>
      <c r="F171" t="s">
        <v>3476</v>
      </c>
      <c r="G171" t="s">
        <v>74</v>
      </c>
      <c r="H171" t="s">
        <v>74</v>
      </c>
      <c r="I171" t="s">
        <v>3477</v>
      </c>
      <c r="J171" t="s">
        <v>3454</v>
      </c>
      <c r="K171" t="s">
        <v>74</v>
      </c>
      <c r="L171" t="s">
        <v>74</v>
      </c>
      <c r="M171" t="s">
        <v>78</v>
      </c>
      <c r="N171" t="s">
        <v>79</v>
      </c>
      <c r="O171" t="s">
        <v>74</v>
      </c>
      <c r="P171" t="s">
        <v>74</v>
      </c>
      <c r="Q171" t="s">
        <v>74</v>
      </c>
      <c r="R171" t="s">
        <v>74</v>
      </c>
      <c r="S171" t="s">
        <v>74</v>
      </c>
      <c r="T171" t="s">
        <v>3478</v>
      </c>
      <c r="U171" t="s">
        <v>3479</v>
      </c>
      <c r="V171" t="s">
        <v>3480</v>
      </c>
      <c r="W171" t="s">
        <v>3481</v>
      </c>
      <c r="X171" t="s">
        <v>3482</v>
      </c>
      <c r="Y171" t="s">
        <v>3483</v>
      </c>
      <c r="Z171" t="s">
        <v>3484</v>
      </c>
      <c r="AA171" t="s">
        <v>3485</v>
      </c>
      <c r="AB171" t="s">
        <v>3486</v>
      </c>
      <c r="AC171" t="s">
        <v>3487</v>
      </c>
      <c r="AD171" t="s">
        <v>3488</v>
      </c>
      <c r="AE171" t="s">
        <v>3489</v>
      </c>
      <c r="AF171" t="s">
        <v>74</v>
      </c>
      <c r="AG171">
        <v>61</v>
      </c>
      <c r="AH171">
        <v>6</v>
      </c>
      <c r="AI171">
        <v>7</v>
      </c>
      <c r="AJ171">
        <v>1</v>
      </c>
      <c r="AK171">
        <v>23</v>
      </c>
      <c r="AL171" t="s">
        <v>512</v>
      </c>
      <c r="AM171" t="s">
        <v>513</v>
      </c>
      <c r="AN171" t="s">
        <v>514</v>
      </c>
      <c r="AO171" t="s">
        <v>3466</v>
      </c>
      <c r="AP171" t="s">
        <v>3467</v>
      </c>
      <c r="AQ171" t="s">
        <v>74</v>
      </c>
      <c r="AR171" t="s">
        <v>3468</v>
      </c>
      <c r="AS171" t="s">
        <v>3469</v>
      </c>
      <c r="AT171" t="s">
        <v>74</v>
      </c>
      <c r="AU171">
        <v>2018</v>
      </c>
      <c r="AV171">
        <v>37</v>
      </c>
      <c r="AW171" t="s">
        <v>74</v>
      </c>
      <c r="AX171" t="s">
        <v>74</v>
      </c>
      <c r="AY171" t="s">
        <v>74</v>
      </c>
      <c r="AZ171" t="s">
        <v>74</v>
      </c>
      <c r="BA171" t="s">
        <v>74</v>
      </c>
      <c r="BB171">
        <v>207</v>
      </c>
      <c r="BC171">
        <v>218</v>
      </c>
      <c r="BD171" t="s">
        <v>74</v>
      </c>
      <c r="BE171" t="s">
        <v>3490</v>
      </c>
      <c r="BF171" t="str">
        <f>HYPERLINK("http://dx.doi.org/10.3354/esr00924","http://dx.doi.org/10.3354/esr00924")</f>
        <v>http://dx.doi.org/10.3354/esr00924</v>
      </c>
      <c r="BG171" t="s">
        <v>74</v>
      </c>
      <c r="BH171" t="s">
        <v>74</v>
      </c>
      <c r="BI171">
        <v>12</v>
      </c>
      <c r="BJ171" t="s">
        <v>3471</v>
      </c>
      <c r="BK171" t="s">
        <v>101</v>
      </c>
      <c r="BL171" t="s">
        <v>3472</v>
      </c>
      <c r="BM171" t="s">
        <v>3473</v>
      </c>
      <c r="BN171" t="s">
        <v>74</v>
      </c>
      <c r="BO171" t="s">
        <v>236</v>
      </c>
      <c r="BP171" t="s">
        <v>74</v>
      </c>
      <c r="BQ171" t="s">
        <v>74</v>
      </c>
      <c r="BR171" t="s">
        <v>105</v>
      </c>
      <c r="BS171" t="s">
        <v>3491</v>
      </c>
      <c r="BT171" t="str">
        <f>HYPERLINK("https%3A%2F%2Fwww.webofscience.com%2Fwos%2Fwoscc%2Ffull-record%2FWOS:000454299500008","View Full Record in Web of Science")</f>
        <v>View Full Record in Web of Science</v>
      </c>
    </row>
    <row r="172" spans="1:72" x14ac:dyDescent="0.15">
      <c r="A172" t="s">
        <v>72</v>
      </c>
      <c r="B172" t="s">
        <v>3492</v>
      </c>
      <c r="C172" t="s">
        <v>74</v>
      </c>
      <c r="D172" t="s">
        <v>74</v>
      </c>
      <c r="E172" t="s">
        <v>74</v>
      </c>
      <c r="F172" t="s">
        <v>3493</v>
      </c>
      <c r="G172" t="s">
        <v>74</v>
      </c>
      <c r="H172" t="s">
        <v>74</v>
      </c>
      <c r="I172" t="s">
        <v>3494</v>
      </c>
      <c r="J172" t="s">
        <v>3454</v>
      </c>
      <c r="K172" t="s">
        <v>74</v>
      </c>
      <c r="L172" t="s">
        <v>74</v>
      </c>
      <c r="M172" t="s">
        <v>78</v>
      </c>
      <c r="N172" t="s">
        <v>79</v>
      </c>
      <c r="O172" t="s">
        <v>74</v>
      </c>
      <c r="P172" t="s">
        <v>74</v>
      </c>
      <c r="Q172" t="s">
        <v>74</v>
      </c>
      <c r="R172" t="s">
        <v>74</v>
      </c>
      <c r="S172" t="s">
        <v>74</v>
      </c>
      <c r="T172" t="s">
        <v>3495</v>
      </c>
      <c r="U172" t="s">
        <v>3496</v>
      </c>
      <c r="V172" t="s">
        <v>3497</v>
      </c>
      <c r="W172" t="s">
        <v>3498</v>
      </c>
      <c r="X172" t="s">
        <v>3499</v>
      </c>
      <c r="Y172" t="s">
        <v>3500</v>
      </c>
      <c r="Z172" t="s">
        <v>3501</v>
      </c>
      <c r="AA172" t="s">
        <v>3502</v>
      </c>
      <c r="AB172" t="s">
        <v>3503</v>
      </c>
      <c r="AC172" t="s">
        <v>3504</v>
      </c>
      <c r="AD172" t="s">
        <v>3505</v>
      </c>
      <c r="AE172" t="s">
        <v>3506</v>
      </c>
      <c r="AF172" t="s">
        <v>74</v>
      </c>
      <c r="AG172">
        <v>55</v>
      </c>
      <c r="AH172">
        <v>29</v>
      </c>
      <c r="AI172">
        <v>32</v>
      </c>
      <c r="AJ172">
        <v>3</v>
      </c>
      <c r="AK172">
        <v>15</v>
      </c>
      <c r="AL172" t="s">
        <v>512</v>
      </c>
      <c r="AM172" t="s">
        <v>513</v>
      </c>
      <c r="AN172" t="s">
        <v>514</v>
      </c>
      <c r="AO172" t="s">
        <v>3466</v>
      </c>
      <c r="AP172" t="s">
        <v>3467</v>
      </c>
      <c r="AQ172" t="s">
        <v>74</v>
      </c>
      <c r="AR172" t="s">
        <v>3468</v>
      </c>
      <c r="AS172" t="s">
        <v>3469</v>
      </c>
      <c r="AT172" t="s">
        <v>74</v>
      </c>
      <c r="AU172">
        <v>2018</v>
      </c>
      <c r="AV172">
        <v>37</v>
      </c>
      <c r="AW172" t="s">
        <v>74</v>
      </c>
      <c r="AX172" t="s">
        <v>74</v>
      </c>
      <c r="AY172" t="s">
        <v>74</v>
      </c>
      <c r="AZ172" t="s">
        <v>74</v>
      </c>
      <c r="BA172" t="s">
        <v>74</v>
      </c>
      <c r="BB172">
        <v>289</v>
      </c>
      <c r="BC172">
        <v>300</v>
      </c>
      <c r="BD172" t="s">
        <v>74</v>
      </c>
      <c r="BE172" t="s">
        <v>3507</v>
      </c>
      <c r="BF172" t="str">
        <f>HYPERLINK("http://dx.doi.org/10.3354/esr00927","http://dx.doi.org/10.3354/esr00927")</f>
        <v>http://dx.doi.org/10.3354/esr00927</v>
      </c>
      <c r="BG172" t="s">
        <v>74</v>
      </c>
      <c r="BH172" t="s">
        <v>74</v>
      </c>
      <c r="BI172">
        <v>12</v>
      </c>
      <c r="BJ172" t="s">
        <v>3471</v>
      </c>
      <c r="BK172" t="s">
        <v>101</v>
      </c>
      <c r="BL172" t="s">
        <v>3472</v>
      </c>
      <c r="BM172" t="s">
        <v>3473</v>
      </c>
      <c r="BN172" t="s">
        <v>74</v>
      </c>
      <c r="BO172" t="s">
        <v>212</v>
      </c>
      <c r="BP172" t="s">
        <v>74</v>
      </c>
      <c r="BQ172" t="s">
        <v>74</v>
      </c>
      <c r="BR172" t="s">
        <v>105</v>
      </c>
      <c r="BS172" t="s">
        <v>3508</v>
      </c>
      <c r="BT172" t="str">
        <f>HYPERLINK("https%3A%2F%2Fwww.webofscience.com%2Fwos%2Fwoscc%2Ffull-record%2FWOS:000454299500015","View Full Record in Web of Science")</f>
        <v>View Full Record in Web of Science</v>
      </c>
    </row>
    <row r="173" spans="1:72" x14ac:dyDescent="0.15">
      <c r="A173" t="s">
        <v>2085</v>
      </c>
      <c r="B173" t="s">
        <v>3509</v>
      </c>
      <c r="C173" t="s">
        <v>74</v>
      </c>
      <c r="D173" t="s">
        <v>3510</v>
      </c>
      <c r="E173" t="s">
        <v>74</v>
      </c>
      <c r="F173" t="s">
        <v>3511</v>
      </c>
      <c r="G173" t="s">
        <v>74</v>
      </c>
      <c r="H173" t="s">
        <v>74</v>
      </c>
      <c r="I173" t="s">
        <v>3512</v>
      </c>
      <c r="J173" t="s">
        <v>3513</v>
      </c>
      <c r="K173" t="s">
        <v>3514</v>
      </c>
      <c r="L173" t="s">
        <v>74</v>
      </c>
      <c r="M173" t="s">
        <v>78</v>
      </c>
      <c r="N173" t="s">
        <v>1862</v>
      </c>
      <c r="O173" t="s">
        <v>74</v>
      </c>
      <c r="P173" t="s">
        <v>74</v>
      </c>
      <c r="Q173" t="s">
        <v>74</v>
      </c>
      <c r="R173" t="s">
        <v>74</v>
      </c>
      <c r="S173" t="s">
        <v>74</v>
      </c>
      <c r="T173" t="s">
        <v>74</v>
      </c>
      <c r="U173" t="s">
        <v>74</v>
      </c>
      <c r="V173" t="s">
        <v>74</v>
      </c>
      <c r="W173" t="s">
        <v>3515</v>
      </c>
      <c r="X173" t="s">
        <v>3516</v>
      </c>
      <c r="Y173" t="s">
        <v>3517</v>
      </c>
      <c r="Z173" t="s">
        <v>74</v>
      </c>
      <c r="AA173" t="s">
        <v>74</v>
      </c>
      <c r="AB173" t="s">
        <v>74</v>
      </c>
      <c r="AC173" t="s">
        <v>74</v>
      </c>
      <c r="AD173" t="s">
        <v>74</v>
      </c>
      <c r="AE173" t="s">
        <v>74</v>
      </c>
      <c r="AF173" t="s">
        <v>74</v>
      </c>
      <c r="AG173">
        <v>30</v>
      </c>
      <c r="AH173">
        <v>2</v>
      </c>
      <c r="AI173">
        <v>2</v>
      </c>
      <c r="AJ173">
        <v>0</v>
      </c>
      <c r="AK173">
        <v>2</v>
      </c>
      <c r="AL173" t="s">
        <v>3518</v>
      </c>
      <c r="AM173" t="s">
        <v>3519</v>
      </c>
      <c r="AN173" t="s">
        <v>3520</v>
      </c>
      <c r="AO173" t="s">
        <v>74</v>
      </c>
      <c r="AP173" t="s">
        <v>74</v>
      </c>
      <c r="AQ173" t="s">
        <v>3521</v>
      </c>
      <c r="AR173" t="s">
        <v>3522</v>
      </c>
      <c r="AS173" t="s">
        <v>74</v>
      </c>
      <c r="AT173" t="s">
        <v>74</v>
      </c>
      <c r="AU173">
        <v>2018</v>
      </c>
      <c r="AV173" t="s">
        <v>74</v>
      </c>
      <c r="AW173" t="s">
        <v>74</v>
      </c>
      <c r="AX173" t="s">
        <v>74</v>
      </c>
      <c r="AY173" t="s">
        <v>74</v>
      </c>
      <c r="AZ173" t="s">
        <v>74</v>
      </c>
      <c r="BA173" t="s">
        <v>74</v>
      </c>
      <c r="BB173">
        <v>489</v>
      </c>
      <c r="BC173">
        <v>503</v>
      </c>
      <c r="BD173" t="s">
        <v>74</v>
      </c>
      <c r="BE173" t="s">
        <v>74</v>
      </c>
      <c r="BF173" t="s">
        <v>74</v>
      </c>
      <c r="BG173" t="s">
        <v>3523</v>
      </c>
      <c r="BH173" t="s">
        <v>74</v>
      </c>
      <c r="BI173">
        <v>15</v>
      </c>
      <c r="BJ173" t="s">
        <v>3524</v>
      </c>
      <c r="BK173" t="s">
        <v>2102</v>
      </c>
      <c r="BL173" t="s">
        <v>3524</v>
      </c>
      <c r="BM173" t="s">
        <v>3525</v>
      </c>
      <c r="BN173" t="s">
        <v>74</v>
      </c>
      <c r="BO173" t="s">
        <v>432</v>
      </c>
      <c r="BP173" t="s">
        <v>74</v>
      </c>
      <c r="BQ173" t="s">
        <v>74</v>
      </c>
      <c r="BR173" t="s">
        <v>105</v>
      </c>
      <c r="BS173" t="s">
        <v>3526</v>
      </c>
      <c r="BT173" t="str">
        <f>HYPERLINK("https%3A%2F%2Fwww.webofscience.com%2Fwos%2Fwoscc%2Ffull-record%2FWOS:000449865900040","View Full Record in Web of Science")</f>
        <v>View Full Record in Web of Science</v>
      </c>
    </row>
    <row r="174" spans="1:72" x14ac:dyDescent="0.15">
      <c r="A174" t="s">
        <v>72</v>
      </c>
      <c r="B174" t="s">
        <v>3527</v>
      </c>
      <c r="C174" t="s">
        <v>74</v>
      </c>
      <c r="D174" t="s">
        <v>74</v>
      </c>
      <c r="E174" t="s">
        <v>74</v>
      </c>
      <c r="F174" t="s">
        <v>3528</v>
      </c>
      <c r="G174" t="s">
        <v>74</v>
      </c>
      <c r="H174" t="s">
        <v>74</v>
      </c>
      <c r="I174" t="s">
        <v>3529</v>
      </c>
      <c r="J174" t="s">
        <v>3530</v>
      </c>
      <c r="K174" t="s">
        <v>74</v>
      </c>
      <c r="L174" t="s">
        <v>74</v>
      </c>
      <c r="M174" t="s">
        <v>78</v>
      </c>
      <c r="N174" t="s">
        <v>79</v>
      </c>
      <c r="O174" t="s">
        <v>74</v>
      </c>
      <c r="P174" t="s">
        <v>74</v>
      </c>
      <c r="Q174" t="s">
        <v>74</v>
      </c>
      <c r="R174" t="s">
        <v>74</v>
      </c>
      <c r="S174" t="s">
        <v>74</v>
      </c>
      <c r="T174" t="s">
        <v>3531</v>
      </c>
      <c r="U174" t="s">
        <v>74</v>
      </c>
      <c r="V174" t="s">
        <v>3532</v>
      </c>
      <c r="W174" t="s">
        <v>3533</v>
      </c>
      <c r="X174" t="s">
        <v>3534</v>
      </c>
      <c r="Y174" t="s">
        <v>3535</v>
      </c>
      <c r="Z174" t="s">
        <v>3536</v>
      </c>
      <c r="AA174" t="s">
        <v>3537</v>
      </c>
      <c r="AB174" t="s">
        <v>3538</v>
      </c>
      <c r="AC174" t="s">
        <v>3539</v>
      </c>
      <c r="AD174" t="s">
        <v>3540</v>
      </c>
      <c r="AE174" t="s">
        <v>3541</v>
      </c>
      <c r="AF174" t="s">
        <v>74</v>
      </c>
      <c r="AG174">
        <v>2</v>
      </c>
      <c r="AH174">
        <v>1</v>
      </c>
      <c r="AI174">
        <v>1</v>
      </c>
      <c r="AJ174">
        <v>1</v>
      </c>
      <c r="AK174">
        <v>25</v>
      </c>
      <c r="AL174" t="s">
        <v>807</v>
      </c>
      <c r="AM174" t="s">
        <v>808</v>
      </c>
      <c r="AN174" t="s">
        <v>809</v>
      </c>
      <c r="AO174" t="s">
        <v>3542</v>
      </c>
      <c r="AP174" t="s">
        <v>74</v>
      </c>
      <c r="AQ174" t="s">
        <v>74</v>
      </c>
      <c r="AR174" t="s">
        <v>3530</v>
      </c>
      <c r="AS174" t="s">
        <v>3543</v>
      </c>
      <c r="AT174" t="s">
        <v>74</v>
      </c>
      <c r="AU174">
        <v>2018</v>
      </c>
      <c r="AV174">
        <v>5</v>
      </c>
      <c r="AW174" t="s">
        <v>74</v>
      </c>
      <c r="AX174" t="s">
        <v>74</v>
      </c>
      <c r="AY174" t="s">
        <v>74</v>
      </c>
      <c r="AZ174" t="s">
        <v>74</v>
      </c>
      <c r="BA174" t="s">
        <v>74</v>
      </c>
      <c r="BB174">
        <v>939</v>
      </c>
      <c r="BC174">
        <v>943</v>
      </c>
      <c r="BD174" t="s">
        <v>74</v>
      </c>
      <c r="BE174" t="s">
        <v>3544</v>
      </c>
      <c r="BF174" t="str">
        <f>HYPERLINK("http://dx.doi.org/10.1016/j.mex.2018.07.017","http://dx.doi.org/10.1016/j.mex.2018.07.017")</f>
        <v>http://dx.doi.org/10.1016/j.mex.2018.07.017</v>
      </c>
      <c r="BG174" t="s">
        <v>74</v>
      </c>
      <c r="BH174" t="s">
        <v>74</v>
      </c>
      <c r="BI174">
        <v>5</v>
      </c>
      <c r="BJ174" t="s">
        <v>129</v>
      </c>
      <c r="BK174" t="s">
        <v>2081</v>
      </c>
      <c r="BL174" t="s">
        <v>130</v>
      </c>
      <c r="BM174" t="s">
        <v>3545</v>
      </c>
      <c r="BN174">
        <v>30181958</v>
      </c>
      <c r="BO174" t="s">
        <v>494</v>
      </c>
      <c r="BP174" t="s">
        <v>74</v>
      </c>
      <c r="BQ174" t="s">
        <v>74</v>
      </c>
      <c r="BR174" t="s">
        <v>105</v>
      </c>
      <c r="BS174" t="s">
        <v>3546</v>
      </c>
      <c r="BT174" t="str">
        <f>HYPERLINK("https%3A%2F%2Fwww.webofscience.com%2Fwos%2Fwoscc%2Ffull-record%2FWOS:000454531500106","View Full Record in Web of Science")</f>
        <v>View Full Record in Web of Science</v>
      </c>
    </row>
    <row r="175" spans="1:72" x14ac:dyDescent="0.15">
      <c r="A175" t="s">
        <v>72</v>
      </c>
      <c r="B175" t="s">
        <v>3547</v>
      </c>
      <c r="C175" t="s">
        <v>74</v>
      </c>
      <c r="D175" t="s">
        <v>74</v>
      </c>
      <c r="E175" t="s">
        <v>74</v>
      </c>
      <c r="F175" t="s">
        <v>3548</v>
      </c>
      <c r="G175" t="s">
        <v>74</v>
      </c>
      <c r="H175" t="s">
        <v>74</v>
      </c>
      <c r="I175" t="s">
        <v>3549</v>
      </c>
      <c r="J175" t="s">
        <v>3550</v>
      </c>
      <c r="K175" t="s">
        <v>74</v>
      </c>
      <c r="L175" t="s">
        <v>74</v>
      </c>
      <c r="M175" t="s">
        <v>78</v>
      </c>
      <c r="N175" t="s">
        <v>79</v>
      </c>
      <c r="O175" t="s">
        <v>74</v>
      </c>
      <c r="P175" t="s">
        <v>74</v>
      </c>
      <c r="Q175" t="s">
        <v>74</v>
      </c>
      <c r="R175" t="s">
        <v>74</v>
      </c>
      <c r="S175" t="s">
        <v>74</v>
      </c>
      <c r="T175" t="s">
        <v>3551</v>
      </c>
      <c r="U175" t="s">
        <v>3552</v>
      </c>
      <c r="V175" t="s">
        <v>3553</v>
      </c>
      <c r="W175" t="s">
        <v>3554</v>
      </c>
      <c r="X175" t="s">
        <v>3555</v>
      </c>
      <c r="Y175" t="s">
        <v>3556</v>
      </c>
      <c r="Z175" t="s">
        <v>3557</v>
      </c>
      <c r="AA175" t="s">
        <v>3558</v>
      </c>
      <c r="AB175" t="s">
        <v>3559</v>
      </c>
      <c r="AC175" t="s">
        <v>3560</v>
      </c>
      <c r="AD175" t="s">
        <v>3560</v>
      </c>
      <c r="AE175" t="s">
        <v>3561</v>
      </c>
      <c r="AF175" t="s">
        <v>74</v>
      </c>
      <c r="AG175">
        <v>96</v>
      </c>
      <c r="AH175">
        <v>7</v>
      </c>
      <c r="AI175">
        <v>7</v>
      </c>
      <c r="AJ175">
        <v>0</v>
      </c>
      <c r="AK175">
        <v>23</v>
      </c>
      <c r="AL175" t="s">
        <v>3562</v>
      </c>
      <c r="AM175" t="s">
        <v>3563</v>
      </c>
      <c r="AN175" t="s">
        <v>3564</v>
      </c>
      <c r="AO175" t="s">
        <v>3565</v>
      </c>
      <c r="AP175" t="s">
        <v>3566</v>
      </c>
      <c r="AQ175" t="s">
        <v>74</v>
      </c>
      <c r="AR175" t="s">
        <v>3550</v>
      </c>
      <c r="AS175" t="s">
        <v>3567</v>
      </c>
      <c r="AT175" t="s">
        <v>74</v>
      </c>
      <c r="AU175">
        <v>2018</v>
      </c>
      <c r="AV175">
        <v>58</v>
      </c>
      <c r="AW175" t="s">
        <v>74</v>
      </c>
      <c r="AX175" t="s">
        <v>74</v>
      </c>
      <c r="AY175" t="s">
        <v>1831</v>
      </c>
      <c r="AZ175" t="s">
        <v>74</v>
      </c>
      <c r="BA175" t="s">
        <v>74</v>
      </c>
      <c r="BB175">
        <v>43</v>
      </c>
      <c r="BC175">
        <v>60</v>
      </c>
      <c r="BD175" t="s">
        <v>74</v>
      </c>
      <c r="BE175" t="s">
        <v>3568</v>
      </c>
      <c r="BF175" t="str">
        <f>HYPERLINK("http://dx.doi.org/10.24349/acarologia/20184278","http://dx.doi.org/10.24349/acarologia/20184278")</f>
        <v>http://dx.doi.org/10.24349/acarologia/20184278</v>
      </c>
      <c r="BG175" t="s">
        <v>74</v>
      </c>
      <c r="BH175" t="s">
        <v>74</v>
      </c>
      <c r="BI175">
        <v>18</v>
      </c>
      <c r="BJ175" t="s">
        <v>3569</v>
      </c>
      <c r="BK175" t="s">
        <v>101</v>
      </c>
      <c r="BL175" t="s">
        <v>3569</v>
      </c>
      <c r="BM175" t="s">
        <v>3570</v>
      </c>
      <c r="BN175" t="s">
        <v>74</v>
      </c>
      <c r="BO175" t="s">
        <v>236</v>
      </c>
      <c r="BP175" t="s">
        <v>74</v>
      </c>
      <c r="BQ175" t="s">
        <v>74</v>
      </c>
      <c r="BR175" t="s">
        <v>105</v>
      </c>
      <c r="BS175" t="s">
        <v>3571</v>
      </c>
      <c r="BT175" t="str">
        <f>HYPERLINK("https%3A%2F%2Fwww.webofscience.com%2Fwos%2Fwoscc%2Ffull-record%2FWOS:000453772600005","View Full Record in Web of Science")</f>
        <v>View Full Record in Web of Science</v>
      </c>
    </row>
    <row r="176" spans="1:72" x14ac:dyDescent="0.15">
      <c r="A176" t="s">
        <v>1776</v>
      </c>
      <c r="B176" t="s">
        <v>3572</v>
      </c>
      <c r="C176" t="s">
        <v>74</v>
      </c>
      <c r="D176" t="s">
        <v>74</v>
      </c>
      <c r="E176" t="s">
        <v>1778</v>
      </c>
      <c r="F176" t="s">
        <v>3573</v>
      </c>
      <c r="G176" t="s">
        <v>74</v>
      </c>
      <c r="H176" t="s">
        <v>74</v>
      </c>
      <c r="I176" t="s">
        <v>3574</v>
      </c>
      <c r="J176" t="s">
        <v>3575</v>
      </c>
      <c r="K176" t="s">
        <v>3576</v>
      </c>
      <c r="L176" t="s">
        <v>74</v>
      </c>
      <c r="M176" t="s">
        <v>78</v>
      </c>
      <c r="N176" t="s">
        <v>1782</v>
      </c>
      <c r="O176" t="s">
        <v>3577</v>
      </c>
      <c r="P176" t="s">
        <v>3578</v>
      </c>
      <c r="Q176" t="s">
        <v>3579</v>
      </c>
      <c r="R176" t="s">
        <v>74</v>
      </c>
      <c r="S176" t="s">
        <v>74</v>
      </c>
      <c r="T176" t="s">
        <v>3580</v>
      </c>
      <c r="U176" t="s">
        <v>74</v>
      </c>
      <c r="V176" t="s">
        <v>3581</v>
      </c>
      <c r="W176" t="s">
        <v>3582</v>
      </c>
      <c r="X176" t="s">
        <v>3583</v>
      </c>
      <c r="Y176" t="s">
        <v>3584</v>
      </c>
      <c r="Z176" t="s">
        <v>3585</v>
      </c>
      <c r="AA176" t="s">
        <v>3586</v>
      </c>
      <c r="AB176" t="s">
        <v>3587</v>
      </c>
      <c r="AC176" t="s">
        <v>3588</v>
      </c>
      <c r="AD176" t="s">
        <v>3589</v>
      </c>
      <c r="AE176" t="s">
        <v>3590</v>
      </c>
      <c r="AF176" t="s">
        <v>74</v>
      </c>
      <c r="AG176">
        <v>8</v>
      </c>
      <c r="AH176">
        <v>1</v>
      </c>
      <c r="AI176">
        <v>1</v>
      </c>
      <c r="AJ176">
        <v>1</v>
      </c>
      <c r="AK176">
        <v>7</v>
      </c>
      <c r="AL176" t="s">
        <v>1778</v>
      </c>
      <c r="AM176" t="s">
        <v>1797</v>
      </c>
      <c r="AN176" t="s">
        <v>1798</v>
      </c>
      <c r="AO176" t="s">
        <v>3591</v>
      </c>
      <c r="AP176" t="s">
        <v>74</v>
      </c>
      <c r="AQ176" t="s">
        <v>3592</v>
      </c>
      <c r="AR176" t="s">
        <v>3593</v>
      </c>
      <c r="AS176" t="s">
        <v>74</v>
      </c>
      <c r="AT176" t="s">
        <v>74</v>
      </c>
      <c r="AU176">
        <v>2018</v>
      </c>
      <c r="AV176" t="s">
        <v>74</v>
      </c>
      <c r="AW176" t="s">
        <v>74</v>
      </c>
      <c r="AX176" t="s">
        <v>74</v>
      </c>
      <c r="AY176" t="s">
        <v>74</v>
      </c>
      <c r="AZ176" t="s">
        <v>74</v>
      </c>
      <c r="BA176" t="s">
        <v>74</v>
      </c>
      <c r="BB176">
        <v>216</v>
      </c>
      <c r="BC176">
        <v>219</v>
      </c>
      <c r="BD176" t="s">
        <v>74</v>
      </c>
      <c r="BE176" t="s">
        <v>74</v>
      </c>
      <c r="BF176" t="s">
        <v>74</v>
      </c>
      <c r="BG176" t="s">
        <v>74</v>
      </c>
      <c r="BH176" t="s">
        <v>74</v>
      </c>
      <c r="BI176">
        <v>4</v>
      </c>
      <c r="BJ176" t="s">
        <v>3594</v>
      </c>
      <c r="BK176" t="s">
        <v>1801</v>
      </c>
      <c r="BL176" t="s">
        <v>3595</v>
      </c>
      <c r="BM176" t="s">
        <v>3596</v>
      </c>
      <c r="BN176" t="s">
        <v>74</v>
      </c>
      <c r="BO176" t="s">
        <v>74</v>
      </c>
      <c r="BP176" t="s">
        <v>74</v>
      </c>
      <c r="BQ176" t="s">
        <v>74</v>
      </c>
      <c r="BR176" t="s">
        <v>105</v>
      </c>
      <c r="BS176" t="s">
        <v>3597</v>
      </c>
      <c r="BT176" t="str">
        <f>HYPERLINK("https%3A%2F%2Fwww.webofscience.com%2Fwos%2Fwoscc%2Ffull-record%2FWOS:000451039800055","View Full Record in Web of Science")</f>
        <v>View Full Record in Web of Science</v>
      </c>
    </row>
    <row r="177" spans="1:72" x14ac:dyDescent="0.15">
      <c r="A177" t="s">
        <v>1776</v>
      </c>
      <c r="B177" t="s">
        <v>3598</v>
      </c>
      <c r="C177" t="s">
        <v>74</v>
      </c>
      <c r="D177" t="s">
        <v>74</v>
      </c>
      <c r="E177" t="s">
        <v>1778</v>
      </c>
      <c r="F177" t="s">
        <v>3599</v>
      </c>
      <c r="G177" t="s">
        <v>74</v>
      </c>
      <c r="H177" t="s">
        <v>74</v>
      </c>
      <c r="I177" t="s">
        <v>3600</v>
      </c>
      <c r="J177" t="s">
        <v>3575</v>
      </c>
      <c r="K177" t="s">
        <v>3576</v>
      </c>
      <c r="L177" t="s">
        <v>74</v>
      </c>
      <c r="M177" t="s">
        <v>78</v>
      </c>
      <c r="N177" t="s">
        <v>1782</v>
      </c>
      <c r="O177" t="s">
        <v>3577</v>
      </c>
      <c r="P177" t="s">
        <v>3578</v>
      </c>
      <c r="Q177" t="s">
        <v>3579</v>
      </c>
      <c r="R177" t="s">
        <v>74</v>
      </c>
      <c r="S177" t="s">
        <v>74</v>
      </c>
      <c r="T177" t="s">
        <v>3601</v>
      </c>
      <c r="U177" t="s">
        <v>74</v>
      </c>
      <c r="V177" t="s">
        <v>3602</v>
      </c>
      <c r="W177" t="s">
        <v>3603</v>
      </c>
      <c r="X177" t="s">
        <v>3604</v>
      </c>
      <c r="Y177" t="s">
        <v>3605</v>
      </c>
      <c r="Z177" t="s">
        <v>3606</v>
      </c>
      <c r="AA177" t="s">
        <v>3607</v>
      </c>
      <c r="AB177" t="s">
        <v>3608</v>
      </c>
      <c r="AC177" t="s">
        <v>3609</v>
      </c>
      <c r="AD177" t="s">
        <v>3610</v>
      </c>
      <c r="AE177" t="s">
        <v>3611</v>
      </c>
      <c r="AF177" t="s">
        <v>74</v>
      </c>
      <c r="AG177">
        <v>17</v>
      </c>
      <c r="AH177">
        <v>1</v>
      </c>
      <c r="AI177">
        <v>1</v>
      </c>
      <c r="AJ177">
        <v>0</v>
      </c>
      <c r="AK177">
        <v>4</v>
      </c>
      <c r="AL177" t="s">
        <v>1778</v>
      </c>
      <c r="AM177" t="s">
        <v>1797</v>
      </c>
      <c r="AN177" t="s">
        <v>1798</v>
      </c>
      <c r="AO177" t="s">
        <v>3591</v>
      </c>
      <c r="AP177" t="s">
        <v>74</v>
      </c>
      <c r="AQ177" t="s">
        <v>3592</v>
      </c>
      <c r="AR177" t="s">
        <v>3593</v>
      </c>
      <c r="AS177" t="s">
        <v>74</v>
      </c>
      <c r="AT177" t="s">
        <v>74</v>
      </c>
      <c r="AU177">
        <v>2018</v>
      </c>
      <c r="AV177" t="s">
        <v>74</v>
      </c>
      <c r="AW177" t="s">
        <v>74</v>
      </c>
      <c r="AX177" t="s">
        <v>74</v>
      </c>
      <c r="AY177" t="s">
        <v>74</v>
      </c>
      <c r="AZ177" t="s">
        <v>74</v>
      </c>
      <c r="BA177" t="s">
        <v>74</v>
      </c>
      <c r="BB177">
        <v>1818</v>
      </c>
      <c r="BC177">
        <v>1821</v>
      </c>
      <c r="BD177" t="s">
        <v>74</v>
      </c>
      <c r="BE177" t="s">
        <v>74</v>
      </c>
      <c r="BF177" t="s">
        <v>74</v>
      </c>
      <c r="BG177" t="s">
        <v>74</v>
      </c>
      <c r="BH177" t="s">
        <v>74</v>
      </c>
      <c r="BI177">
        <v>4</v>
      </c>
      <c r="BJ177" t="s">
        <v>3594</v>
      </c>
      <c r="BK177" t="s">
        <v>1801</v>
      </c>
      <c r="BL177" t="s">
        <v>3595</v>
      </c>
      <c r="BM177" t="s">
        <v>3596</v>
      </c>
      <c r="BN177" t="s">
        <v>74</v>
      </c>
      <c r="BO177" t="s">
        <v>74</v>
      </c>
      <c r="BP177" t="s">
        <v>74</v>
      </c>
      <c r="BQ177" t="s">
        <v>74</v>
      </c>
      <c r="BR177" t="s">
        <v>105</v>
      </c>
      <c r="BS177" t="s">
        <v>3612</v>
      </c>
      <c r="BT177" t="str">
        <f>HYPERLINK("https%3A%2F%2Fwww.webofscience.com%2Fwos%2Fwoscc%2Ffull-record%2FWOS:000451039801250","View Full Record in Web of Science")</f>
        <v>View Full Record in Web of Science</v>
      </c>
    </row>
    <row r="178" spans="1:72" x14ac:dyDescent="0.15">
      <c r="A178" t="s">
        <v>1776</v>
      </c>
      <c r="B178" t="s">
        <v>3613</v>
      </c>
      <c r="C178" t="s">
        <v>74</v>
      </c>
      <c r="D178" t="s">
        <v>74</v>
      </c>
      <c r="E178" t="s">
        <v>1778</v>
      </c>
      <c r="F178" t="s">
        <v>3614</v>
      </c>
      <c r="G178" t="s">
        <v>74</v>
      </c>
      <c r="H178" t="s">
        <v>74</v>
      </c>
      <c r="I178" t="s">
        <v>3615</v>
      </c>
      <c r="J178" t="s">
        <v>3575</v>
      </c>
      <c r="K178" t="s">
        <v>3576</v>
      </c>
      <c r="L178" t="s">
        <v>74</v>
      </c>
      <c r="M178" t="s">
        <v>78</v>
      </c>
      <c r="N178" t="s">
        <v>1782</v>
      </c>
      <c r="O178" t="s">
        <v>3577</v>
      </c>
      <c r="P178" t="s">
        <v>3578</v>
      </c>
      <c r="Q178" t="s">
        <v>3579</v>
      </c>
      <c r="R178" t="s">
        <v>74</v>
      </c>
      <c r="S178" t="s">
        <v>74</v>
      </c>
      <c r="T178" t="s">
        <v>3616</v>
      </c>
      <c r="U178" t="s">
        <v>74</v>
      </c>
      <c r="V178" t="s">
        <v>3617</v>
      </c>
      <c r="W178" t="s">
        <v>3618</v>
      </c>
      <c r="X178" t="s">
        <v>3619</v>
      </c>
      <c r="Y178" t="s">
        <v>3620</v>
      </c>
      <c r="Z178" t="s">
        <v>74</v>
      </c>
      <c r="AA178" t="s">
        <v>74</v>
      </c>
      <c r="AB178" t="s">
        <v>3621</v>
      </c>
      <c r="AC178" t="s">
        <v>74</v>
      </c>
      <c r="AD178" t="s">
        <v>74</v>
      </c>
      <c r="AE178" t="s">
        <v>74</v>
      </c>
      <c r="AF178" t="s">
        <v>74</v>
      </c>
      <c r="AG178">
        <v>9</v>
      </c>
      <c r="AH178">
        <v>2</v>
      </c>
      <c r="AI178">
        <v>2</v>
      </c>
      <c r="AJ178">
        <v>0</v>
      </c>
      <c r="AK178">
        <v>3</v>
      </c>
      <c r="AL178" t="s">
        <v>1778</v>
      </c>
      <c r="AM178" t="s">
        <v>1797</v>
      </c>
      <c r="AN178" t="s">
        <v>1798</v>
      </c>
      <c r="AO178" t="s">
        <v>3591</v>
      </c>
      <c r="AP178" t="s">
        <v>74</v>
      </c>
      <c r="AQ178" t="s">
        <v>3592</v>
      </c>
      <c r="AR178" t="s">
        <v>3593</v>
      </c>
      <c r="AS178" t="s">
        <v>74</v>
      </c>
      <c r="AT178" t="s">
        <v>74</v>
      </c>
      <c r="AU178">
        <v>2018</v>
      </c>
      <c r="AV178" t="s">
        <v>74</v>
      </c>
      <c r="AW178" t="s">
        <v>74</v>
      </c>
      <c r="AX178" t="s">
        <v>74</v>
      </c>
      <c r="AY178" t="s">
        <v>74</v>
      </c>
      <c r="AZ178" t="s">
        <v>74</v>
      </c>
      <c r="BA178" t="s">
        <v>74</v>
      </c>
      <c r="BB178">
        <v>2338</v>
      </c>
      <c r="BC178">
        <v>2341</v>
      </c>
      <c r="BD178" t="s">
        <v>74</v>
      </c>
      <c r="BE178" t="s">
        <v>74</v>
      </c>
      <c r="BF178" t="s">
        <v>74</v>
      </c>
      <c r="BG178" t="s">
        <v>74</v>
      </c>
      <c r="BH178" t="s">
        <v>74</v>
      </c>
      <c r="BI178">
        <v>4</v>
      </c>
      <c r="BJ178" t="s">
        <v>3594</v>
      </c>
      <c r="BK178" t="s">
        <v>1801</v>
      </c>
      <c r="BL178" t="s">
        <v>3595</v>
      </c>
      <c r="BM178" t="s">
        <v>3596</v>
      </c>
      <c r="BN178" t="s">
        <v>74</v>
      </c>
      <c r="BO178" t="s">
        <v>389</v>
      </c>
      <c r="BP178" t="s">
        <v>74</v>
      </c>
      <c r="BQ178" t="s">
        <v>74</v>
      </c>
      <c r="BR178" t="s">
        <v>105</v>
      </c>
      <c r="BS178" t="s">
        <v>3622</v>
      </c>
      <c r="BT178" t="str">
        <f>HYPERLINK("https%3A%2F%2Fwww.webofscience.com%2Fwos%2Fwoscc%2Ffull-record%2FWOS:000451039802121","View Full Record in Web of Science")</f>
        <v>View Full Record in Web of Science</v>
      </c>
    </row>
    <row r="179" spans="1:72" x14ac:dyDescent="0.15">
      <c r="A179" t="s">
        <v>1776</v>
      </c>
      <c r="B179" t="s">
        <v>3623</v>
      </c>
      <c r="C179" t="s">
        <v>74</v>
      </c>
      <c r="D179" t="s">
        <v>74</v>
      </c>
      <c r="E179" t="s">
        <v>1778</v>
      </c>
      <c r="F179" t="s">
        <v>3624</v>
      </c>
      <c r="G179" t="s">
        <v>74</v>
      </c>
      <c r="H179" t="s">
        <v>74</v>
      </c>
      <c r="I179" t="s">
        <v>3625</v>
      </c>
      <c r="J179" t="s">
        <v>3575</v>
      </c>
      <c r="K179" t="s">
        <v>3576</v>
      </c>
      <c r="L179" t="s">
        <v>74</v>
      </c>
      <c r="M179" t="s">
        <v>78</v>
      </c>
      <c r="N179" t="s">
        <v>1782</v>
      </c>
      <c r="O179" t="s">
        <v>3577</v>
      </c>
      <c r="P179" t="s">
        <v>3578</v>
      </c>
      <c r="Q179" t="s">
        <v>3579</v>
      </c>
      <c r="R179" t="s">
        <v>74</v>
      </c>
      <c r="S179" t="s">
        <v>74</v>
      </c>
      <c r="T179" t="s">
        <v>3626</v>
      </c>
      <c r="U179" t="s">
        <v>74</v>
      </c>
      <c r="V179" t="s">
        <v>3627</v>
      </c>
      <c r="W179" t="s">
        <v>3628</v>
      </c>
      <c r="X179" t="s">
        <v>3629</v>
      </c>
      <c r="Y179" t="s">
        <v>3630</v>
      </c>
      <c r="Z179" t="s">
        <v>74</v>
      </c>
      <c r="AA179" t="s">
        <v>3631</v>
      </c>
      <c r="AB179" t="s">
        <v>3632</v>
      </c>
      <c r="AC179" t="s">
        <v>74</v>
      </c>
      <c r="AD179" t="s">
        <v>74</v>
      </c>
      <c r="AE179" t="s">
        <v>74</v>
      </c>
      <c r="AF179" t="s">
        <v>74</v>
      </c>
      <c r="AG179">
        <v>20</v>
      </c>
      <c r="AH179">
        <v>11</v>
      </c>
      <c r="AI179">
        <v>14</v>
      </c>
      <c r="AJ179">
        <v>0</v>
      </c>
      <c r="AK179">
        <v>1</v>
      </c>
      <c r="AL179" t="s">
        <v>1778</v>
      </c>
      <c r="AM179" t="s">
        <v>1797</v>
      </c>
      <c r="AN179" t="s">
        <v>1798</v>
      </c>
      <c r="AO179" t="s">
        <v>3591</v>
      </c>
      <c r="AP179" t="s">
        <v>74</v>
      </c>
      <c r="AQ179" t="s">
        <v>3592</v>
      </c>
      <c r="AR179" t="s">
        <v>3593</v>
      </c>
      <c r="AS179" t="s">
        <v>74</v>
      </c>
      <c r="AT179" t="s">
        <v>74</v>
      </c>
      <c r="AU179">
        <v>2018</v>
      </c>
      <c r="AV179" t="s">
        <v>74</v>
      </c>
      <c r="AW179" t="s">
        <v>74</v>
      </c>
      <c r="AX179" t="s">
        <v>74</v>
      </c>
      <c r="AY179" t="s">
        <v>74</v>
      </c>
      <c r="AZ179" t="s">
        <v>74</v>
      </c>
      <c r="BA179" t="s">
        <v>74</v>
      </c>
      <c r="BB179">
        <v>4138</v>
      </c>
      <c r="BC179">
        <v>4141</v>
      </c>
      <c r="BD179" t="s">
        <v>74</v>
      </c>
      <c r="BE179" t="s">
        <v>74</v>
      </c>
      <c r="BF179" t="s">
        <v>74</v>
      </c>
      <c r="BG179" t="s">
        <v>74</v>
      </c>
      <c r="BH179" t="s">
        <v>74</v>
      </c>
      <c r="BI179">
        <v>4</v>
      </c>
      <c r="BJ179" t="s">
        <v>3594</v>
      </c>
      <c r="BK179" t="s">
        <v>1801</v>
      </c>
      <c r="BL179" t="s">
        <v>3595</v>
      </c>
      <c r="BM179" t="s">
        <v>3596</v>
      </c>
      <c r="BN179" t="s">
        <v>74</v>
      </c>
      <c r="BO179" t="s">
        <v>74</v>
      </c>
      <c r="BP179" t="s">
        <v>74</v>
      </c>
      <c r="BQ179" t="s">
        <v>74</v>
      </c>
      <c r="BR179" t="s">
        <v>105</v>
      </c>
      <c r="BS179" t="s">
        <v>3633</v>
      </c>
      <c r="BT179" t="str">
        <f>HYPERLINK("https%3A%2F%2Fwww.webofscience.com%2Fwos%2Fwoscc%2Ffull-record%2FWOS:000451039804027","View Full Record in Web of Science")</f>
        <v>View Full Record in Web of Science</v>
      </c>
    </row>
    <row r="180" spans="1:72" x14ac:dyDescent="0.15">
      <c r="A180" t="s">
        <v>1776</v>
      </c>
      <c r="B180" t="s">
        <v>3634</v>
      </c>
      <c r="C180" t="s">
        <v>74</v>
      </c>
      <c r="D180" t="s">
        <v>74</v>
      </c>
      <c r="E180" t="s">
        <v>1778</v>
      </c>
      <c r="F180" t="s">
        <v>3635</v>
      </c>
      <c r="G180" t="s">
        <v>74</v>
      </c>
      <c r="H180" t="s">
        <v>74</v>
      </c>
      <c r="I180" t="s">
        <v>3636</v>
      </c>
      <c r="J180" t="s">
        <v>3575</v>
      </c>
      <c r="K180" t="s">
        <v>3576</v>
      </c>
      <c r="L180" t="s">
        <v>74</v>
      </c>
      <c r="M180" t="s">
        <v>78</v>
      </c>
      <c r="N180" t="s">
        <v>1782</v>
      </c>
      <c r="O180" t="s">
        <v>3577</v>
      </c>
      <c r="P180" t="s">
        <v>3578</v>
      </c>
      <c r="Q180" t="s">
        <v>3579</v>
      </c>
      <c r="R180" t="s">
        <v>74</v>
      </c>
      <c r="S180" t="s">
        <v>74</v>
      </c>
      <c r="T180" t="s">
        <v>3637</v>
      </c>
      <c r="U180" t="s">
        <v>3638</v>
      </c>
      <c r="V180" t="s">
        <v>3639</v>
      </c>
      <c r="W180" t="s">
        <v>3640</v>
      </c>
      <c r="X180" t="s">
        <v>3641</v>
      </c>
      <c r="Y180" t="s">
        <v>3642</v>
      </c>
      <c r="Z180" t="s">
        <v>74</v>
      </c>
      <c r="AA180" t="s">
        <v>3643</v>
      </c>
      <c r="AB180" t="s">
        <v>3644</v>
      </c>
      <c r="AC180" t="s">
        <v>3645</v>
      </c>
      <c r="AD180" t="s">
        <v>2304</v>
      </c>
      <c r="AE180" t="s">
        <v>74</v>
      </c>
      <c r="AF180" t="s">
        <v>74</v>
      </c>
      <c r="AG180">
        <v>8</v>
      </c>
      <c r="AH180">
        <v>6</v>
      </c>
      <c r="AI180">
        <v>8</v>
      </c>
      <c r="AJ180">
        <v>0</v>
      </c>
      <c r="AK180">
        <v>2</v>
      </c>
      <c r="AL180" t="s">
        <v>1778</v>
      </c>
      <c r="AM180" t="s">
        <v>1797</v>
      </c>
      <c r="AN180" t="s">
        <v>1798</v>
      </c>
      <c r="AO180" t="s">
        <v>3591</v>
      </c>
      <c r="AP180" t="s">
        <v>74</v>
      </c>
      <c r="AQ180" t="s">
        <v>3592</v>
      </c>
      <c r="AR180" t="s">
        <v>3593</v>
      </c>
      <c r="AS180" t="s">
        <v>74</v>
      </c>
      <c r="AT180" t="s">
        <v>74</v>
      </c>
      <c r="AU180">
        <v>2018</v>
      </c>
      <c r="AV180" t="s">
        <v>74</v>
      </c>
      <c r="AW180" t="s">
        <v>74</v>
      </c>
      <c r="AX180" t="s">
        <v>74</v>
      </c>
      <c r="AY180" t="s">
        <v>74</v>
      </c>
      <c r="AZ180" t="s">
        <v>74</v>
      </c>
      <c r="BA180" t="s">
        <v>74</v>
      </c>
      <c r="BB180">
        <v>4142</v>
      </c>
      <c r="BC180">
        <v>4145</v>
      </c>
      <c r="BD180" t="s">
        <v>74</v>
      </c>
      <c r="BE180" t="s">
        <v>74</v>
      </c>
      <c r="BF180" t="s">
        <v>74</v>
      </c>
      <c r="BG180" t="s">
        <v>74</v>
      </c>
      <c r="BH180" t="s">
        <v>74</v>
      </c>
      <c r="BI180">
        <v>4</v>
      </c>
      <c r="BJ180" t="s">
        <v>3594</v>
      </c>
      <c r="BK180" t="s">
        <v>1801</v>
      </c>
      <c r="BL180" t="s">
        <v>3595</v>
      </c>
      <c r="BM180" t="s">
        <v>3596</v>
      </c>
      <c r="BN180" t="s">
        <v>74</v>
      </c>
      <c r="BO180" t="s">
        <v>74</v>
      </c>
      <c r="BP180" t="s">
        <v>74</v>
      </c>
      <c r="BQ180" t="s">
        <v>74</v>
      </c>
      <c r="BR180" t="s">
        <v>105</v>
      </c>
      <c r="BS180" t="s">
        <v>3646</v>
      </c>
      <c r="BT180" t="str">
        <f>HYPERLINK("https%3A%2F%2Fwww.webofscience.com%2Fwos%2Fwoscc%2Ffull-record%2FWOS:000451039804028","View Full Record in Web of Science")</f>
        <v>View Full Record in Web of Science</v>
      </c>
    </row>
    <row r="181" spans="1:72" x14ac:dyDescent="0.15">
      <c r="A181" t="s">
        <v>1776</v>
      </c>
      <c r="B181" t="s">
        <v>3647</v>
      </c>
      <c r="C181" t="s">
        <v>74</v>
      </c>
      <c r="D181" t="s">
        <v>74</v>
      </c>
      <c r="E181" t="s">
        <v>1778</v>
      </c>
      <c r="F181" t="s">
        <v>3648</v>
      </c>
      <c r="G181" t="s">
        <v>74</v>
      </c>
      <c r="H181" t="s">
        <v>74</v>
      </c>
      <c r="I181" t="s">
        <v>3649</v>
      </c>
      <c r="J181" t="s">
        <v>3575</v>
      </c>
      <c r="K181" t="s">
        <v>3576</v>
      </c>
      <c r="L181" t="s">
        <v>74</v>
      </c>
      <c r="M181" t="s">
        <v>78</v>
      </c>
      <c r="N181" t="s">
        <v>1782</v>
      </c>
      <c r="O181" t="s">
        <v>3577</v>
      </c>
      <c r="P181" t="s">
        <v>3578</v>
      </c>
      <c r="Q181" t="s">
        <v>3579</v>
      </c>
      <c r="R181" t="s">
        <v>74</v>
      </c>
      <c r="S181" t="s">
        <v>74</v>
      </c>
      <c r="T181" t="s">
        <v>3650</v>
      </c>
      <c r="U181" t="s">
        <v>74</v>
      </c>
      <c r="V181" t="s">
        <v>3651</v>
      </c>
      <c r="W181" t="s">
        <v>3652</v>
      </c>
      <c r="X181" t="s">
        <v>3653</v>
      </c>
      <c r="Y181" t="s">
        <v>3654</v>
      </c>
      <c r="Z181" t="s">
        <v>74</v>
      </c>
      <c r="AA181" t="s">
        <v>3655</v>
      </c>
      <c r="AB181" t="s">
        <v>3656</v>
      </c>
      <c r="AC181" t="s">
        <v>74</v>
      </c>
      <c r="AD181" t="s">
        <v>74</v>
      </c>
      <c r="AE181" t="s">
        <v>74</v>
      </c>
      <c r="AF181" t="s">
        <v>74</v>
      </c>
      <c r="AG181">
        <v>7</v>
      </c>
      <c r="AH181">
        <v>1</v>
      </c>
      <c r="AI181">
        <v>1</v>
      </c>
      <c r="AJ181">
        <v>0</v>
      </c>
      <c r="AK181">
        <v>0</v>
      </c>
      <c r="AL181" t="s">
        <v>1778</v>
      </c>
      <c r="AM181" t="s">
        <v>1797</v>
      </c>
      <c r="AN181" t="s">
        <v>1798</v>
      </c>
      <c r="AO181" t="s">
        <v>3591</v>
      </c>
      <c r="AP181" t="s">
        <v>74</v>
      </c>
      <c r="AQ181" t="s">
        <v>3592</v>
      </c>
      <c r="AR181" t="s">
        <v>3593</v>
      </c>
      <c r="AS181" t="s">
        <v>74</v>
      </c>
      <c r="AT181" t="s">
        <v>74</v>
      </c>
      <c r="AU181">
        <v>2018</v>
      </c>
      <c r="AV181" t="s">
        <v>74</v>
      </c>
      <c r="AW181" t="s">
        <v>74</v>
      </c>
      <c r="AX181" t="s">
        <v>74</v>
      </c>
      <c r="AY181" t="s">
        <v>74</v>
      </c>
      <c r="AZ181" t="s">
        <v>74</v>
      </c>
      <c r="BA181" t="s">
        <v>74</v>
      </c>
      <c r="BB181">
        <v>4146</v>
      </c>
      <c r="BC181">
        <v>4149</v>
      </c>
      <c r="BD181" t="s">
        <v>74</v>
      </c>
      <c r="BE181" t="s">
        <v>74</v>
      </c>
      <c r="BF181" t="s">
        <v>74</v>
      </c>
      <c r="BG181" t="s">
        <v>74</v>
      </c>
      <c r="BH181" t="s">
        <v>74</v>
      </c>
      <c r="BI181">
        <v>4</v>
      </c>
      <c r="BJ181" t="s">
        <v>3594</v>
      </c>
      <c r="BK181" t="s">
        <v>1801</v>
      </c>
      <c r="BL181" t="s">
        <v>3595</v>
      </c>
      <c r="BM181" t="s">
        <v>3596</v>
      </c>
      <c r="BN181" t="s">
        <v>74</v>
      </c>
      <c r="BO181" t="s">
        <v>432</v>
      </c>
      <c r="BP181" t="s">
        <v>74</v>
      </c>
      <c r="BQ181" t="s">
        <v>74</v>
      </c>
      <c r="BR181" t="s">
        <v>105</v>
      </c>
      <c r="BS181" t="s">
        <v>3657</v>
      </c>
      <c r="BT181" t="str">
        <f>HYPERLINK("https%3A%2F%2Fwww.webofscience.com%2Fwos%2Fwoscc%2Ffull-record%2FWOS:000451039804029","View Full Record in Web of Science")</f>
        <v>View Full Record in Web of Science</v>
      </c>
    </row>
    <row r="182" spans="1:72" x14ac:dyDescent="0.15">
      <c r="A182" t="s">
        <v>1776</v>
      </c>
      <c r="B182" t="s">
        <v>3658</v>
      </c>
      <c r="C182" t="s">
        <v>74</v>
      </c>
      <c r="D182" t="s">
        <v>74</v>
      </c>
      <c r="E182" t="s">
        <v>1778</v>
      </c>
      <c r="F182" t="s">
        <v>3659</v>
      </c>
      <c r="G182" t="s">
        <v>74</v>
      </c>
      <c r="H182" t="s">
        <v>74</v>
      </c>
      <c r="I182" t="s">
        <v>3660</v>
      </c>
      <c r="J182" t="s">
        <v>3575</v>
      </c>
      <c r="K182" t="s">
        <v>3576</v>
      </c>
      <c r="L182" t="s">
        <v>74</v>
      </c>
      <c r="M182" t="s">
        <v>78</v>
      </c>
      <c r="N182" t="s">
        <v>1782</v>
      </c>
      <c r="O182" t="s">
        <v>3577</v>
      </c>
      <c r="P182" t="s">
        <v>3578</v>
      </c>
      <c r="Q182" t="s">
        <v>3579</v>
      </c>
      <c r="R182" t="s">
        <v>74</v>
      </c>
      <c r="S182" t="s">
        <v>74</v>
      </c>
      <c r="T182" t="s">
        <v>3661</v>
      </c>
      <c r="U182" t="s">
        <v>74</v>
      </c>
      <c r="V182" t="s">
        <v>3662</v>
      </c>
      <c r="W182" t="s">
        <v>3663</v>
      </c>
      <c r="X182" t="s">
        <v>3664</v>
      </c>
      <c r="Y182" t="s">
        <v>3665</v>
      </c>
      <c r="Z182" t="s">
        <v>3666</v>
      </c>
      <c r="AA182" t="s">
        <v>3667</v>
      </c>
      <c r="AB182" t="s">
        <v>74</v>
      </c>
      <c r="AC182" t="s">
        <v>3668</v>
      </c>
      <c r="AD182" t="s">
        <v>3669</v>
      </c>
      <c r="AE182" t="s">
        <v>3670</v>
      </c>
      <c r="AF182" t="s">
        <v>74</v>
      </c>
      <c r="AG182">
        <v>9</v>
      </c>
      <c r="AH182">
        <v>2</v>
      </c>
      <c r="AI182">
        <v>2</v>
      </c>
      <c r="AJ182">
        <v>0</v>
      </c>
      <c r="AK182">
        <v>2</v>
      </c>
      <c r="AL182" t="s">
        <v>1778</v>
      </c>
      <c r="AM182" t="s">
        <v>1797</v>
      </c>
      <c r="AN182" t="s">
        <v>1798</v>
      </c>
      <c r="AO182" t="s">
        <v>3591</v>
      </c>
      <c r="AP182" t="s">
        <v>74</v>
      </c>
      <c r="AQ182" t="s">
        <v>3592</v>
      </c>
      <c r="AR182" t="s">
        <v>3593</v>
      </c>
      <c r="AS182" t="s">
        <v>74</v>
      </c>
      <c r="AT182" t="s">
        <v>74</v>
      </c>
      <c r="AU182">
        <v>2018</v>
      </c>
      <c r="AV182" t="s">
        <v>74</v>
      </c>
      <c r="AW182" t="s">
        <v>74</v>
      </c>
      <c r="AX182" t="s">
        <v>74</v>
      </c>
      <c r="AY182" t="s">
        <v>74</v>
      </c>
      <c r="AZ182" t="s">
        <v>74</v>
      </c>
      <c r="BA182" t="s">
        <v>74</v>
      </c>
      <c r="BB182">
        <v>4571</v>
      </c>
      <c r="BC182">
        <v>4574</v>
      </c>
      <c r="BD182" t="s">
        <v>74</v>
      </c>
      <c r="BE182" t="s">
        <v>74</v>
      </c>
      <c r="BF182" t="s">
        <v>74</v>
      </c>
      <c r="BG182" t="s">
        <v>74</v>
      </c>
      <c r="BH182" t="s">
        <v>74</v>
      </c>
      <c r="BI182">
        <v>4</v>
      </c>
      <c r="BJ182" t="s">
        <v>3594</v>
      </c>
      <c r="BK182" t="s">
        <v>1801</v>
      </c>
      <c r="BL182" t="s">
        <v>3595</v>
      </c>
      <c r="BM182" t="s">
        <v>3596</v>
      </c>
      <c r="BN182" t="s">
        <v>74</v>
      </c>
      <c r="BO182" t="s">
        <v>74</v>
      </c>
      <c r="BP182" t="s">
        <v>74</v>
      </c>
      <c r="BQ182" t="s">
        <v>74</v>
      </c>
      <c r="BR182" t="s">
        <v>105</v>
      </c>
      <c r="BS182" t="s">
        <v>3671</v>
      </c>
      <c r="BT182" t="str">
        <f>HYPERLINK("https%3A%2F%2Fwww.webofscience.com%2Fwos%2Fwoscc%2Ffull-record%2FWOS:000451039804133","View Full Record in Web of Science")</f>
        <v>View Full Record in Web of Science</v>
      </c>
    </row>
    <row r="183" spans="1:72" x14ac:dyDescent="0.15">
      <c r="A183" t="s">
        <v>1776</v>
      </c>
      <c r="B183" t="s">
        <v>3672</v>
      </c>
      <c r="C183" t="s">
        <v>74</v>
      </c>
      <c r="D183" t="s">
        <v>74</v>
      </c>
      <c r="E183" t="s">
        <v>1778</v>
      </c>
      <c r="F183" t="s">
        <v>3673</v>
      </c>
      <c r="G183" t="s">
        <v>74</v>
      </c>
      <c r="H183" t="s">
        <v>74</v>
      </c>
      <c r="I183" t="s">
        <v>3674</v>
      </c>
      <c r="J183" t="s">
        <v>3575</v>
      </c>
      <c r="K183" t="s">
        <v>3576</v>
      </c>
      <c r="L183" t="s">
        <v>74</v>
      </c>
      <c r="M183" t="s">
        <v>78</v>
      </c>
      <c r="N183" t="s">
        <v>1782</v>
      </c>
      <c r="O183" t="s">
        <v>3577</v>
      </c>
      <c r="P183" t="s">
        <v>3578</v>
      </c>
      <c r="Q183" t="s">
        <v>3579</v>
      </c>
      <c r="R183" t="s">
        <v>74</v>
      </c>
      <c r="S183" t="s">
        <v>74</v>
      </c>
      <c r="T183" t="s">
        <v>3675</v>
      </c>
      <c r="U183" t="s">
        <v>3676</v>
      </c>
      <c r="V183" t="s">
        <v>3677</v>
      </c>
      <c r="W183" t="s">
        <v>3678</v>
      </c>
      <c r="X183" t="s">
        <v>3679</v>
      </c>
      <c r="Y183" t="s">
        <v>3680</v>
      </c>
      <c r="Z183" t="s">
        <v>74</v>
      </c>
      <c r="AA183" t="s">
        <v>3681</v>
      </c>
      <c r="AB183" t="s">
        <v>74</v>
      </c>
      <c r="AC183" t="s">
        <v>3682</v>
      </c>
      <c r="AD183" t="s">
        <v>3683</v>
      </c>
      <c r="AE183" t="s">
        <v>3684</v>
      </c>
      <c r="AF183" t="s">
        <v>74</v>
      </c>
      <c r="AG183">
        <v>14</v>
      </c>
      <c r="AH183">
        <v>0</v>
      </c>
      <c r="AI183">
        <v>0</v>
      </c>
      <c r="AJ183">
        <v>1</v>
      </c>
      <c r="AK183">
        <v>15</v>
      </c>
      <c r="AL183" t="s">
        <v>1778</v>
      </c>
      <c r="AM183" t="s">
        <v>1797</v>
      </c>
      <c r="AN183" t="s">
        <v>1798</v>
      </c>
      <c r="AO183" t="s">
        <v>3591</v>
      </c>
      <c r="AP183" t="s">
        <v>74</v>
      </c>
      <c r="AQ183" t="s">
        <v>3592</v>
      </c>
      <c r="AR183" t="s">
        <v>3593</v>
      </c>
      <c r="AS183" t="s">
        <v>74</v>
      </c>
      <c r="AT183" t="s">
        <v>74</v>
      </c>
      <c r="AU183">
        <v>2018</v>
      </c>
      <c r="AV183" t="s">
        <v>74</v>
      </c>
      <c r="AW183" t="s">
        <v>74</v>
      </c>
      <c r="AX183" t="s">
        <v>74</v>
      </c>
      <c r="AY183" t="s">
        <v>74</v>
      </c>
      <c r="AZ183" t="s">
        <v>74</v>
      </c>
      <c r="BA183" t="s">
        <v>74</v>
      </c>
      <c r="BB183">
        <v>5169</v>
      </c>
      <c r="BC183">
        <v>5171</v>
      </c>
      <c r="BD183" t="s">
        <v>74</v>
      </c>
      <c r="BE183" t="s">
        <v>74</v>
      </c>
      <c r="BF183" t="s">
        <v>74</v>
      </c>
      <c r="BG183" t="s">
        <v>74</v>
      </c>
      <c r="BH183" t="s">
        <v>74</v>
      </c>
      <c r="BI183">
        <v>3</v>
      </c>
      <c r="BJ183" t="s">
        <v>3594</v>
      </c>
      <c r="BK183" t="s">
        <v>1801</v>
      </c>
      <c r="BL183" t="s">
        <v>3595</v>
      </c>
      <c r="BM183" t="s">
        <v>3596</v>
      </c>
      <c r="BN183" t="s">
        <v>74</v>
      </c>
      <c r="BO183" t="s">
        <v>74</v>
      </c>
      <c r="BP183" t="s">
        <v>74</v>
      </c>
      <c r="BQ183" t="s">
        <v>74</v>
      </c>
      <c r="BR183" t="s">
        <v>105</v>
      </c>
      <c r="BS183" t="s">
        <v>3685</v>
      </c>
      <c r="BT183" t="str">
        <f>HYPERLINK("https%3A%2F%2Fwww.webofscience.com%2Fwos%2Fwoscc%2Ffull-record%2FWOS:000451039805013","View Full Record in Web of Science")</f>
        <v>View Full Record in Web of Science</v>
      </c>
    </row>
    <row r="184" spans="1:72" x14ac:dyDescent="0.15">
      <c r="A184" t="s">
        <v>1776</v>
      </c>
      <c r="B184" t="s">
        <v>3686</v>
      </c>
      <c r="C184" t="s">
        <v>74</v>
      </c>
      <c r="D184" t="s">
        <v>74</v>
      </c>
      <c r="E184" t="s">
        <v>1778</v>
      </c>
      <c r="F184" t="s">
        <v>3687</v>
      </c>
      <c r="G184" t="s">
        <v>74</v>
      </c>
      <c r="H184" t="s">
        <v>74</v>
      </c>
      <c r="I184" t="s">
        <v>3688</v>
      </c>
      <c r="J184" t="s">
        <v>3575</v>
      </c>
      <c r="K184" t="s">
        <v>3576</v>
      </c>
      <c r="L184" t="s">
        <v>74</v>
      </c>
      <c r="M184" t="s">
        <v>78</v>
      </c>
      <c r="N184" t="s">
        <v>1782</v>
      </c>
      <c r="O184" t="s">
        <v>3577</v>
      </c>
      <c r="P184" t="s">
        <v>3578</v>
      </c>
      <c r="Q184" t="s">
        <v>3579</v>
      </c>
      <c r="R184" t="s">
        <v>74</v>
      </c>
      <c r="S184" t="s">
        <v>74</v>
      </c>
      <c r="T184" t="s">
        <v>3689</v>
      </c>
      <c r="U184" t="s">
        <v>74</v>
      </c>
      <c r="V184" t="s">
        <v>3690</v>
      </c>
      <c r="W184" t="s">
        <v>3691</v>
      </c>
      <c r="X184" t="s">
        <v>3692</v>
      </c>
      <c r="Y184" t="s">
        <v>3693</v>
      </c>
      <c r="Z184" t="s">
        <v>74</v>
      </c>
      <c r="AA184" t="s">
        <v>74</v>
      </c>
      <c r="AB184" t="s">
        <v>74</v>
      </c>
      <c r="AC184" t="s">
        <v>74</v>
      </c>
      <c r="AD184" t="s">
        <v>74</v>
      </c>
      <c r="AE184" t="s">
        <v>74</v>
      </c>
      <c r="AF184" t="s">
        <v>74</v>
      </c>
      <c r="AG184">
        <v>9</v>
      </c>
      <c r="AH184">
        <v>2</v>
      </c>
      <c r="AI184">
        <v>2</v>
      </c>
      <c r="AJ184">
        <v>0</v>
      </c>
      <c r="AK184">
        <v>2</v>
      </c>
      <c r="AL184" t="s">
        <v>1778</v>
      </c>
      <c r="AM184" t="s">
        <v>1797</v>
      </c>
      <c r="AN184" t="s">
        <v>1798</v>
      </c>
      <c r="AO184" t="s">
        <v>3591</v>
      </c>
      <c r="AP184" t="s">
        <v>74</v>
      </c>
      <c r="AQ184" t="s">
        <v>3592</v>
      </c>
      <c r="AR184" t="s">
        <v>3593</v>
      </c>
      <c r="AS184" t="s">
        <v>74</v>
      </c>
      <c r="AT184" t="s">
        <v>74</v>
      </c>
      <c r="AU184">
        <v>2018</v>
      </c>
      <c r="AV184" t="s">
        <v>74</v>
      </c>
      <c r="AW184" t="s">
        <v>74</v>
      </c>
      <c r="AX184" t="s">
        <v>74</v>
      </c>
      <c r="AY184" t="s">
        <v>74</v>
      </c>
      <c r="AZ184" t="s">
        <v>74</v>
      </c>
      <c r="BA184" t="s">
        <v>74</v>
      </c>
      <c r="BB184">
        <v>5172</v>
      </c>
      <c r="BC184">
        <v>5175</v>
      </c>
      <c r="BD184" t="s">
        <v>74</v>
      </c>
      <c r="BE184" t="s">
        <v>74</v>
      </c>
      <c r="BF184" t="s">
        <v>74</v>
      </c>
      <c r="BG184" t="s">
        <v>74</v>
      </c>
      <c r="BH184" t="s">
        <v>74</v>
      </c>
      <c r="BI184">
        <v>4</v>
      </c>
      <c r="BJ184" t="s">
        <v>3594</v>
      </c>
      <c r="BK184" t="s">
        <v>1801</v>
      </c>
      <c r="BL184" t="s">
        <v>3595</v>
      </c>
      <c r="BM184" t="s">
        <v>3596</v>
      </c>
      <c r="BN184" t="s">
        <v>74</v>
      </c>
      <c r="BO184" t="s">
        <v>74</v>
      </c>
      <c r="BP184" t="s">
        <v>74</v>
      </c>
      <c r="BQ184" t="s">
        <v>74</v>
      </c>
      <c r="BR184" t="s">
        <v>105</v>
      </c>
      <c r="BS184" t="s">
        <v>3694</v>
      </c>
      <c r="BT184" t="str">
        <f>HYPERLINK("https%3A%2F%2Fwww.webofscience.com%2Fwos%2Fwoscc%2Ffull-record%2FWOS:000451039805014","View Full Record in Web of Science")</f>
        <v>View Full Record in Web of Science</v>
      </c>
    </row>
    <row r="185" spans="1:72" x14ac:dyDescent="0.15">
      <c r="A185" t="s">
        <v>1776</v>
      </c>
      <c r="B185" t="s">
        <v>3695</v>
      </c>
      <c r="C185" t="s">
        <v>74</v>
      </c>
      <c r="D185" t="s">
        <v>74</v>
      </c>
      <c r="E185" t="s">
        <v>1778</v>
      </c>
      <c r="F185" t="s">
        <v>3696</v>
      </c>
      <c r="G185" t="s">
        <v>74</v>
      </c>
      <c r="H185" t="s">
        <v>74</v>
      </c>
      <c r="I185" t="s">
        <v>3697</v>
      </c>
      <c r="J185" t="s">
        <v>3575</v>
      </c>
      <c r="K185" t="s">
        <v>3576</v>
      </c>
      <c r="L185" t="s">
        <v>74</v>
      </c>
      <c r="M185" t="s">
        <v>78</v>
      </c>
      <c r="N185" t="s">
        <v>1782</v>
      </c>
      <c r="O185" t="s">
        <v>3577</v>
      </c>
      <c r="P185" t="s">
        <v>3578</v>
      </c>
      <c r="Q185" t="s">
        <v>3579</v>
      </c>
      <c r="R185" t="s">
        <v>74</v>
      </c>
      <c r="S185" t="s">
        <v>74</v>
      </c>
      <c r="T185" t="s">
        <v>3698</v>
      </c>
      <c r="U185" t="s">
        <v>74</v>
      </c>
      <c r="V185" t="s">
        <v>3699</v>
      </c>
      <c r="W185" t="s">
        <v>3700</v>
      </c>
      <c r="X185" t="s">
        <v>3701</v>
      </c>
      <c r="Y185" t="s">
        <v>3584</v>
      </c>
      <c r="Z185" t="s">
        <v>3702</v>
      </c>
      <c r="AA185" t="s">
        <v>3703</v>
      </c>
      <c r="AB185" t="s">
        <v>3704</v>
      </c>
      <c r="AC185" t="s">
        <v>3705</v>
      </c>
      <c r="AD185" t="s">
        <v>3706</v>
      </c>
      <c r="AE185" t="s">
        <v>3707</v>
      </c>
      <c r="AF185" t="s">
        <v>74</v>
      </c>
      <c r="AG185">
        <v>5</v>
      </c>
      <c r="AH185">
        <v>0</v>
      </c>
      <c r="AI185">
        <v>0</v>
      </c>
      <c r="AJ185">
        <v>1</v>
      </c>
      <c r="AK185">
        <v>5</v>
      </c>
      <c r="AL185" t="s">
        <v>1778</v>
      </c>
      <c r="AM185" t="s">
        <v>1797</v>
      </c>
      <c r="AN185" t="s">
        <v>1798</v>
      </c>
      <c r="AO185" t="s">
        <v>3591</v>
      </c>
      <c r="AP185" t="s">
        <v>74</v>
      </c>
      <c r="AQ185" t="s">
        <v>3592</v>
      </c>
      <c r="AR185" t="s">
        <v>3593</v>
      </c>
      <c r="AS185" t="s">
        <v>74</v>
      </c>
      <c r="AT185" t="s">
        <v>74</v>
      </c>
      <c r="AU185">
        <v>2018</v>
      </c>
      <c r="AV185" t="s">
        <v>74</v>
      </c>
      <c r="AW185" t="s">
        <v>74</v>
      </c>
      <c r="AX185" t="s">
        <v>74</v>
      </c>
      <c r="AY185" t="s">
        <v>74</v>
      </c>
      <c r="AZ185" t="s">
        <v>74</v>
      </c>
      <c r="BA185" t="s">
        <v>74</v>
      </c>
      <c r="BB185">
        <v>5505</v>
      </c>
      <c r="BC185">
        <v>5508</v>
      </c>
      <c r="BD185" t="s">
        <v>74</v>
      </c>
      <c r="BE185" t="s">
        <v>74</v>
      </c>
      <c r="BF185" t="s">
        <v>74</v>
      </c>
      <c r="BG185" t="s">
        <v>74</v>
      </c>
      <c r="BH185" t="s">
        <v>74</v>
      </c>
      <c r="BI185">
        <v>4</v>
      </c>
      <c r="BJ185" t="s">
        <v>3594</v>
      </c>
      <c r="BK185" t="s">
        <v>1801</v>
      </c>
      <c r="BL185" t="s">
        <v>3595</v>
      </c>
      <c r="BM185" t="s">
        <v>3596</v>
      </c>
      <c r="BN185" t="s">
        <v>74</v>
      </c>
      <c r="BO185" t="s">
        <v>74</v>
      </c>
      <c r="BP185" t="s">
        <v>74</v>
      </c>
      <c r="BQ185" t="s">
        <v>74</v>
      </c>
      <c r="BR185" t="s">
        <v>105</v>
      </c>
      <c r="BS185" t="s">
        <v>3708</v>
      </c>
      <c r="BT185" t="str">
        <f>HYPERLINK("https%3A%2F%2Fwww.webofscience.com%2Fwos%2Fwoscc%2Ffull-record%2FWOS:000451039805090","View Full Record in Web of Science")</f>
        <v>View Full Record in Web of Science</v>
      </c>
    </row>
    <row r="186" spans="1:72" x14ac:dyDescent="0.15">
      <c r="A186" t="s">
        <v>1776</v>
      </c>
      <c r="B186" t="s">
        <v>3709</v>
      </c>
      <c r="C186" t="s">
        <v>74</v>
      </c>
      <c r="D186" t="s">
        <v>74</v>
      </c>
      <c r="E186" t="s">
        <v>1778</v>
      </c>
      <c r="F186" t="s">
        <v>3710</v>
      </c>
      <c r="G186" t="s">
        <v>74</v>
      </c>
      <c r="H186" t="s">
        <v>74</v>
      </c>
      <c r="I186" t="s">
        <v>3711</v>
      </c>
      <c r="J186" t="s">
        <v>3575</v>
      </c>
      <c r="K186" t="s">
        <v>3576</v>
      </c>
      <c r="L186" t="s">
        <v>74</v>
      </c>
      <c r="M186" t="s">
        <v>78</v>
      </c>
      <c r="N186" t="s">
        <v>1782</v>
      </c>
      <c r="O186" t="s">
        <v>3577</v>
      </c>
      <c r="P186" t="s">
        <v>3578</v>
      </c>
      <c r="Q186" t="s">
        <v>3579</v>
      </c>
      <c r="R186" t="s">
        <v>74</v>
      </c>
      <c r="S186" t="s">
        <v>74</v>
      </c>
      <c r="T186" t="s">
        <v>74</v>
      </c>
      <c r="U186" t="s">
        <v>3712</v>
      </c>
      <c r="V186" t="s">
        <v>3713</v>
      </c>
      <c r="W186" t="s">
        <v>3714</v>
      </c>
      <c r="X186" t="s">
        <v>3715</v>
      </c>
      <c r="Y186" t="s">
        <v>3716</v>
      </c>
      <c r="Z186" t="s">
        <v>3717</v>
      </c>
      <c r="AA186" t="s">
        <v>3718</v>
      </c>
      <c r="AB186" t="s">
        <v>3719</v>
      </c>
      <c r="AC186" t="s">
        <v>3720</v>
      </c>
      <c r="AD186" t="s">
        <v>3721</v>
      </c>
      <c r="AE186" t="s">
        <v>3722</v>
      </c>
      <c r="AF186" t="s">
        <v>74</v>
      </c>
      <c r="AG186">
        <v>12</v>
      </c>
      <c r="AH186">
        <v>1</v>
      </c>
      <c r="AI186">
        <v>1</v>
      </c>
      <c r="AJ186">
        <v>0</v>
      </c>
      <c r="AK186">
        <v>4</v>
      </c>
      <c r="AL186" t="s">
        <v>1778</v>
      </c>
      <c r="AM186" t="s">
        <v>1797</v>
      </c>
      <c r="AN186" t="s">
        <v>1798</v>
      </c>
      <c r="AO186" t="s">
        <v>3591</v>
      </c>
      <c r="AP186" t="s">
        <v>74</v>
      </c>
      <c r="AQ186" t="s">
        <v>3592</v>
      </c>
      <c r="AR186" t="s">
        <v>3593</v>
      </c>
      <c r="AS186" t="s">
        <v>74</v>
      </c>
      <c r="AT186" t="s">
        <v>74</v>
      </c>
      <c r="AU186">
        <v>2018</v>
      </c>
      <c r="AV186" t="s">
        <v>74</v>
      </c>
      <c r="AW186" t="s">
        <v>74</v>
      </c>
      <c r="AX186" t="s">
        <v>74</v>
      </c>
      <c r="AY186" t="s">
        <v>74</v>
      </c>
      <c r="AZ186" t="s">
        <v>74</v>
      </c>
      <c r="BA186" t="s">
        <v>74</v>
      </c>
      <c r="BB186">
        <v>5613</v>
      </c>
      <c r="BC186">
        <v>5616</v>
      </c>
      <c r="BD186" t="s">
        <v>74</v>
      </c>
      <c r="BE186" t="s">
        <v>74</v>
      </c>
      <c r="BF186" t="s">
        <v>74</v>
      </c>
      <c r="BG186" t="s">
        <v>74</v>
      </c>
      <c r="BH186" t="s">
        <v>74</v>
      </c>
      <c r="BI186">
        <v>4</v>
      </c>
      <c r="BJ186" t="s">
        <v>3594</v>
      </c>
      <c r="BK186" t="s">
        <v>1801</v>
      </c>
      <c r="BL186" t="s">
        <v>3595</v>
      </c>
      <c r="BM186" t="s">
        <v>3596</v>
      </c>
      <c r="BN186" t="s">
        <v>74</v>
      </c>
      <c r="BO186" t="s">
        <v>74</v>
      </c>
      <c r="BP186" t="s">
        <v>74</v>
      </c>
      <c r="BQ186" t="s">
        <v>74</v>
      </c>
      <c r="BR186" t="s">
        <v>105</v>
      </c>
      <c r="BS186" t="s">
        <v>3723</v>
      </c>
      <c r="BT186" t="str">
        <f>HYPERLINK("https%3A%2F%2Fwww.webofscience.com%2Fwos%2Fwoscc%2Ffull-record%2FWOS:000451039805115","View Full Record in Web of Science")</f>
        <v>View Full Record in Web of Science</v>
      </c>
    </row>
    <row r="187" spans="1:72" x14ac:dyDescent="0.15">
      <c r="A187" t="s">
        <v>1776</v>
      </c>
      <c r="B187" t="s">
        <v>3724</v>
      </c>
      <c r="C187" t="s">
        <v>74</v>
      </c>
      <c r="D187" t="s">
        <v>74</v>
      </c>
      <c r="E187" t="s">
        <v>1778</v>
      </c>
      <c r="F187" t="s">
        <v>3725</v>
      </c>
      <c r="G187" t="s">
        <v>74</v>
      </c>
      <c r="H187" t="s">
        <v>74</v>
      </c>
      <c r="I187" t="s">
        <v>3726</v>
      </c>
      <c r="J187" t="s">
        <v>3575</v>
      </c>
      <c r="K187" t="s">
        <v>3576</v>
      </c>
      <c r="L187" t="s">
        <v>74</v>
      </c>
      <c r="M187" t="s">
        <v>78</v>
      </c>
      <c r="N187" t="s">
        <v>1782</v>
      </c>
      <c r="O187" t="s">
        <v>3577</v>
      </c>
      <c r="P187" t="s">
        <v>3578</v>
      </c>
      <c r="Q187" t="s">
        <v>3579</v>
      </c>
      <c r="R187" t="s">
        <v>74</v>
      </c>
      <c r="S187" t="s">
        <v>74</v>
      </c>
      <c r="T187" t="s">
        <v>3727</v>
      </c>
      <c r="U187" t="s">
        <v>74</v>
      </c>
      <c r="V187" t="s">
        <v>3728</v>
      </c>
      <c r="W187" t="s">
        <v>3729</v>
      </c>
      <c r="X187" t="s">
        <v>3730</v>
      </c>
      <c r="Y187" t="s">
        <v>3731</v>
      </c>
      <c r="Z187" t="s">
        <v>3732</v>
      </c>
      <c r="AA187" t="s">
        <v>74</v>
      </c>
      <c r="AB187" t="s">
        <v>74</v>
      </c>
      <c r="AC187" t="s">
        <v>74</v>
      </c>
      <c r="AD187" t="s">
        <v>74</v>
      </c>
      <c r="AE187" t="s">
        <v>74</v>
      </c>
      <c r="AF187" t="s">
        <v>74</v>
      </c>
      <c r="AG187">
        <v>6</v>
      </c>
      <c r="AH187">
        <v>2</v>
      </c>
      <c r="AI187">
        <v>2</v>
      </c>
      <c r="AJ187">
        <v>0</v>
      </c>
      <c r="AK187">
        <v>4</v>
      </c>
      <c r="AL187" t="s">
        <v>1778</v>
      </c>
      <c r="AM187" t="s">
        <v>1797</v>
      </c>
      <c r="AN187" t="s">
        <v>1798</v>
      </c>
      <c r="AO187" t="s">
        <v>3591</v>
      </c>
      <c r="AP187" t="s">
        <v>74</v>
      </c>
      <c r="AQ187" t="s">
        <v>3592</v>
      </c>
      <c r="AR187" t="s">
        <v>3593</v>
      </c>
      <c r="AS187" t="s">
        <v>74</v>
      </c>
      <c r="AT187" t="s">
        <v>74</v>
      </c>
      <c r="AU187">
        <v>2018</v>
      </c>
      <c r="AV187" t="s">
        <v>74</v>
      </c>
      <c r="AW187" t="s">
        <v>74</v>
      </c>
      <c r="AX187" t="s">
        <v>74</v>
      </c>
      <c r="AY187" t="s">
        <v>74</v>
      </c>
      <c r="AZ187" t="s">
        <v>74</v>
      </c>
      <c r="BA187" t="s">
        <v>74</v>
      </c>
      <c r="BB187">
        <v>7113</v>
      </c>
      <c r="BC187">
        <v>7116</v>
      </c>
      <c r="BD187" t="s">
        <v>74</v>
      </c>
      <c r="BE187" t="s">
        <v>74</v>
      </c>
      <c r="BF187" t="s">
        <v>74</v>
      </c>
      <c r="BG187" t="s">
        <v>74</v>
      </c>
      <c r="BH187" t="s">
        <v>74</v>
      </c>
      <c r="BI187">
        <v>4</v>
      </c>
      <c r="BJ187" t="s">
        <v>3594</v>
      </c>
      <c r="BK187" t="s">
        <v>1801</v>
      </c>
      <c r="BL187" t="s">
        <v>3595</v>
      </c>
      <c r="BM187" t="s">
        <v>3596</v>
      </c>
      <c r="BN187" t="s">
        <v>74</v>
      </c>
      <c r="BO187" t="s">
        <v>389</v>
      </c>
      <c r="BP187" t="s">
        <v>74</v>
      </c>
      <c r="BQ187" t="s">
        <v>74</v>
      </c>
      <c r="BR187" t="s">
        <v>105</v>
      </c>
      <c r="BS187" t="s">
        <v>3733</v>
      </c>
      <c r="BT187" t="str">
        <f>HYPERLINK("https%3A%2F%2Fwww.webofscience.com%2Fwos%2Fwoscc%2Ffull-record%2FWOS:000451039806210","View Full Record in Web of Science")</f>
        <v>View Full Record in Web of Science</v>
      </c>
    </row>
    <row r="188" spans="1:72" x14ac:dyDescent="0.15">
      <c r="A188" t="s">
        <v>1776</v>
      </c>
      <c r="B188" t="s">
        <v>3734</v>
      </c>
      <c r="C188" t="s">
        <v>74</v>
      </c>
      <c r="D188" t="s">
        <v>74</v>
      </c>
      <c r="E188" t="s">
        <v>1778</v>
      </c>
      <c r="F188" t="s">
        <v>3735</v>
      </c>
      <c r="G188" t="s">
        <v>74</v>
      </c>
      <c r="H188" t="s">
        <v>74</v>
      </c>
      <c r="I188" t="s">
        <v>3736</v>
      </c>
      <c r="J188" t="s">
        <v>3575</v>
      </c>
      <c r="K188" t="s">
        <v>3576</v>
      </c>
      <c r="L188" t="s">
        <v>74</v>
      </c>
      <c r="M188" t="s">
        <v>78</v>
      </c>
      <c r="N188" t="s">
        <v>1782</v>
      </c>
      <c r="O188" t="s">
        <v>3577</v>
      </c>
      <c r="P188" t="s">
        <v>3578</v>
      </c>
      <c r="Q188" t="s">
        <v>3579</v>
      </c>
      <c r="R188" t="s">
        <v>74</v>
      </c>
      <c r="S188" t="s">
        <v>74</v>
      </c>
      <c r="T188" t="s">
        <v>3737</v>
      </c>
      <c r="U188" t="s">
        <v>3738</v>
      </c>
      <c r="V188" t="s">
        <v>3739</v>
      </c>
      <c r="W188" t="s">
        <v>3740</v>
      </c>
      <c r="X188" t="s">
        <v>3741</v>
      </c>
      <c r="Y188" t="s">
        <v>3742</v>
      </c>
      <c r="Z188" t="s">
        <v>74</v>
      </c>
      <c r="AA188" t="s">
        <v>3743</v>
      </c>
      <c r="AB188" t="s">
        <v>74</v>
      </c>
      <c r="AC188" t="s">
        <v>3744</v>
      </c>
      <c r="AD188" t="s">
        <v>3745</v>
      </c>
      <c r="AE188" t="s">
        <v>3746</v>
      </c>
      <c r="AF188" t="s">
        <v>74</v>
      </c>
      <c r="AG188">
        <v>15</v>
      </c>
      <c r="AH188">
        <v>2</v>
      </c>
      <c r="AI188">
        <v>2</v>
      </c>
      <c r="AJ188">
        <v>0</v>
      </c>
      <c r="AK188">
        <v>1</v>
      </c>
      <c r="AL188" t="s">
        <v>1778</v>
      </c>
      <c r="AM188" t="s">
        <v>1797</v>
      </c>
      <c r="AN188" t="s">
        <v>1798</v>
      </c>
      <c r="AO188" t="s">
        <v>3591</v>
      </c>
      <c r="AP188" t="s">
        <v>74</v>
      </c>
      <c r="AQ188" t="s">
        <v>3592</v>
      </c>
      <c r="AR188" t="s">
        <v>3593</v>
      </c>
      <c r="AS188" t="s">
        <v>74</v>
      </c>
      <c r="AT188" t="s">
        <v>74</v>
      </c>
      <c r="AU188">
        <v>2018</v>
      </c>
      <c r="AV188" t="s">
        <v>74</v>
      </c>
      <c r="AW188" t="s">
        <v>74</v>
      </c>
      <c r="AX188" t="s">
        <v>74</v>
      </c>
      <c r="AY188" t="s">
        <v>74</v>
      </c>
      <c r="AZ188" t="s">
        <v>74</v>
      </c>
      <c r="BA188" t="s">
        <v>74</v>
      </c>
      <c r="BB188">
        <v>8096</v>
      </c>
      <c r="BC188">
        <v>8099</v>
      </c>
      <c r="BD188" t="s">
        <v>74</v>
      </c>
      <c r="BE188" t="s">
        <v>74</v>
      </c>
      <c r="BF188" t="s">
        <v>74</v>
      </c>
      <c r="BG188" t="s">
        <v>74</v>
      </c>
      <c r="BH188" t="s">
        <v>74</v>
      </c>
      <c r="BI188">
        <v>4</v>
      </c>
      <c r="BJ188" t="s">
        <v>3594</v>
      </c>
      <c r="BK188" t="s">
        <v>1801</v>
      </c>
      <c r="BL188" t="s">
        <v>3595</v>
      </c>
      <c r="BM188" t="s">
        <v>3596</v>
      </c>
      <c r="BN188" t="s">
        <v>74</v>
      </c>
      <c r="BO188" t="s">
        <v>74</v>
      </c>
      <c r="BP188" t="s">
        <v>74</v>
      </c>
      <c r="BQ188" t="s">
        <v>74</v>
      </c>
      <c r="BR188" t="s">
        <v>105</v>
      </c>
      <c r="BS188" t="s">
        <v>3747</v>
      </c>
      <c r="BT188" t="str">
        <f>HYPERLINK("https%3A%2F%2Fwww.webofscience.com%2Fwos%2Fwoscc%2Ffull-record%2FWOS:000451039807176","View Full Record in Web of Science")</f>
        <v>View Full Record in Web of Science</v>
      </c>
    </row>
    <row r="189" spans="1:72" x14ac:dyDescent="0.15">
      <c r="A189" t="s">
        <v>1776</v>
      </c>
      <c r="B189" t="s">
        <v>3748</v>
      </c>
      <c r="C189" t="s">
        <v>74</v>
      </c>
      <c r="D189" t="s">
        <v>74</v>
      </c>
      <c r="E189" t="s">
        <v>1778</v>
      </c>
      <c r="F189" t="s">
        <v>3749</v>
      </c>
      <c r="G189" t="s">
        <v>74</v>
      </c>
      <c r="H189" t="s">
        <v>74</v>
      </c>
      <c r="I189" t="s">
        <v>3750</v>
      </c>
      <c r="J189" t="s">
        <v>3575</v>
      </c>
      <c r="K189" t="s">
        <v>3576</v>
      </c>
      <c r="L189" t="s">
        <v>74</v>
      </c>
      <c r="M189" t="s">
        <v>78</v>
      </c>
      <c r="N189" t="s">
        <v>1782</v>
      </c>
      <c r="O189" t="s">
        <v>3577</v>
      </c>
      <c r="P189" t="s">
        <v>3578</v>
      </c>
      <c r="Q189" t="s">
        <v>3579</v>
      </c>
      <c r="R189" t="s">
        <v>74</v>
      </c>
      <c r="S189" t="s">
        <v>74</v>
      </c>
      <c r="T189" t="s">
        <v>3751</v>
      </c>
      <c r="U189" t="s">
        <v>74</v>
      </c>
      <c r="V189" t="s">
        <v>3752</v>
      </c>
      <c r="W189" t="s">
        <v>3753</v>
      </c>
      <c r="X189" t="s">
        <v>3754</v>
      </c>
      <c r="Y189" t="s">
        <v>3755</v>
      </c>
      <c r="Z189" t="s">
        <v>74</v>
      </c>
      <c r="AA189" t="s">
        <v>3756</v>
      </c>
      <c r="AB189" t="s">
        <v>3757</v>
      </c>
      <c r="AC189" t="s">
        <v>3758</v>
      </c>
      <c r="AD189" t="s">
        <v>3759</v>
      </c>
      <c r="AE189" t="s">
        <v>3760</v>
      </c>
      <c r="AF189" t="s">
        <v>74</v>
      </c>
      <c r="AG189">
        <v>17</v>
      </c>
      <c r="AH189">
        <v>6</v>
      </c>
      <c r="AI189">
        <v>6</v>
      </c>
      <c r="AJ189">
        <v>0</v>
      </c>
      <c r="AK189">
        <v>7</v>
      </c>
      <c r="AL189" t="s">
        <v>1778</v>
      </c>
      <c r="AM189" t="s">
        <v>1797</v>
      </c>
      <c r="AN189" t="s">
        <v>1798</v>
      </c>
      <c r="AO189" t="s">
        <v>3591</v>
      </c>
      <c r="AP189" t="s">
        <v>74</v>
      </c>
      <c r="AQ189" t="s">
        <v>3592</v>
      </c>
      <c r="AR189" t="s">
        <v>3593</v>
      </c>
      <c r="AS189" t="s">
        <v>74</v>
      </c>
      <c r="AT189" t="s">
        <v>74</v>
      </c>
      <c r="AU189">
        <v>2018</v>
      </c>
      <c r="AV189" t="s">
        <v>74</v>
      </c>
      <c r="AW189" t="s">
        <v>74</v>
      </c>
      <c r="AX189" t="s">
        <v>74</v>
      </c>
      <c r="AY189" t="s">
        <v>74</v>
      </c>
      <c r="AZ189" t="s">
        <v>74</v>
      </c>
      <c r="BA189" t="s">
        <v>74</v>
      </c>
      <c r="BB189">
        <v>8531</v>
      </c>
      <c r="BC189">
        <v>8534</v>
      </c>
      <c r="BD189" t="s">
        <v>74</v>
      </c>
      <c r="BE189" t="s">
        <v>74</v>
      </c>
      <c r="BF189" t="s">
        <v>74</v>
      </c>
      <c r="BG189" t="s">
        <v>74</v>
      </c>
      <c r="BH189" t="s">
        <v>74</v>
      </c>
      <c r="BI189">
        <v>4</v>
      </c>
      <c r="BJ189" t="s">
        <v>3594</v>
      </c>
      <c r="BK189" t="s">
        <v>1801</v>
      </c>
      <c r="BL189" t="s">
        <v>3595</v>
      </c>
      <c r="BM189" t="s">
        <v>3596</v>
      </c>
      <c r="BN189" t="s">
        <v>74</v>
      </c>
      <c r="BO189" t="s">
        <v>432</v>
      </c>
      <c r="BP189" t="s">
        <v>74</v>
      </c>
      <c r="BQ189" t="s">
        <v>74</v>
      </c>
      <c r="BR189" t="s">
        <v>105</v>
      </c>
      <c r="BS189" t="s">
        <v>3761</v>
      </c>
      <c r="BT189" t="str">
        <f>HYPERLINK("https%3A%2F%2Fwww.webofscience.com%2Fwos%2Fwoscc%2Ffull-record%2FWOS:000451039808027","View Full Record in Web of Science")</f>
        <v>View Full Record in Web of Science</v>
      </c>
    </row>
    <row r="190" spans="1:72" x14ac:dyDescent="0.15">
      <c r="A190" t="s">
        <v>72</v>
      </c>
      <c r="B190" t="s">
        <v>3762</v>
      </c>
      <c r="C190" t="s">
        <v>74</v>
      </c>
      <c r="D190" t="s">
        <v>74</v>
      </c>
      <c r="E190" t="s">
        <v>74</v>
      </c>
      <c r="F190" t="s">
        <v>3763</v>
      </c>
      <c r="G190" t="s">
        <v>74</v>
      </c>
      <c r="H190" t="s">
        <v>74</v>
      </c>
      <c r="I190" t="s">
        <v>3764</v>
      </c>
      <c r="J190" t="s">
        <v>3765</v>
      </c>
      <c r="K190" t="s">
        <v>74</v>
      </c>
      <c r="L190" t="s">
        <v>74</v>
      </c>
      <c r="M190" t="s">
        <v>78</v>
      </c>
      <c r="N190" t="s">
        <v>289</v>
      </c>
      <c r="O190" t="s">
        <v>74</v>
      </c>
      <c r="P190" t="s">
        <v>74</v>
      </c>
      <c r="Q190" t="s">
        <v>74</v>
      </c>
      <c r="R190" t="s">
        <v>74</v>
      </c>
      <c r="S190" t="s">
        <v>74</v>
      </c>
      <c r="T190" t="s">
        <v>3766</v>
      </c>
      <c r="U190" t="s">
        <v>3767</v>
      </c>
      <c r="V190" t="s">
        <v>3768</v>
      </c>
      <c r="W190" t="s">
        <v>3769</v>
      </c>
      <c r="X190" t="s">
        <v>3770</v>
      </c>
      <c r="Y190" t="s">
        <v>3771</v>
      </c>
      <c r="Z190" t="s">
        <v>3772</v>
      </c>
      <c r="AA190" t="s">
        <v>74</v>
      </c>
      <c r="AB190" t="s">
        <v>74</v>
      </c>
      <c r="AC190" t="s">
        <v>3773</v>
      </c>
      <c r="AD190" t="s">
        <v>3774</v>
      </c>
      <c r="AE190" t="s">
        <v>3775</v>
      </c>
      <c r="AF190" t="s">
        <v>74</v>
      </c>
      <c r="AG190">
        <v>116</v>
      </c>
      <c r="AH190">
        <v>43</v>
      </c>
      <c r="AI190">
        <v>50</v>
      </c>
      <c r="AJ190">
        <v>4</v>
      </c>
      <c r="AK190">
        <v>25</v>
      </c>
      <c r="AL190" t="s">
        <v>1700</v>
      </c>
      <c r="AM190" t="s">
        <v>1701</v>
      </c>
      <c r="AN190" t="s">
        <v>1702</v>
      </c>
      <c r="AO190" t="s">
        <v>3776</v>
      </c>
      <c r="AP190" t="s">
        <v>74</v>
      </c>
      <c r="AQ190" t="s">
        <v>74</v>
      </c>
      <c r="AR190" t="s">
        <v>3777</v>
      </c>
      <c r="AS190" t="s">
        <v>3778</v>
      </c>
      <c r="AT190" t="s">
        <v>74</v>
      </c>
      <c r="AU190">
        <v>2018</v>
      </c>
      <c r="AV190">
        <v>3</v>
      </c>
      <c r="AW190">
        <v>1</v>
      </c>
      <c r="AX190" t="s">
        <v>74</v>
      </c>
      <c r="AY190" t="s">
        <v>74</v>
      </c>
      <c r="AZ190" t="s">
        <v>74</v>
      </c>
      <c r="BA190" t="s">
        <v>74</v>
      </c>
      <c r="BB190" t="s">
        <v>74</v>
      </c>
      <c r="BC190" t="s">
        <v>74</v>
      </c>
      <c r="BD190" t="s">
        <v>3779</v>
      </c>
      <c r="BE190" t="s">
        <v>3780</v>
      </c>
      <c r="BF190" t="str">
        <f>HYPERLINK("http://dx.doi.org/10.1080/23746149.2018.1513819","http://dx.doi.org/10.1080/23746149.2018.1513819")</f>
        <v>http://dx.doi.org/10.1080/23746149.2018.1513819</v>
      </c>
      <c r="BG190" t="s">
        <v>74</v>
      </c>
      <c r="BH190" t="s">
        <v>74</v>
      </c>
      <c r="BI190">
        <v>29</v>
      </c>
      <c r="BJ190" t="s">
        <v>3781</v>
      </c>
      <c r="BK190" t="s">
        <v>101</v>
      </c>
      <c r="BL190" t="s">
        <v>3782</v>
      </c>
      <c r="BM190" t="s">
        <v>3783</v>
      </c>
      <c r="BN190" t="s">
        <v>74</v>
      </c>
      <c r="BO190" t="s">
        <v>494</v>
      </c>
      <c r="BP190" t="s">
        <v>74</v>
      </c>
      <c r="BQ190" t="s">
        <v>74</v>
      </c>
      <c r="BR190" t="s">
        <v>105</v>
      </c>
      <c r="BS190" t="s">
        <v>3784</v>
      </c>
      <c r="BT190" t="str">
        <f>HYPERLINK("https%3A%2F%2Fwww.webofscience.com%2Fwos%2Fwoscc%2Ffull-record%2FWOS:000446541200001","View Full Record in Web of Science")</f>
        <v>View Full Record in Web of Science</v>
      </c>
    </row>
    <row r="191" spans="1:72" x14ac:dyDescent="0.15">
      <c r="A191" t="s">
        <v>72</v>
      </c>
      <c r="B191" t="s">
        <v>3785</v>
      </c>
      <c r="C191" t="s">
        <v>74</v>
      </c>
      <c r="D191" t="s">
        <v>74</v>
      </c>
      <c r="E191" t="s">
        <v>74</v>
      </c>
      <c r="F191" t="s">
        <v>3786</v>
      </c>
      <c r="G191" t="s">
        <v>74</v>
      </c>
      <c r="H191" t="s">
        <v>74</v>
      </c>
      <c r="I191" t="s">
        <v>3787</v>
      </c>
      <c r="J191" t="s">
        <v>3788</v>
      </c>
      <c r="K191" t="s">
        <v>74</v>
      </c>
      <c r="L191" t="s">
        <v>74</v>
      </c>
      <c r="M191" t="s">
        <v>78</v>
      </c>
      <c r="N191" t="s">
        <v>79</v>
      </c>
      <c r="O191" t="s">
        <v>74</v>
      </c>
      <c r="P191" t="s">
        <v>74</v>
      </c>
      <c r="Q191" t="s">
        <v>74</v>
      </c>
      <c r="R191" t="s">
        <v>74</v>
      </c>
      <c r="S191" t="s">
        <v>74</v>
      </c>
      <c r="T191" t="s">
        <v>3789</v>
      </c>
      <c r="U191" t="s">
        <v>3790</v>
      </c>
      <c r="V191" t="s">
        <v>3791</v>
      </c>
      <c r="W191" t="s">
        <v>3792</v>
      </c>
      <c r="X191" t="s">
        <v>3793</v>
      </c>
      <c r="Y191" t="s">
        <v>3794</v>
      </c>
      <c r="Z191" t="s">
        <v>3795</v>
      </c>
      <c r="AA191" t="s">
        <v>3796</v>
      </c>
      <c r="AB191" t="s">
        <v>3797</v>
      </c>
      <c r="AC191" t="s">
        <v>3798</v>
      </c>
      <c r="AD191" t="s">
        <v>1923</v>
      </c>
      <c r="AE191" t="s">
        <v>74</v>
      </c>
      <c r="AF191" t="s">
        <v>74</v>
      </c>
      <c r="AG191">
        <v>92</v>
      </c>
      <c r="AH191">
        <v>11</v>
      </c>
      <c r="AI191">
        <v>11</v>
      </c>
      <c r="AJ191">
        <v>0</v>
      </c>
      <c r="AK191">
        <v>24</v>
      </c>
      <c r="AL191" t="s">
        <v>3799</v>
      </c>
      <c r="AM191" t="s">
        <v>3800</v>
      </c>
      <c r="AN191" t="s">
        <v>3801</v>
      </c>
      <c r="AO191" t="s">
        <v>3802</v>
      </c>
      <c r="AP191" t="s">
        <v>74</v>
      </c>
      <c r="AQ191" t="s">
        <v>74</v>
      </c>
      <c r="AR191" t="s">
        <v>3803</v>
      </c>
      <c r="AS191" t="s">
        <v>3804</v>
      </c>
      <c r="AT191" t="s">
        <v>74</v>
      </c>
      <c r="AU191">
        <v>2018</v>
      </c>
      <c r="AV191">
        <v>4</v>
      </c>
      <c r="AW191">
        <v>3</v>
      </c>
      <c r="AX191" t="s">
        <v>74</v>
      </c>
      <c r="AY191" t="s">
        <v>74</v>
      </c>
      <c r="AZ191" t="s">
        <v>74</v>
      </c>
      <c r="BA191" t="s">
        <v>74</v>
      </c>
      <c r="BB191">
        <v>541</v>
      </c>
      <c r="BC191">
        <v>562</v>
      </c>
      <c r="BD191" t="s">
        <v>74</v>
      </c>
      <c r="BE191" t="s">
        <v>3805</v>
      </c>
      <c r="BF191" t="str">
        <f>HYPERLINK("http://dx.doi.org/10.3934/microbiol.2018.3.541","http://dx.doi.org/10.3934/microbiol.2018.3.541")</f>
        <v>http://dx.doi.org/10.3934/microbiol.2018.3.541</v>
      </c>
      <c r="BG191" t="s">
        <v>74</v>
      </c>
      <c r="BH191" t="s">
        <v>74</v>
      </c>
      <c r="BI191">
        <v>22</v>
      </c>
      <c r="BJ191" t="s">
        <v>3806</v>
      </c>
      <c r="BK191" t="s">
        <v>2081</v>
      </c>
      <c r="BL191" t="s">
        <v>3806</v>
      </c>
      <c r="BM191" t="s">
        <v>3807</v>
      </c>
      <c r="BN191">
        <v>31294232</v>
      </c>
      <c r="BO191" t="s">
        <v>3808</v>
      </c>
      <c r="BP191" t="s">
        <v>74</v>
      </c>
      <c r="BQ191" t="s">
        <v>74</v>
      </c>
      <c r="BR191" t="s">
        <v>105</v>
      </c>
      <c r="BS191" t="s">
        <v>3809</v>
      </c>
      <c r="BT191" t="str">
        <f>HYPERLINK("https%3A%2F%2Fwww.webofscience.com%2Fwos%2Fwoscc%2Ffull-record%2FWOS:000442463600011","View Full Record in Web of Science")</f>
        <v>View Full Record in Web of Science</v>
      </c>
    </row>
    <row r="192" spans="1:72" x14ac:dyDescent="0.15">
      <c r="A192" t="s">
        <v>72</v>
      </c>
      <c r="B192" t="s">
        <v>3810</v>
      </c>
      <c r="C192" t="s">
        <v>74</v>
      </c>
      <c r="D192" t="s">
        <v>74</v>
      </c>
      <c r="E192" t="s">
        <v>74</v>
      </c>
      <c r="F192" t="s">
        <v>3811</v>
      </c>
      <c r="G192" t="s">
        <v>74</v>
      </c>
      <c r="H192" t="s">
        <v>74</v>
      </c>
      <c r="I192" t="s">
        <v>3812</v>
      </c>
      <c r="J192" t="s">
        <v>3813</v>
      </c>
      <c r="K192" t="s">
        <v>74</v>
      </c>
      <c r="L192" t="s">
        <v>74</v>
      </c>
      <c r="M192" t="s">
        <v>78</v>
      </c>
      <c r="N192" t="s">
        <v>79</v>
      </c>
      <c r="O192" t="s">
        <v>74</v>
      </c>
      <c r="P192" t="s">
        <v>74</v>
      </c>
      <c r="Q192" t="s">
        <v>74</v>
      </c>
      <c r="R192" t="s">
        <v>74</v>
      </c>
      <c r="S192" t="s">
        <v>74</v>
      </c>
      <c r="T192" t="s">
        <v>3814</v>
      </c>
      <c r="U192" t="s">
        <v>3815</v>
      </c>
      <c r="V192" t="s">
        <v>3816</v>
      </c>
      <c r="W192" t="s">
        <v>3817</v>
      </c>
      <c r="X192" t="s">
        <v>3818</v>
      </c>
      <c r="Y192" t="s">
        <v>3819</v>
      </c>
      <c r="Z192" t="s">
        <v>3820</v>
      </c>
      <c r="AA192" t="s">
        <v>74</v>
      </c>
      <c r="AB192" t="s">
        <v>3821</v>
      </c>
      <c r="AC192" t="s">
        <v>3822</v>
      </c>
      <c r="AD192" t="s">
        <v>3823</v>
      </c>
      <c r="AE192" t="s">
        <v>3824</v>
      </c>
      <c r="AF192" t="s">
        <v>74</v>
      </c>
      <c r="AG192">
        <v>66</v>
      </c>
      <c r="AH192">
        <v>15</v>
      </c>
      <c r="AI192">
        <v>15</v>
      </c>
      <c r="AJ192">
        <v>0</v>
      </c>
      <c r="AK192">
        <v>5</v>
      </c>
      <c r="AL192" t="s">
        <v>3825</v>
      </c>
      <c r="AM192" t="s">
        <v>3826</v>
      </c>
      <c r="AN192" t="s">
        <v>3827</v>
      </c>
      <c r="AO192" t="s">
        <v>3828</v>
      </c>
      <c r="AP192" t="s">
        <v>3829</v>
      </c>
      <c r="AQ192" t="s">
        <v>74</v>
      </c>
      <c r="AR192" t="s">
        <v>3813</v>
      </c>
      <c r="AS192" t="s">
        <v>3830</v>
      </c>
      <c r="AT192" t="s">
        <v>74</v>
      </c>
      <c r="AU192">
        <v>2018</v>
      </c>
      <c r="AV192">
        <v>55</v>
      </c>
      <c r="AW192">
        <v>1</v>
      </c>
      <c r="AX192" t="s">
        <v>74</v>
      </c>
      <c r="AY192" t="s">
        <v>74</v>
      </c>
      <c r="AZ192" t="s">
        <v>74</v>
      </c>
      <c r="BA192" t="s">
        <v>74</v>
      </c>
      <c r="BB192">
        <v>91</v>
      </c>
      <c r="BC192">
        <v>108</v>
      </c>
      <c r="BD192" t="s">
        <v>74</v>
      </c>
      <c r="BE192" t="s">
        <v>3831</v>
      </c>
      <c r="BF192" t="str">
        <f>HYPERLINK("http://dx.doi.org/10.5710/AMGH.27.07.2017.3095","http://dx.doi.org/10.5710/AMGH.27.07.2017.3095")</f>
        <v>http://dx.doi.org/10.5710/AMGH.27.07.2017.3095</v>
      </c>
      <c r="BG192" t="s">
        <v>74</v>
      </c>
      <c r="BH192" t="s">
        <v>74</v>
      </c>
      <c r="BI192">
        <v>18</v>
      </c>
      <c r="BJ192" t="s">
        <v>1496</v>
      </c>
      <c r="BK192" t="s">
        <v>101</v>
      </c>
      <c r="BL192" t="s">
        <v>1496</v>
      </c>
      <c r="BM192" t="s">
        <v>3832</v>
      </c>
      <c r="BN192" t="s">
        <v>74</v>
      </c>
      <c r="BO192" t="s">
        <v>74</v>
      </c>
      <c r="BP192" t="s">
        <v>74</v>
      </c>
      <c r="BQ192" t="s">
        <v>74</v>
      </c>
      <c r="BR192" t="s">
        <v>105</v>
      </c>
      <c r="BS192" t="s">
        <v>3833</v>
      </c>
      <c r="BT192" t="str">
        <f>HYPERLINK("https%3A%2F%2Fwww.webofscience.com%2Fwos%2Fwoscc%2Ffull-record%2FWOS:000426062600005","View Full Record in Web of Science")</f>
        <v>View Full Record in Web of Science</v>
      </c>
    </row>
    <row r="193" spans="1:72" x14ac:dyDescent="0.15">
      <c r="A193" t="s">
        <v>1831</v>
      </c>
      <c r="B193" t="s">
        <v>3834</v>
      </c>
      <c r="C193" t="s">
        <v>74</v>
      </c>
      <c r="D193" t="s">
        <v>3835</v>
      </c>
      <c r="E193" t="s">
        <v>74</v>
      </c>
      <c r="F193" t="s">
        <v>3836</v>
      </c>
      <c r="G193" t="s">
        <v>74</v>
      </c>
      <c r="H193" t="s">
        <v>74</v>
      </c>
      <c r="I193" t="s">
        <v>3837</v>
      </c>
      <c r="J193" t="s">
        <v>3838</v>
      </c>
      <c r="K193" t="s">
        <v>3839</v>
      </c>
      <c r="L193" t="s">
        <v>74</v>
      </c>
      <c r="M193" t="s">
        <v>78</v>
      </c>
      <c r="N193" t="s">
        <v>1838</v>
      </c>
      <c r="O193" t="s">
        <v>74</v>
      </c>
      <c r="P193" t="s">
        <v>74</v>
      </c>
      <c r="Q193" t="s">
        <v>74</v>
      </c>
      <c r="R193" t="s">
        <v>74</v>
      </c>
      <c r="S193" t="s">
        <v>74</v>
      </c>
      <c r="T193" t="s">
        <v>3840</v>
      </c>
      <c r="U193" t="s">
        <v>3841</v>
      </c>
      <c r="V193" t="s">
        <v>3842</v>
      </c>
      <c r="W193" t="s">
        <v>3843</v>
      </c>
      <c r="X193" t="s">
        <v>3844</v>
      </c>
      <c r="Y193" t="s">
        <v>3845</v>
      </c>
      <c r="Z193" t="s">
        <v>3846</v>
      </c>
      <c r="AA193" t="s">
        <v>3847</v>
      </c>
      <c r="AB193" t="s">
        <v>3848</v>
      </c>
      <c r="AC193" t="s">
        <v>74</v>
      </c>
      <c r="AD193" t="s">
        <v>74</v>
      </c>
      <c r="AE193" t="s">
        <v>74</v>
      </c>
      <c r="AF193" t="s">
        <v>74</v>
      </c>
      <c r="AG193">
        <v>116</v>
      </c>
      <c r="AH193">
        <v>34</v>
      </c>
      <c r="AI193">
        <v>35</v>
      </c>
      <c r="AJ193">
        <v>1</v>
      </c>
      <c r="AK193">
        <v>19</v>
      </c>
      <c r="AL193" t="s">
        <v>3849</v>
      </c>
      <c r="AM193" t="s">
        <v>3850</v>
      </c>
      <c r="AN193" t="s">
        <v>3851</v>
      </c>
      <c r="AO193" t="s">
        <v>3852</v>
      </c>
      <c r="AP193" t="s">
        <v>3853</v>
      </c>
      <c r="AQ193" t="s">
        <v>3854</v>
      </c>
      <c r="AR193" t="s">
        <v>3855</v>
      </c>
      <c r="AS193" t="s">
        <v>3856</v>
      </c>
      <c r="AT193" t="s">
        <v>74</v>
      </c>
      <c r="AU193">
        <v>2018</v>
      </c>
      <c r="AV193">
        <v>49</v>
      </c>
      <c r="AW193" t="s">
        <v>74</v>
      </c>
      <c r="AX193" t="s">
        <v>74</v>
      </c>
      <c r="AY193" t="s">
        <v>74</v>
      </c>
      <c r="AZ193" t="s">
        <v>74</v>
      </c>
      <c r="BA193" t="s">
        <v>74</v>
      </c>
      <c r="BB193">
        <v>355</v>
      </c>
      <c r="BC193">
        <v>378</v>
      </c>
      <c r="BD193" t="s">
        <v>74</v>
      </c>
      <c r="BE193" t="s">
        <v>3857</v>
      </c>
      <c r="BF193" t="str">
        <f>HYPERLINK("http://dx.doi.org/10.1146/annurev-ecolsys-121415-032139","http://dx.doi.org/10.1146/annurev-ecolsys-121415-032139")</f>
        <v>http://dx.doi.org/10.1146/annurev-ecolsys-121415-032139</v>
      </c>
      <c r="BG193" t="s">
        <v>74</v>
      </c>
      <c r="BH193" t="s">
        <v>74</v>
      </c>
      <c r="BI193">
        <v>24</v>
      </c>
      <c r="BJ193" t="s">
        <v>3858</v>
      </c>
      <c r="BK193" t="s">
        <v>3859</v>
      </c>
      <c r="BL193" t="s">
        <v>3860</v>
      </c>
      <c r="BM193" t="s">
        <v>3861</v>
      </c>
      <c r="BN193" t="s">
        <v>74</v>
      </c>
      <c r="BO193" t="s">
        <v>74</v>
      </c>
      <c r="BP193" t="s">
        <v>74</v>
      </c>
      <c r="BQ193" t="s">
        <v>74</v>
      </c>
      <c r="BR193" t="s">
        <v>105</v>
      </c>
      <c r="BS193" t="s">
        <v>3862</v>
      </c>
      <c r="BT193" t="str">
        <f>HYPERLINK("https%3A%2F%2Fwww.webofscience.com%2Fwos%2Fwoscc%2Ffull-record%2FWOS:000450612900016","View Full Record in Web of Science")</f>
        <v>View Full Record in Web of Science</v>
      </c>
    </row>
    <row r="194" spans="1:72" x14ac:dyDescent="0.15">
      <c r="A194" t="s">
        <v>72</v>
      </c>
      <c r="B194" t="s">
        <v>3863</v>
      </c>
      <c r="C194" t="s">
        <v>74</v>
      </c>
      <c r="D194" t="s">
        <v>74</v>
      </c>
      <c r="E194" t="s">
        <v>74</v>
      </c>
      <c r="F194" t="s">
        <v>3864</v>
      </c>
      <c r="G194" t="s">
        <v>74</v>
      </c>
      <c r="H194" t="s">
        <v>74</v>
      </c>
      <c r="I194" t="s">
        <v>3865</v>
      </c>
      <c r="J194" t="s">
        <v>3866</v>
      </c>
      <c r="K194" t="s">
        <v>74</v>
      </c>
      <c r="L194" t="s">
        <v>74</v>
      </c>
      <c r="M194" t="s">
        <v>78</v>
      </c>
      <c r="N194" t="s">
        <v>79</v>
      </c>
      <c r="O194" t="s">
        <v>74</v>
      </c>
      <c r="P194" t="s">
        <v>74</v>
      </c>
      <c r="Q194" t="s">
        <v>74</v>
      </c>
      <c r="R194" t="s">
        <v>74</v>
      </c>
      <c r="S194" t="s">
        <v>74</v>
      </c>
      <c r="T194" t="s">
        <v>3867</v>
      </c>
      <c r="U194" t="s">
        <v>3868</v>
      </c>
      <c r="V194" t="s">
        <v>3869</v>
      </c>
      <c r="W194" t="s">
        <v>3870</v>
      </c>
      <c r="X194" t="s">
        <v>3871</v>
      </c>
      <c r="Y194" t="s">
        <v>3872</v>
      </c>
      <c r="Z194" t="s">
        <v>3873</v>
      </c>
      <c r="AA194" t="s">
        <v>3874</v>
      </c>
      <c r="AB194" t="s">
        <v>3875</v>
      </c>
      <c r="AC194" t="s">
        <v>3876</v>
      </c>
      <c r="AD194" t="s">
        <v>3877</v>
      </c>
      <c r="AE194" t="s">
        <v>3878</v>
      </c>
      <c r="AF194" t="s">
        <v>74</v>
      </c>
      <c r="AG194">
        <v>75</v>
      </c>
      <c r="AH194">
        <v>39</v>
      </c>
      <c r="AI194">
        <v>41</v>
      </c>
      <c r="AJ194">
        <v>0</v>
      </c>
      <c r="AK194">
        <v>40</v>
      </c>
      <c r="AL194" t="s">
        <v>3879</v>
      </c>
      <c r="AM194" t="s">
        <v>272</v>
      </c>
      <c r="AN194" t="s">
        <v>3880</v>
      </c>
      <c r="AO194" t="s">
        <v>3881</v>
      </c>
      <c r="AP194" t="s">
        <v>3882</v>
      </c>
      <c r="AQ194" t="s">
        <v>74</v>
      </c>
      <c r="AR194" t="s">
        <v>3883</v>
      </c>
      <c r="AS194" t="s">
        <v>3884</v>
      </c>
      <c r="AT194" t="s">
        <v>2468</v>
      </c>
      <c r="AU194">
        <v>2018</v>
      </c>
      <c r="AV194">
        <v>84</v>
      </c>
      <c r="AW194">
        <v>2</v>
      </c>
      <c r="AX194" t="s">
        <v>74</v>
      </c>
      <c r="AY194" t="s">
        <v>74</v>
      </c>
      <c r="AZ194" t="s">
        <v>74</v>
      </c>
      <c r="BA194" t="s">
        <v>74</v>
      </c>
      <c r="BB194" t="s">
        <v>74</v>
      </c>
      <c r="BC194" t="s">
        <v>74</v>
      </c>
      <c r="BD194" t="s">
        <v>3885</v>
      </c>
      <c r="BE194" t="s">
        <v>3886</v>
      </c>
      <c r="BF194" t="str">
        <f>HYPERLINK("http://dx.doi.org/10.1128/AEM.01746-17","http://dx.doi.org/10.1128/AEM.01746-17")</f>
        <v>http://dx.doi.org/10.1128/AEM.01746-17</v>
      </c>
      <c r="BG194" t="s">
        <v>74</v>
      </c>
      <c r="BH194" t="s">
        <v>74</v>
      </c>
      <c r="BI194">
        <v>13</v>
      </c>
      <c r="BJ194" t="s">
        <v>3887</v>
      </c>
      <c r="BK194" t="s">
        <v>101</v>
      </c>
      <c r="BL194" t="s">
        <v>3887</v>
      </c>
      <c r="BM194" t="s">
        <v>3888</v>
      </c>
      <c r="BN194">
        <v>29079617</v>
      </c>
      <c r="BO194" t="s">
        <v>104</v>
      </c>
      <c r="BP194" t="s">
        <v>74</v>
      </c>
      <c r="BQ194" t="s">
        <v>74</v>
      </c>
      <c r="BR194" t="s">
        <v>105</v>
      </c>
      <c r="BS194" t="s">
        <v>3889</v>
      </c>
      <c r="BT194" t="str">
        <f>HYPERLINK("https%3A%2F%2Fwww.webofscience.com%2Fwos%2Fwoscc%2Ffull-record%2FWOS:000419048900009","View Full Record in Web of Science")</f>
        <v>View Full Record in Web of Science</v>
      </c>
    </row>
    <row r="195" spans="1:72" x14ac:dyDescent="0.15">
      <c r="A195" t="s">
        <v>72</v>
      </c>
      <c r="B195" t="s">
        <v>3890</v>
      </c>
      <c r="C195" t="s">
        <v>74</v>
      </c>
      <c r="D195" t="s">
        <v>74</v>
      </c>
      <c r="E195" t="s">
        <v>74</v>
      </c>
      <c r="F195" t="s">
        <v>3891</v>
      </c>
      <c r="G195" t="s">
        <v>74</v>
      </c>
      <c r="H195" t="s">
        <v>74</v>
      </c>
      <c r="I195" t="s">
        <v>3892</v>
      </c>
      <c r="J195" t="s">
        <v>3893</v>
      </c>
      <c r="K195" t="s">
        <v>74</v>
      </c>
      <c r="L195" t="s">
        <v>74</v>
      </c>
      <c r="M195" t="s">
        <v>78</v>
      </c>
      <c r="N195" t="s">
        <v>79</v>
      </c>
      <c r="O195" t="s">
        <v>74</v>
      </c>
      <c r="P195" t="s">
        <v>74</v>
      </c>
      <c r="Q195" t="s">
        <v>74</v>
      </c>
      <c r="R195" t="s">
        <v>74</v>
      </c>
      <c r="S195" t="s">
        <v>74</v>
      </c>
      <c r="T195" t="s">
        <v>3894</v>
      </c>
      <c r="U195" t="s">
        <v>3895</v>
      </c>
      <c r="V195" t="s">
        <v>3896</v>
      </c>
      <c r="W195" t="s">
        <v>3897</v>
      </c>
      <c r="X195" t="s">
        <v>3898</v>
      </c>
      <c r="Y195" t="s">
        <v>3899</v>
      </c>
      <c r="Z195" t="s">
        <v>3900</v>
      </c>
      <c r="AA195" t="s">
        <v>3901</v>
      </c>
      <c r="AB195" t="s">
        <v>3902</v>
      </c>
      <c r="AC195" t="s">
        <v>3903</v>
      </c>
      <c r="AD195" t="s">
        <v>3904</v>
      </c>
      <c r="AE195" t="s">
        <v>3905</v>
      </c>
      <c r="AF195" t="s">
        <v>74</v>
      </c>
      <c r="AG195">
        <v>37</v>
      </c>
      <c r="AH195">
        <v>16</v>
      </c>
      <c r="AI195">
        <v>17</v>
      </c>
      <c r="AJ195">
        <v>0</v>
      </c>
      <c r="AK195">
        <v>21</v>
      </c>
      <c r="AL195" t="s">
        <v>3906</v>
      </c>
      <c r="AM195" t="s">
        <v>3907</v>
      </c>
      <c r="AN195" t="s">
        <v>3908</v>
      </c>
      <c r="AO195" t="s">
        <v>3909</v>
      </c>
      <c r="AP195" t="s">
        <v>3910</v>
      </c>
      <c r="AQ195" t="s">
        <v>74</v>
      </c>
      <c r="AR195" t="s">
        <v>3911</v>
      </c>
      <c r="AS195" t="s">
        <v>3912</v>
      </c>
      <c r="AT195" t="s">
        <v>2468</v>
      </c>
      <c r="AU195">
        <v>2018</v>
      </c>
      <c r="AV195">
        <v>43</v>
      </c>
      <c r="AW195">
        <v>1</v>
      </c>
      <c r="AX195" t="s">
        <v>74</v>
      </c>
      <c r="AY195" t="s">
        <v>74</v>
      </c>
      <c r="AZ195" t="s">
        <v>74</v>
      </c>
      <c r="BA195" t="s">
        <v>74</v>
      </c>
      <c r="BB195">
        <v>133</v>
      </c>
      <c r="BC195">
        <v>141</v>
      </c>
      <c r="BD195" t="s">
        <v>74</v>
      </c>
      <c r="BE195" t="s">
        <v>3913</v>
      </c>
      <c r="BF195" t="str">
        <f>HYPERLINK("http://dx.doi.org/10.1007/s13369-017-2738-1","http://dx.doi.org/10.1007/s13369-017-2738-1")</f>
        <v>http://dx.doi.org/10.1007/s13369-017-2738-1</v>
      </c>
      <c r="BG195" t="s">
        <v>74</v>
      </c>
      <c r="BH195" t="s">
        <v>74</v>
      </c>
      <c r="BI195">
        <v>9</v>
      </c>
      <c r="BJ195" t="s">
        <v>129</v>
      </c>
      <c r="BK195" t="s">
        <v>101</v>
      </c>
      <c r="BL195" t="s">
        <v>130</v>
      </c>
      <c r="BM195" t="s">
        <v>3914</v>
      </c>
      <c r="BN195" t="s">
        <v>74</v>
      </c>
      <c r="BO195" t="s">
        <v>74</v>
      </c>
      <c r="BP195" t="s">
        <v>74</v>
      </c>
      <c r="BQ195" t="s">
        <v>74</v>
      </c>
      <c r="BR195" t="s">
        <v>105</v>
      </c>
      <c r="BS195" t="s">
        <v>3915</v>
      </c>
      <c r="BT195" t="str">
        <f>HYPERLINK("https%3A%2F%2Fwww.webofscience.com%2Fwos%2Fwoscc%2Ffull-record%2FWOS:000419170500012","View Full Record in Web of Science")</f>
        <v>View Full Record in Web of Science</v>
      </c>
    </row>
    <row r="196" spans="1:72" x14ac:dyDescent="0.15">
      <c r="A196" t="s">
        <v>72</v>
      </c>
      <c r="B196" t="s">
        <v>3916</v>
      </c>
      <c r="C196" t="s">
        <v>74</v>
      </c>
      <c r="D196" t="s">
        <v>74</v>
      </c>
      <c r="E196" t="s">
        <v>74</v>
      </c>
      <c r="F196" t="s">
        <v>3917</v>
      </c>
      <c r="G196" t="s">
        <v>74</v>
      </c>
      <c r="H196" t="s">
        <v>74</v>
      </c>
      <c r="I196" t="s">
        <v>3918</v>
      </c>
      <c r="J196" t="s">
        <v>3919</v>
      </c>
      <c r="K196" t="s">
        <v>74</v>
      </c>
      <c r="L196" t="s">
        <v>74</v>
      </c>
      <c r="M196" t="s">
        <v>78</v>
      </c>
      <c r="N196" t="s">
        <v>79</v>
      </c>
      <c r="O196" t="s">
        <v>74</v>
      </c>
      <c r="P196" t="s">
        <v>74</v>
      </c>
      <c r="Q196" t="s">
        <v>74</v>
      </c>
      <c r="R196" t="s">
        <v>74</v>
      </c>
      <c r="S196" t="s">
        <v>74</v>
      </c>
      <c r="T196" t="s">
        <v>3920</v>
      </c>
      <c r="U196" t="s">
        <v>3921</v>
      </c>
      <c r="V196" t="s">
        <v>3922</v>
      </c>
      <c r="W196" t="s">
        <v>3923</v>
      </c>
      <c r="X196" t="s">
        <v>3924</v>
      </c>
      <c r="Y196" t="s">
        <v>3925</v>
      </c>
      <c r="Z196" t="s">
        <v>3926</v>
      </c>
      <c r="AA196" t="s">
        <v>3927</v>
      </c>
      <c r="AB196" t="s">
        <v>3928</v>
      </c>
      <c r="AC196" t="s">
        <v>3929</v>
      </c>
      <c r="AD196" t="s">
        <v>3930</v>
      </c>
      <c r="AE196" t="s">
        <v>3931</v>
      </c>
      <c r="AF196" t="s">
        <v>74</v>
      </c>
      <c r="AG196">
        <v>22</v>
      </c>
      <c r="AH196">
        <v>12</v>
      </c>
      <c r="AI196">
        <v>12</v>
      </c>
      <c r="AJ196">
        <v>1</v>
      </c>
      <c r="AK196">
        <v>9</v>
      </c>
      <c r="AL196" t="s">
        <v>1700</v>
      </c>
      <c r="AM196" t="s">
        <v>1701</v>
      </c>
      <c r="AN196" t="s">
        <v>1702</v>
      </c>
      <c r="AO196" t="s">
        <v>3932</v>
      </c>
      <c r="AP196" t="s">
        <v>3933</v>
      </c>
      <c r="AQ196" t="s">
        <v>74</v>
      </c>
      <c r="AR196" t="s">
        <v>3934</v>
      </c>
      <c r="AS196" t="s">
        <v>3935</v>
      </c>
      <c r="AT196" t="s">
        <v>74</v>
      </c>
      <c r="AU196">
        <v>2018</v>
      </c>
      <c r="AV196">
        <v>46</v>
      </c>
      <c r="AW196">
        <v>8</v>
      </c>
      <c r="AX196" t="s">
        <v>74</v>
      </c>
      <c r="AY196" t="s">
        <v>74</v>
      </c>
      <c r="AZ196" t="s">
        <v>74</v>
      </c>
      <c r="BA196" t="s">
        <v>74</v>
      </c>
      <c r="BB196">
        <v>1671</v>
      </c>
      <c r="BC196">
        <v>1684</v>
      </c>
      <c r="BD196" t="s">
        <v>74</v>
      </c>
      <c r="BE196" t="s">
        <v>3936</v>
      </c>
      <c r="BF196" t="str">
        <f>HYPERLINK("http://dx.doi.org/10.1080/21691401.2017.1389748","http://dx.doi.org/10.1080/21691401.2017.1389748")</f>
        <v>http://dx.doi.org/10.1080/21691401.2017.1389748</v>
      </c>
      <c r="BG196" t="s">
        <v>74</v>
      </c>
      <c r="BH196" t="s">
        <v>74</v>
      </c>
      <c r="BI196">
        <v>14</v>
      </c>
      <c r="BJ196" t="s">
        <v>3937</v>
      </c>
      <c r="BK196" t="s">
        <v>101</v>
      </c>
      <c r="BL196" t="s">
        <v>3938</v>
      </c>
      <c r="BM196" t="s">
        <v>3939</v>
      </c>
      <c r="BN196">
        <v>29037087</v>
      </c>
      <c r="BO196" t="s">
        <v>306</v>
      </c>
      <c r="BP196" t="s">
        <v>74</v>
      </c>
      <c r="BQ196" t="s">
        <v>74</v>
      </c>
      <c r="BR196" t="s">
        <v>105</v>
      </c>
      <c r="BS196" t="s">
        <v>3940</v>
      </c>
      <c r="BT196" t="str">
        <f>HYPERLINK("https%3A%2F%2Fwww.webofscience.com%2Fwos%2Fwoscc%2Ffull-record%2FWOS:000452031000015","View Full Record in Web of Science")</f>
        <v>View Full Record in Web of Science</v>
      </c>
    </row>
    <row r="197" spans="1:72" x14ac:dyDescent="0.15">
      <c r="A197" t="s">
        <v>72</v>
      </c>
      <c r="B197" t="s">
        <v>3941</v>
      </c>
      <c r="C197" t="s">
        <v>74</v>
      </c>
      <c r="D197" t="s">
        <v>74</v>
      </c>
      <c r="E197" t="s">
        <v>74</v>
      </c>
      <c r="F197" t="s">
        <v>3942</v>
      </c>
      <c r="G197" t="s">
        <v>74</v>
      </c>
      <c r="H197" t="s">
        <v>74</v>
      </c>
      <c r="I197" t="s">
        <v>3943</v>
      </c>
      <c r="J197" t="s">
        <v>3944</v>
      </c>
      <c r="K197" t="s">
        <v>74</v>
      </c>
      <c r="L197" t="s">
        <v>74</v>
      </c>
      <c r="M197" t="s">
        <v>78</v>
      </c>
      <c r="N197" t="s">
        <v>79</v>
      </c>
      <c r="O197" t="s">
        <v>74</v>
      </c>
      <c r="P197" t="s">
        <v>74</v>
      </c>
      <c r="Q197" t="s">
        <v>74</v>
      </c>
      <c r="R197" t="s">
        <v>74</v>
      </c>
      <c r="S197" t="s">
        <v>74</v>
      </c>
      <c r="T197" t="s">
        <v>3945</v>
      </c>
      <c r="U197" t="s">
        <v>3946</v>
      </c>
      <c r="V197" t="s">
        <v>3947</v>
      </c>
      <c r="W197" t="s">
        <v>3948</v>
      </c>
      <c r="X197" t="s">
        <v>3949</v>
      </c>
      <c r="Y197" t="s">
        <v>3950</v>
      </c>
      <c r="Z197" t="s">
        <v>3951</v>
      </c>
      <c r="AA197" t="s">
        <v>3952</v>
      </c>
      <c r="AB197" t="s">
        <v>3953</v>
      </c>
      <c r="AC197" t="s">
        <v>3954</v>
      </c>
      <c r="AD197" t="s">
        <v>3955</v>
      </c>
      <c r="AE197" t="s">
        <v>3956</v>
      </c>
      <c r="AF197" t="s">
        <v>74</v>
      </c>
      <c r="AG197">
        <v>49</v>
      </c>
      <c r="AH197">
        <v>6</v>
      </c>
      <c r="AI197">
        <v>6</v>
      </c>
      <c r="AJ197">
        <v>0</v>
      </c>
      <c r="AK197">
        <v>39</v>
      </c>
      <c r="AL197" t="s">
        <v>3957</v>
      </c>
      <c r="AM197" t="s">
        <v>3958</v>
      </c>
      <c r="AN197" t="s">
        <v>3959</v>
      </c>
      <c r="AO197" t="s">
        <v>3960</v>
      </c>
      <c r="AP197" t="s">
        <v>74</v>
      </c>
      <c r="AQ197" t="s">
        <v>74</v>
      </c>
      <c r="AR197" t="s">
        <v>3961</v>
      </c>
      <c r="AS197" t="s">
        <v>3962</v>
      </c>
      <c r="AT197" t="s">
        <v>74</v>
      </c>
      <c r="AU197">
        <v>2018</v>
      </c>
      <c r="AV197">
        <v>50</v>
      </c>
      <c r="AW197">
        <v>1</v>
      </c>
      <c r="AX197" t="s">
        <v>74</v>
      </c>
      <c r="AY197" t="s">
        <v>74</v>
      </c>
      <c r="AZ197" t="s">
        <v>74</v>
      </c>
      <c r="BA197" t="s">
        <v>74</v>
      </c>
      <c r="BB197">
        <v>43</v>
      </c>
      <c r="BC197">
        <v>49</v>
      </c>
      <c r="BD197" t="s">
        <v>74</v>
      </c>
      <c r="BE197" t="s">
        <v>3963</v>
      </c>
      <c r="BF197" t="str">
        <f>HYPERLINK("http://dx.doi.org/10.4067/S0719-81322018000100108","http://dx.doi.org/10.4067/S0719-81322018000100108")</f>
        <v>http://dx.doi.org/10.4067/S0719-81322018000100108</v>
      </c>
      <c r="BG197" t="s">
        <v>74</v>
      </c>
      <c r="BH197" t="s">
        <v>74</v>
      </c>
      <c r="BI197">
        <v>7</v>
      </c>
      <c r="BJ197" t="s">
        <v>3964</v>
      </c>
      <c r="BK197" t="s">
        <v>101</v>
      </c>
      <c r="BL197" t="s">
        <v>3964</v>
      </c>
      <c r="BM197" t="s">
        <v>3965</v>
      </c>
      <c r="BN197" t="s">
        <v>74</v>
      </c>
      <c r="BO197" t="s">
        <v>1751</v>
      </c>
      <c r="BP197" t="s">
        <v>74</v>
      </c>
      <c r="BQ197" t="s">
        <v>74</v>
      </c>
      <c r="BR197" t="s">
        <v>105</v>
      </c>
      <c r="BS197" t="s">
        <v>3966</v>
      </c>
      <c r="BT197" t="str">
        <f>HYPERLINK("https%3A%2F%2Fwww.webofscience.com%2Fwos%2Fwoscc%2Ffull-record%2FWOS:000428611400008","View Full Record in Web of Science")</f>
        <v>View Full Record in Web of Science</v>
      </c>
    </row>
    <row r="198" spans="1:72" x14ac:dyDescent="0.15">
      <c r="A198" t="s">
        <v>72</v>
      </c>
      <c r="B198" t="s">
        <v>3967</v>
      </c>
      <c r="C198" t="s">
        <v>74</v>
      </c>
      <c r="D198" t="s">
        <v>74</v>
      </c>
      <c r="E198" t="s">
        <v>74</v>
      </c>
      <c r="F198" t="s">
        <v>3968</v>
      </c>
      <c r="G198" t="s">
        <v>74</v>
      </c>
      <c r="H198" t="s">
        <v>74</v>
      </c>
      <c r="I198" t="s">
        <v>3969</v>
      </c>
      <c r="J198" t="s">
        <v>3970</v>
      </c>
      <c r="K198" t="s">
        <v>74</v>
      </c>
      <c r="L198" t="s">
        <v>74</v>
      </c>
      <c r="M198" t="s">
        <v>78</v>
      </c>
      <c r="N198" t="s">
        <v>79</v>
      </c>
      <c r="O198" t="s">
        <v>74</v>
      </c>
      <c r="P198" t="s">
        <v>74</v>
      </c>
      <c r="Q198" t="s">
        <v>74</v>
      </c>
      <c r="R198" t="s">
        <v>74</v>
      </c>
      <c r="S198" t="s">
        <v>74</v>
      </c>
      <c r="T198" t="s">
        <v>74</v>
      </c>
      <c r="U198" t="s">
        <v>74</v>
      </c>
      <c r="V198" t="s">
        <v>3971</v>
      </c>
      <c r="W198" t="s">
        <v>3972</v>
      </c>
      <c r="X198" t="s">
        <v>3973</v>
      </c>
      <c r="Y198" t="s">
        <v>3974</v>
      </c>
      <c r="Z198" t="s">
        <v>3975</v>
      </c>
      <c r="AA198" t="s">
        <v>74</v>
      </c>
      <c r="AB198" t="s">
        <v>3976</v>
      </c>
      <c r="AC198" t="s">
        <v>74</v>
      </c>
      <c r="AD198" t="s">
        <v>74</v>
      </c>
      <c r="AE198" t="s">
        <v>74</v>
      </c>
      <c r="AF198" t="s">
        <v>74</v>
      </c>
      <c r="AG198">
        <v>150</v>
      </c>
      <c r="AH198">
        <v>1</v>
      </c>
      <c r="AI198">
        <v>1</v>
      </c>
      <c r="AJ198">
        <v>1</v>
      </c>
      <c r="AK198">
        <v>1</v>
      </c>
      <c r="AL198" t="s">
        <v>2917</v>
      </c>
      <c r="AM198" t="s">
        <v>1701</v>
      </c>
      <c r="AN198" t="s">
        <v>2918</v>
      </c>
      <c r="AO198" t="s">
        <v>3977</v>
      </c>
      <c r="AP198" t="s">
        <v>3978</v>
      </c>
      <c r="AQ198" t="s">
        <v>74</v>
      </c>
      <c r="AR198" t="s">
        <v>3979</v>
      </c>
      <c r="AS198" t="s">
        <v>3980</v>
      </c>
      <c r="AT198" t="s">
        <v>74</v>
      </c>
      <c r="AU198">
        <v>2018</v>
      </c>
      <c r="AV198">
        <v>49</v>
      </c>
      <c r="AW198">
        <v>4</v>
      </c>
      <c r="AX198" t="s">
        <v>74</v>
      </c>
      <c r="AY198" t="s">
        <v>74</v>
      </c>
      <c r="AZ198" t="s">
        <v>74</v>
      </c>
      <c r="BA198" t="s">
        <v>74</v>
      </c>
      <c r="BB198">
        <v>510</v>
      </c>
      <c r="BC198">
        <v>526</v>
      </c>
      <c r="BD198" t="s">
        <v>74</v>
      </c>
      <c r="BE198" t="s">
        <v>3981</v>
      </c>
      <c r="BF198" t="str">
        <f>HYPERLINK("http://dx.doi.org/10.1080/1031461X.2018.1509881","http://dx.doi.org/10.1080/1031461X.2018.1509881")</f>
        <v>http://dx.doi.org/10.1080/1031461X.2018.1509881</v>
      </c>
      <c r="BG198" t="s">
        <v>74</v>
      </c>
      <c r="BH198" t="s">
        <v>74</v>
      </c>
      <c r="BI198">
        <v>17</v>
      </c>
      <c r="BJ198" t="s">
        <v>2998</v>
      </c>
      <c r="BK198" t="s">
        <v>3982</v>
      </c>
      <c r="BL198" t="s">
        <v>2998</v>
      </c>
      <c r="BM198" t="s">
        <v>3983</v>
      </c>
      <c r="BN198" t="s">
        <v>74</v>
      </c>
      <c r="BO198" t="s">
        <v>74</v>
      </c>
      <c r="BP198" t="s">
        <v>74</v>
      </c>
      <c r="BQ198" t="s">
        <v>74</v>
      </c>
      <c r="BR198" t="s">
        <v>105</v>
      </c>
      <c r="BS198" t="s">
        <v>3984</v>
      </c>
      <c r="BT198" t="str">
        <f>HYPERLINK("https%3A%2F%2Fwww.webofscience.com%2Fwos%2Fwoscc%2Ffull-record%2FWOS:000451525000008","View Full Record in Web of Science")</f>
        <v>View Full Record in Web of Science</v>
      </c>
    </row>
    <row r="199" spans="1:72" x14ac:dyDescent="0.15">
      <c r="A199" t="s">
        <v>72</v>
      </c>
      <c r="B199" t="s">
        <v>3985</v>
      </c>
      <c r="C199" t="s">
        <v>74</v>
      </c>
      <c r="D199" t="s">
        <v>74</v>
      </c>
      <c r="E199" t="s">
        <v>74</v>
      </c>
      <c r="F199" t="s">
        <v>3986</v>
      </c>
      <c r="G199" t="s">
        <v>74</v>
      </c>
      <c r="H199" t="s">
        <v>74</v>
      </c>
      <c r="I199" t="s">
        <v>3987</v>
      </c>
      <c r="J199" t="s">
        <v>3988</v>
      </c>
      <c r="K199" t="s">
        <v>74</v>
      </c>
      <c r="L199" t="s">
        <v>74</v>
      </c>
      <c r="M199" t="s">
        <v>78</v>
      </c>
      <c r="N199" t="s">
        <v>79</v>
      </c>
      <c r="O199" t="s">
        <v>74</v>
      </c>
      <c r="P199" t="s">
        <v>74</v>
      </c>
      <c r="Q199" t="s">
        <v>74</v>
      </c>
      <c r="R199" t="s">
        <v>74</v>
      </c>
      <c r="S199" t="s">
        <v>74</v>
      </c>
      <c r="T199" t="s">
        <v>3989</v>
      </c>
      <c r="U199" t="s">
        <v>3990</v>
      </c>
      <c r="V199" t="s">
        <v>3991</v>
      </c>
      <c r="W199" t="s">
        <v>3992</v>
      </c>
      <c r="X199" t="s">
        <v>2912</v>
      </c>
      <c r="Y199" t="s">
        <v>3993</v>
      </c>
      <c r="Z199" t="s">
        <v>3994</v>
      </c>
      <c r="AA199" t="s">
        <v>3995</v>
      </c>
      <c r="AB199" t="s">
        <v>3996</v>
      </c>
      <c r="AC199" t="s">
        <v>3997</v>
      </c>
      <c r="AD199" t="s">
        <v>3998</v>
      </c>
      <c r="AE199" t="s">
        <v>3999</v>
      </c>
      <c r="AF199" t="s">
        <v>74</v>
      </c>
      <c r="AG199">
        <v>103</v>
      </c>
      <c r="AH199">
        <v>7</v>
      </c>
      <c r="AI199">
        <v>8</v>
      </c>
      <c r="AJ199">
        <v>0</v>
      </c>
      <c r="AK199">
        <v>10</v>
      </c>
      <c r="AL199" t="s">
        <v>1700</v>
      </c>
      <c r="AM199" t="s">
        <v>1701</v>
      </c>
      <c r="AN199" t="s">
        <v>1702</v>
      </c>
      <c r="AO199" t="s">
        <v>4000</v>
      </c>
      <c r="AP199" t="s">
        <v>4001</v>
      </c>
      <c r="AQ199" t="s">
        <v>74</v>
      </c>
      <c r="AR199" t="s">
        <v>4002</v>
      </c>
      <c r="AS199" t="s">
        <v>4003</v>
      </c>
      <c r="AT199" t="s">
        <v>74</v>
      </c>
      <c r="AU199">
        <v>2018</v>
      </c>
      <c r="AV199">
        <v>65</v>
      </c>
      <c r="AW199">
        <v>3</v>
      </c>
      <c r="AX199" t="s">
        <v>74</v>
      </c>
      <c r="AY199" t="s">
        <v>74</v>
      </c>
      <c r="AZ199" t="s">
        <v>74</v>
      </c>
      <c r="BA199" t="s">
        <v>74</v>
      </c>
      <c r="BB199">
        <v>391</v>
      </c>
      <c r="BC199">
        <v>407</v>
      </c>
      <c r="BD199" t="s">
        <v>74</v>
      </c>
      <c r="BE199" t="s">
        <v>4004</v>
      </c>
      <c r="BF199" t="str">
        <f>HYPERLINK("http://dx.doi.org/10.1080/08120099.2018.1426629","http://dx.doi.org/10.1080/08120099.2018.1426629")</f>
        <v>http://dx.doi.org/10.1080/08120099.2018.1426629</v>
      </c>
      <c r="BG199" t="s">
        <v>74</v>
      </c>
      <c r="BH199" t="s">
        <v>74</v>
      </c>
      <c r="BI199">
        <v>17</v>
      </c>
      <c r="BJ199" t="s">
        <v>280</v>
      </c>
      <c r="BK199" t="s">
        <v>101</v>
      </c>
      <c r="BL199" t="s">
        <v>281</v>
      </c>
      <c r="BM199" t="s">
        <v>4005</v>
      </c>
      <c r="BN199" t="s">
        <v>74</v>
      </c>
      <c r="BO199" t="s">
        <v>74</v>
      </c>
      <c r="BP199" t="s">
        <v>74</v>
      </c>
      <c r="BQ199" t="s">
        <v>74</v>
      </c>
      <c r="BR199" t="s">
        <v>105</v>
      </c>
      <c r="BS199" t="s">
        <v>4006</v>
      </c>
      <c r="BT199" t="str">
        <f>HYPERLINK("https%3A%2F%2Fwww.webofscience.com%2Fwos%2Fwoscc%2Ffull-record%2FWOS:000431006800005","View Full Record in Web of Science")</f>
        <v>View Full Record in Web of Science</v>
      </c>
    </row>
    <row r="200" spans="1:72" x14ac:dyDescent="0.15">
      <c r="A200" t="s">
        <v>72</v>
      </c>
      <c r="B200" t="s">
        <v>4007</v>
      </c>
      <c r="C200" t="s">
        <v>74</v>
      </c>
      <c r="D200" t="s">
        <v>74</v>
      </c>
      <c r="E200" t="s">
        <v>74</v>
      </c>
      <c r="F200" t="s">
        <v>4008</v>
      </c>
      <c r="G200" t="s">
        <v>74</v>
      </c>
      <c r="H200" t="s">
        <v>74</v>
      </c>
      <c r="I200" t="s">
        <v>4009</v>
      </c>
      <c r="J200" t="s">
        <v>4010</v>
      </c>
      <c r="K200" t="s">
        <v>74</v>
      </c>
      <c r="L200" t="s">
        <v>74</v>
      </c>
      <c r="M200" t="s">
        <v>78</v>
      </c>
      <c r="N200" t="s">
        <v>79</v>
      </c>
      <c r="O200" t="s">
        <v>74</v>
      </c>
      <c r="P200" t="s">
        <v>74</v>
      </c>
      <c r="Q200" t="s">
        <v>74</v>
      </c>
      <c r="R200" t="s">
        <v>74</v>
      </c>
      <c r="S200" t="s">
        <v>74</v>
      </c>
      <c r="T200" t="s">
        <v>74</v>
      </c>
      <c r="U200" t="s">
        <v>4011</v>
      </c>
      <c r="V200" t="s">
        <v>4012</v>
      </c>
      <c r="W200" t="s">
        <v>4013</v>
      </c>
      <c r="X200" t="s">
        <v>4014</v>
      </c>
      <c r="Y200" t="s">
        <v>4015</v>
      </c>
      <c r="Z200" t="s">
        <v>4016</v>
      </c>
      <c r="AA200" t="s">
        <v>4017</v>
      </c>
      <c r="AB200" t="s">
        <v>4018</v>
      </c>
      <c r="AC200" t="s">
        <v>4019</v>
      </c>
      <c r="AD200" t="s">
        <v>4020</v>
      </c>
      <c r="AE200" t="s">
        <v>4021</v>
      </c>
      <c r="AF200" t="s">
        <v>74</v>
      </c>
      <c r="AG200">
        <v>29</v>
      </c>
      <c r="AH200">
        <v>60</v>
      </c>
      <c r="AI200">
        <v>64</v>
      </c>
      <c r="AJ200">
        <v>0</v>
      </c>
      <c r="AK200">
        <v>57</v>
      </c>
      <c r="AL200" t="s">
        <v>4022</v>
      </c>
      <c r="AM200" t="s">
        <v>4023</v>
      </c>
      <c r="AN200" t="s">
        <v>4024</v>
      </c>
      <c r="AO200" t="s">
        <v>4025</v>
      </c>
      <c r="AP200" t="s">
        <v>4026</v>
      </c>
      <c r="AQ200" t="s">
        <v>74</v>
      </c>
      <c r="AR200" t="s">
        <v>4027</v>
      </c>
      <c r="AS200" t="s">
        <v>4028</v>
      </c>
      <c r="AT200" t="s">
        <v>2468</v>
      </c>
      <c r="AU200">
        <v>2018</v>
      </c>
      <c r="AV200">
        <v>99</v>
      </c>
      <c r="AW200">
        <v>1</v>
      </c>
      <c r="AX200" t="s">
        <v>74</v>
      </c>
      <c r="AY200" t="s">
        <v>74</v>
      </c>
      <c r="AZ200" t="s">
        <v>74</v>
      </c>
      <c r="BA200" t="s">
        <v>74</v>
      </c>
      <c r="BB200">
        <v>83</v>
      </c>
      <c r="BC200">
        <v>104</v>
      </c>
      <c r="BD200" t="s">
        <v>74</v>
      </c>
      <c r="BE200" t="s">
        <v>4029</v>
      </c>
      <c r="BF200" t="str">
        <f>HYPERLINK("http://dx.doi.org/10.1175/BAMS-D-16-0256.1","http://dx.doi.org/10.1175/BAMS-D-16-0256.1")</f>
        <v>http://dx.doi.org/10.1175/BAMS-D-16-0256.1</v>
      </c>
      <c r="BG200" t="s">
        <v>74</v>
      </c>
      <c r="BH200" t="s">
        <v>74</v>
      </c>
      <c r="BI200">
        <v>22</v>
      </c>
      <c r="BJ200" t="s">
        <v>430</v>
      </c>
      <c r="BK200" t="s">
        <v>101</v>
      </c>
      <c r="BL200" t="s">
        <v>430</v>
      </c>
      <c r="BM200" t="s">
        <v>4030</v>
      </c>
      <c r="BN200" t="s">
        <v>74</v>
      </c>
      <c r="BO200" t="s">
        <v>1568</v>
      </c>
      <c r="BP200" t="s">
        <v>74</v>
      </c>
      <c r="BQ200" t="s">
        <v>74</v>
      </c>
      <c r="BR200" t="s">
        <v>105</v>
      </c>
      <c r="BS200" t="s">
        <v>4031</v>
      </c>
      <c r="BT200" t="str">
        <f>HYPERLINK("https%3A%2F%2Fwww.webofscience.com%2Fwos%2Fwoscc%2Ffull-record%2FWOS:000423878600006","View Full Record in Web of Science")</f>
        <v>View Full Record in Web of Science</v>
      </c>
    </row>
    <row r="201" spans="1:72" x14ac:dyDescent="0.15">
      <c r="A201" t="s">
        <v>72</v>
      </c>
      <c r="B201" t="s">
        <v>4032</v>
      </c>
      <c r="C201" t="s">
        <v>74</v>
      </c>
      <c r="D201" t="s">
        <v>74</v>
      </c>
      <c r="E201" t="s">
        <v>74</v>
      </c>
      <c r="F201" t="s">
        <v>4033</v>
      </c>
      <c r="G201" t="s">
        <v>74</v>
      </c>
      <c r="H201" t="s">
        <v>74</v>
      </c>
      <c r="I201" t="s">
        <v>4034</v>
      </c>
      <c r="J201" t="s">
        <v>4035</v>
      </c>
      <c r="K201" t="s">
        <v>74</v>
      </c>
      <c r="L201" t="s">
        <v>74</v>
      </c>
      <c r="M201" t="s">
        <v>78</v>
      </c>
      <c r="N201" t="s">
        <v>79</v>
      </c>
      <c r="O201" t="s">
        <v>74</v>
      </c>
      <c r="P201" t="s">
        <v>74</v>
      </c>
      <c r="Q201" t="s">
        <v>74</v>
      </c>
      <c r="R201" t="s">
        <v>74</v>
      </c>
      <c r="S201" t="s">
        <v>74</v>
      </c>
      <c r="T201" t="s">
        <v>4036</v>
      </c>
      <c r="U201" t="s">
        <v>74</v>
      </c>
      <c r="V201" t="s">
        <v>4037</v>
      </c>
      <c r="W201" t="s">
        <v>74</v>
      </c>
      <c r="X201" t="s">
        <v>74</v>
      </c>
      <c r="Y201" t="s">
        <v>74</v>
      </c>
      <c r="Z201" t="s">
        <v>4038</v>
      </c>
      <c r="AA201" t="s">
        <v>4039</v>
      </c>
      <c r="AB201" t="s">
        <v>74</v>
      </c>
      <c r="AC201" t="s">
        <v>74</v>
      </c>
      <c r="AD201" t="s">
        <v>74</v>
      </c>
      <c r="AE201" t="s">
        <v>74</v>
      </c>
      <c r="AF201" t="s">
        <v>74</v>
      </c>
      <c r="AG201">
        <v>10</v>
      </c>
      <c r="AH201">
        <v>2</v>
      </c>
      <c r="AI201">
        <v>2</v>
      </c>
      <c r="AJ201">
        <v>7</v>
      </c>
      <c r="AK201">
        <v>64</v>
      </c>
      <c r="AL201" t="s">
        <v>4040</v>
      </c>
      <c r="AM201" t="s">
        <v>92</v>
      </c>
      <c r="AN201" t="s">
        <v>4041</v>
      </c>
      <c r="AO201" t="s">
        <v>4042</v>
      </c>
      <c r="AP201" t="s">
        <v>4043</v>
      </c>
      <c r="AQ201" t="s">
        <v>74</v>
      </c>
      <c r="AR201" t="s">
        <v>4044</v>
      </c>
      <c r="AS201" t="s">
        <v>4045</v>
      </c>
      <c r="AT201" t="s">
        <v>74</v>
      </c>
      <c r="AU201">
        <v>2018</v>
      </c>
      <c r="AV201">
        <v>74</v>
      </c>
      <c r="AW201">
        <v>3</v>
      </c>
      <c r="AX201" t="s">
        <v>74</v>
      </c>
      <c r="AY201" t="s">
        <v>74</v>
      </c>
      <c r="AZ201" t="s">
        <v>1146</v>
      </c>
      <c r="BA201" t="s">
        <v>74</v>
      </c>
      <c r="BB201">
        <v>139</v>
      </c>
      <c r="BC201">
        <v>141</v>
      </c>
      <c r="BD201" t="s">
        <v>74</v>
      </c>
      <c r="BE201" t="s">
        <v>4046</v>
      </c>
      <c r="BF201" t="str">
        <f>HYPERLINK("http://dx.doi.org/10.1080/00963402.2018.1461894","http://dx.doi.org/10.1080/00963402.2018.1461894")</f>
        <v>http://dx.doi.org/10.1080/00963402.2018.1461894</v>
      </c>
      <c r="BG201" t="s">
        <v>74</v>
      </c>
      <c r="BH201" t="s">
        <v>74</v>
      </c>
      <c r="BI201">
        <v>3</v>
      </c>
      <c r="BJ201" t="s">
        <v>4047</v>
      </c>
      <c r="BK201" t="s">
        <v>3136</v>
      </c>
      <c r="BL201" t="s">
        <v>4047</v>
      </c>
      <c r="BM201" t="s">
        <v>4048</v>
      </c>
      <c r="BN201" t="s">
        <v>74</v>
      </c>
      <c r="BO201" t="s">
        <v>74</v>
      </c>
      <c r="BP201" t="s">
        <v>74</v>
      </c>
      <c r="BQ201" t="s">
        <v>74</v>
      </c>
      <c r="BR201" t="s">
        <v>105</v>
      </c>
      <c r="BS201" t="s">
        <v>4049</v>
      </c>
      <c r="BT201" t="str">
        <f>HYPERLINK("https%3A%2F%2Fwww.webofscience.com%2Fwos%2Fwoscc%2Ffull-record%2FWOS:000431526800001","View Full Record in Web of Science")</f>
        <v>View Full Record in Web of Science</v>
      </c>
    </row>
    <row r="202" spans="1:72" x14ac:dyDescent="0.15">
      <c r="A202" t="s">
        <v>72</v>
      </c>
      <c r="B202" t="s">
        <v>4050</v>
      </c>
      <c r="C202" t="s">
        <v>74</v>
      </c>
      <c r="D202" t="s">
        <v>74</v>
      </c>
      <c r="E202" t="s">
        <v>74</v>
      </c>
      <c r="F202" t="s">
        <v>4051</v>
      </c>
      <c r="G202" t="s">
        <v>74</v>
      </c>
      <c r="H202" t="s">
        <v>74</v>
      </c>
      <c r="I202" t="s">
        <v>4052</v>
      </c>
      <c r="J202" t="s">
        <v>4053</v>
      </c>
      <c r="K202" t="s">
        <v>74</v>
      </c>
      <c r="L202" t="s">
        <v>74</v>
      </c>
      <c r="M202" t="s">
        <v>78</v>
      </c>
      <c r="N202" t="s">
        <v>79</v>
      </c>
      <c r="O202" t="s">
        <v>74</v>
      </c>
      <c r="P202" t="s">
        <v>74</v>
      </c>
      <c r="Q202" t="s">
        <v>74</v>
      </c>
      <c r="R202" t="s">
        <v>74</v>
      </c>
      <c r="S202" t="s">
        <v>74</v>
      </c>
      <c r="T202" t="s">
        <v>4054</v>
      </c>
      <c r="U202" t="s">
        <v>4055</v>
      </c>
      <c r="V202" t="s">
        <v>4056</v>
      </c>
      <c r="W202" t="s">
        <v>4057</v>
      </c>
      <c r="X202" t="s">
        <v>4058</v>
      </c>
      <c r="Y202" t="s">
        <v>4059</v>
      </c>
      <c r="Z202" t="s">
        <v>4060</v>
      </c>
      <c r="AA202" t="s">
        <v>4061</v>
      </c>
      <c r="AB202" t="s">
        <v>4062</v>
      </c>
      <c r="AC202" t="s">
        <v>4063</v>
      </c>
      <c r="AD202" t="s">
        <v>4064</v>
      </c>
      <c r="AE202" t="s">
        <v>4065</v>
      </c>
      <c r="AF202" t="s">
        <v>74</v>
      </c>
      <c r="AG202">
        <v>103</v>
      </c>
      <c r="AH202">
        <v>10</v>
      </c>
      <c r="AI202">
        <v>10</v>
      </c>
      <c r="AJ202">
        <v>1</v>
      </c>
      <c r="AK202">
        <v>12</v>
      </c>
      <c r="AL202" t="s">
        <v>1973</v>
      </c>
      <c r="AM202" t="s">
        <v>1797</v>
      </c>
      <c r="AN202" t="s">
        <v>4066</v>
      </c>
      <c r="AO202" t="s">
        <v>4067</v>
      </c>
      <c r="AP202" t="s">
        <v>4068</v>
      </c>
      <c r="AQ202" t="s">
        <v>74</v>
      </c>
      <c r="AR202" t="s">
        <v>4069</v>
      </c>
      <c r="AS202" t="s">
        <v>4070</v>
      </c>
      <c r="AT202" t="s">
        <v>2468</v>
      </c>
      <c r="AU202">
        <v>2018</v>
      </c>
      <c r="AV202">
        <v>80</v>
      </c>
      <c r="AW202">
        <v>1</v>
      </c>
      <c r="AX202" t="s">
        <v>74</v>
      </c>
      <c r="AY202" t="s">
        <v>74</v>
      </c>
      <c r="AZ202" t="s">
        <v>74</v>
      </c>
      <c r="BA202" t="s">
        <v>74</v>
      </c>
      <c r="BB202" t="s">
        <v>74</v>
      </c>
      <c r="BC202" t="s">
        <v>74</v>
      </c>
      <c r="BD202">
        <v>12</v>
      </c>
      <c r="BE202" t="s">
        <v>4071</v>
      </c>
      <c r="BF202" t="str">
        <f>HYPERLINK("http://dx.doi.org/10.1007/s00445-017-1185-x","http://dx.doi.org/10.1007/s00445-017-1185-x")</f>
        <v>http://dx.doi.org/10.1007/s00445-017-1185-x</v>
      </c>
      <c r="BG202" t="s">
        <v>74</v>
      </c>
      <c r="BH202" t="s">
        <v>74</v>
      </c>
      <c r="BI202">
        <v>21</v>
      </c>
      <c r="BJ202" t="s">
        <v>280</v>
      </c>
      <c r="BK202" t="s">
        <v>101</v>
      </c>
      <c r="BL202" t="s">
        <v>281</v>
      </c>
      <c r="BM202" t="s">
        <v>4072</v>
      </c>
      <c r="BN202" t="s">
        <v>74</v>
      </c>
      <c r="BO202" t="s">
        <v>283</v>
      </c>
      <c r="BP202" t="s">
        <v>74</v>
      </c>
      <c r="BQ202" t="s">
        <v>74</v>
      </c>
      <c r="BR202" t="s">
        <v>105</v>
      </c>
      <c r="BS202" t="s">
        <v>4073</v>
      </c>
      <c r="BT202" t="str">
        <f>HYPERLINK("https%3A%2F%2Fwww.webofscience.com%2Fwos%2Fwoscc%2Ffull-record%2FWOS:000419740400004","View Full Record in Web of Science")</f>
        <v>View Full Record in Web of Science</v>
      </c>
    </row>
    <row r="203" spans="1:72" x14ac:dyDescent="0.15">
      <c r="A203" t="s">
        <v>72</v>
      </c>
      <c r="B203" t="s">
        <v>4074</v>
      </c>
      <c r="C203" t="s">
        <v>74</v>
      </c>
      <c r="D203" t="s">
        <v>74</v>
      </c>
      <c r="E203" t="s">
        <v>74</v>
      </c>
      <c r="F203" t="s">
        <v>4075</v>
      </c>
      <c r="G203" t="s">
        <v>74</v>
      </c>
      <c r="H203" t="s">
        <v>74</v>
      </c>
      <c r="I203" t="s">
        <v>4076</v>
      </c>
      <c r="J203" t="s">
        <v>4077</v>
      </c>
      <c r="K203" t="s">
        <v>74</v>
      </c>
      <c r="L203" t="s">
        <v>74</v>
      </c>
      <c r="M203" t="s">
        <v>78</v>
      </c>
      <c r="N203" t="s">
        <v>79</v>
      </c>
      <c r="O203" t="s">
        <v>74</v>
      </c>
      <c r="P203" t="s">
        <v>74</v>
      </c>
      <c r="Q203" t="s">
        <v>74</v>
      </c>
      <c r="R203" t="s">
        <v>74</v>
      </c>
      <c r="S203" t="s">
        <v>74</v>
      </c>
      <c r="T203" t="s">
        <v>4078</v>
      </c>
      <c r="U203" t="s">
        <v>4079</v>
      </c>
      <c r="V203" t="s">
        <v>4080</v>
      </c>
      <c r="W203" t="s">
        <v>4081</v>
      </c>
      <c r="X203" t="s">
        <v>4082</v>
      </c>
      <c r="Y203" t="s">
        <v>4083</v>
      </c>
      <c r="Z203" t="s">
        <v>4084</v>
      </c>
      <c r="AA203" t="s">
        <v>4085</v>
      </c>
      <c r="AB203" t="s">
        <v>4086</v>
      </c>
      <c r="AC203" t="s">
        <v>4087</v>
      </c>
      <c r="AD203" t="s">
        <v>4088</v>
      </c>
      <c r="AE203" t="s">
        <v>4089</v>
      </c>
      <c r="AF203" t="s">
        <v>74</v>
      </c>
      <c r="AG203">
        <v>75</v>
      </c>
      <c r="AH203">
        <v>18</v>
      </c>
      <c r="AI203">
        <v>18</v>
      </c>
      <c r="AJ203">
        <v>1</v>
      </c>
      <c r="AK203">
        <v>26</v>
      </c>
      <c r="AL203" t="s">
        <v>807</v>
      </c>
      <c r="AM203" t="s">
        <v>808</v>
      </c>
      <c r="AN203" t="s">
        <v>809</v>
      </c>
      <c r="AO203" t="s">
        <v>4090</v>
      </c>
      <c r="AP203" t="s">
        <v>4091</v>
      </c>
      <c r="AQ203" t="s">
        <v>74</v>
      </c>
      <c r="AR203" t="s">
        <v>4077</v>
      </c>
      <c r="AS203" t="s">
        <v>4092</v>
      </c>
      <c r="AT203" t="s">
        <v>2468</v>
      </c>
      <c r="AU203">
        <v>2018</v>
      </c>
      <c r="AV203">
        <v>160</v>
      </c>
      <c r="AW203" t="s">
        <v>74</v>
      </c>
      <c r="AX203" t="s">
        <v>74</v>
      </c>
      <c r="AY203" t="s">
        <v>74</v>
      </c>
      <c r="AZ203" t="s">
        <v>74</v>
      </c>
      <c r="BA203" t="s">
        <v>74</v>
      </c>
      <c r="BB203">
        <v>41</v>
      </c>
      <c r="BC203">
        <v>49</v>
      </c>
      <c r="BD203" t="s">
        <v>74</v>
      </c>
      <c r="BE203" t="s">
        <v>4093</v>
      </c>
      <c r="BF203" t="str">
        <f>HYPERLINK("http://dx.doi.org/10.1016/j.catena.2017.09.001","http://dx.doi.org/10.1016/j.catena.2017.09.001")</f>
        <v>http://dx.doi.org/10.1016/j.catena.2017.09.001</v>
      </c>
      <c r="BG203" t="s">
        <v>74</v>
      </c>
      <c r="BH203" t="s">
        <v>74</v>
      </c>
      <c r="BI203">
        <v>9</v>
      </c>
      <c r="BJ203" t="s">
        <v>4094</v>
      </c>
      <c r="BK203" t="s">
        <v>101</v>
      </c>
      <c r="BL203" t="s">
        <v>4095</v>
      </c>
      <c r="BM203" t="s">
        <v>4096</v>
      </c>
      <c r="BN203" t="s">
        <v>74</v>
      </c>
      <c r="BO203" t="s">
        <v>1150</v>
      </c>
      <c r="BP203" t="s">
        <v>74</v>
      </c>
      <c r="BQ203" t="s">
        <v>74</v>
      </c>
      <c r="BR203" t="s">
        <v>105</v>
      </c>
      <c r="BS203" t="s">
        <v>4097</v>
      </c>
      <c r="BT203" t="str">
        <f>HYPERLINK("https%3A%2F%2Fwww.webofscience.com%2Fwos%2Fwoscc%2Ffull-record%2FWOS:000414880400005","View Full Record in Web of Science")</f>
        <v>View Full Record in Web of Science</v>
      </c>
    </row>
    <row r="204" spans="1:72" x14ac:dyDescent="0.15">
      <c r="A204" t="s">
        <v>1776</v>
      </c>
      <c r="B204" t="s">
        <v>4098</v>
      </c>
      <c r="C204" t="s">
        <v>74</v>
      </c>
      <c r="D204" t="s">
        <v>1953</v>
      </c>
      <c r="E204" t="s">
        <v>74</v>
      </c>
      <c r="F204" t="s">
        <v>4099</v>
      </c>
      <c r="G204" t="s">
        <v>74</v>
      </c>
      <c r="H204" t="s">
        <v>74</v>
      </c>
      <c r="I204" t="s">
        <v>4100</v>
      </c>
      <c r="J204" t="s">
        <v>4101</v>
      </c>
      <c r="K204" t="s">
        <v>1957</v>
      </c>
      <c r="L204" t="s">
        <v>74</v>
      </c>
      <c r="M204" t="s">
        <v>78</v>
      </c>
      <c r="N204" t="s">
        <v>1782</v>
      </c>
      <c r="O204" t="s">
        <v>1958</v>
      </c>
      <c r="P204" t="s">
        <v>1959</v>
      </c>
      <c r="Q204" t="s">
        <v>1960</v>
      </c>
      <c r="R204" t="s">
        <v>74</v>
      </c>
      <c r="S204" t="s">
        <v>74</v>
      </c>
      <c r="T204" t="s">
        <v>4102</v>
      </c>
      <c r="U204" t="s">
        <v>74</v>
      </c>
      <c r="V204" t="s">
        <v>4103</v>
      </c>
      <c r="W204" t="s">
        <v>4104</v>
      </c>
      <c r="X204" t="s">
        <v>4105</v>
      </c>
      <c r="Y204" t="s">
        <v>4106</v>
      </c>
      <c r="Z204" t="s">
        <v>4107</v>
      </c>
      <c r="AA204" t="s">
        <v>4108</v>
      </c>
      <c r="AB204" t="s">
        <v>4109</v>
      </c>
      <c r="AC204" t="s">
        <v>74</v>
      </c>
      <c r="AD204" t="s">
        <v>74</v>
      </c>
      <c r="AE204" t="s">
        <v>74</v>
      </c>
      <c r="AF204" t="s">
        <v>74</v>
      </c>
      <c r="AG204">
        <v>12</v>
      </c>
      <c r="AH204">
        <v>0</v>
      </c>
      <c r="AI204">
        <v>0</v>
      </c>
      <c r="AJ204">
        <v>1</v>
      </c>
      <c r="AK204">
        <v>4</v>
      </c>
      <c r="AL204" t="s">
        <v>1973</v>
      </c>
      <c r="AM204" t="s">
        <v>1797</v>
      </c>
      <c r="AN204" t="s">
        <v>1974</v>
      </c>
      <c r="AO204" t="s">
        <v>1975</v>
      </c>
      <c r="AP204" t="s">
        <v>1976</v>
      </c>
      <c r="AQ204" t="s">
        <v>4110</v>
      </c>
      <c r="AR204" t="s">
        <v>1978</v>
      </c>
      <c r="AS204" t="s">
        <v>74</v>
      </c>
      <c r="AT204" t="s">
        <v>74</v>
      </c>
      <c r="AU204">
        <v>2018</v>
      </c>
      <c r="AV204">
        <v>498</v>
      </c>
      <c r="AW204" t="s">
        <v>74</v>
      </c>
      <c r="AX204" t="s">
        <v>74</v>
      </c>
      <c r="AY204" t="s">
        <v>74</v>
      </c>
      <c r="AZ204" t="s">
        <v>74</v>
      </c>
      <c r="BA204" t="s">
        <v>74</v>
      </c>
      <c r="BB204">
        <v>493</v>
      </c>
      <c r="BC204">
        <v>500</v>
      </c>
      <c r="BD204" t="s">
        <v>74</v>
      </c>
      <c r="BE204" t="s">
        <v>4111</v>
      </c>
      <c r="BF204" t="str">
        <f>HYPERLINK("http://dx.doi.org/10.1007/978-981-13-0014-1_41","http://dx.doi.org/10.1007/978-981-13-0014-1_41")</f>
        <v>http://dx.doi.org/10.1007/978-981-13-0014-1_41</v>
      </c>
      <c r="BG204" t="s">
        <v>74</v>
      </c>
      <c r="BH204" t="s">
        <v>74</v>
      </c>
      <c r="BI204">
        <v>8</v>
      </c>
      <c r="BJ204" t="s">
        <v>1980</v>
      </c>
      <c r="BK204" t="s">
        <v>1801</v>
      </c>
      <c r="BL204" t="s">
        <v>1980</v>
      </c>
      <c r="BM204" t="s">
        <v>4112</v>
      </c>
      <c r="BN204" t="s">
        <v>74</v>
      </c>
      <c r="BO204" t="s">
        <v>74</v>
      </c>
      <c r="BP204" t="s">
        <v>74</v>
      </c>
      <c r="BQ204" t="s">
        <v>74</v>
      </c>
      <c r="BR204" t="s">
        <v>105</v>
      </c>
      <c r="BS204" t="s">
        <v>4113</v>
      </c>
      <c r="BT204" t="str">
        <f>HYPERLINK("https%3A%2F%2Fwww.webofscience.com%2Fwos%2Fwoscc%2Ffull-record%2FWOS:000451375100041","View Full Record in Web of Science")</f>
        <v>View Full Record in Web of Science</v>
      </c>
    </row>
    <row r="205" spans="1:72" x14ac:dyDescent="0.15">
      <c r="A205" t="s">
        <v>72</v>
      </c>
      <c r="B205" t="s">
        <v>4114</v>
      </c>
      <c r="C205" t="s">
        <v>74</v>
      </c>
      <c r="D205" t="s">
        <v>74</v>
      </c>
      <c r="E205" t="s">
        <v>74</v>
      </c>
      <c r="F205" t="s">
        <v>4115</v>
      </c>
      <c r="G205" t="s">
        <v>74</v>
      </c>
      <c r="H205" t="s">
        <v>74</v>
      </c>
      <c r="I205" t="s">
        <v>4116</v>
      </c>
      <c r="J205" t="s">
        <v>4117</v>
      </c>
      <c r="K205" t="s">
        <v>74</v>
      </c>
      <c r="L205" t="s">
        <v>74</v>
      </c>
      <c r="M205" t="s">
        <v>78</v>
      </c>
      <c r="N205" t="s">
        <v>79</v>
      </c>
      <c r="O205" t="s">
        <v>74</v>
      </c>
      <c r="P205" t="s">
        <v>74</v>
      </c>
      <c r="Q205" t="s">
        <v>74</v>
      </c>
      <c r="R205" t="s">
        <v>74</v>
      </c>
      <c r="S205" t="s">
        <v>74</v>
      </c>
      <c r="T205" t="s">
        <v>4118</v>
      </c>
      <c r="U205" t="s">
        <v>4119</v>
      </c>
      <c r="V205" t="s">
        <v>4120</v>
      </c>
      <c r="W205" t="s">
        <v>4121</v>
      </c>
      <c r="X205" t="s">
        <v>4122</v>
      </c>
      <c r="Y205" t="s">
        <v>4123</v>
      </c>
      <c r="Z205" t="s">
        <v>4124</v>
      </c>
      <c r="AA205" t="s">
        <v>4125</v>
      </c>
      <c r="AB205" t="s">
        <v>4126</v>
      </c>
      <c r="AC205" t="s">
        <v>4127</v>
      </c>
      <c r="AD205" t="s">
        <v>4128</v>
      </c>
      <c r="AE205" t="s">
        <v>4129</v>
      </c>
      <c r="AF205" t="s">
        <v>74</v>
      </c>
      <c r="AG205">
        <v>47</v>
      </c>
      <c r="AH205">
        <v>6</v>
      </c>
      <c r="AI205">
        <v>7</v>
      </c>
      <c r="AJ205">
        <v>1</v>
      </c>
      <c r="AK205">
        <v>34</v>
      </c>
      <c r="AL205" t="s">
        <v>807</v>
      </c>
      <c r="AM205" t="s">
        <v>808</v>
      </c>
      <c r="AN205" t="s">
        <v>809</v>
      </c>
      <c r="AO205" t="s">
        <v>4130</v>
      </c>
      <c r="AP205" t="s">
        <v>4131</v>
      </c>
      <c r="AQ205" t="s">
        <v>74</v>
      </c>
      <c r="AR205" t="s">
        <v>4132</v>
      </c>
      <c r="AS205" t="s">
        <v>4133</v>
      </c>
      <c r="AT205" t="s">
        <v>2468</v>
      </c>
      <c r="AU205">
        <v>2018</v>
      </c>
      <c r="AV205">
        <v>145</v>
      </c>
      <c r="AW205" t="s">
        <v>74</v>
      </c>
      <c r="AX205" t="s">
        <v>74</v>
      </c>
      <c r="AY205" t="s">
        <v>74</v>
      </c>
      <c r="AZ205" t="s">
        <v>74</v>
      </c>
      <c r="BA205" t="s">
        <v>74</v>
      </c>
      <c r="BB205">
        <v>169</v>
      </c>
      <c r="BC205">
        <v>176</v>
      </c>
      <c r="BD205" t="s">
        <v>74</v>
      </c>
      <c r="BE205" t="s">
        <v>4134</v>
      </c>
      <c r="BF205" t="str">
        <f>HYPERLINK("http://dx.doi.org/10.1016/j.coldregions.2017.10.020","http://dx.doi.org/10.1016/j.coldregions.2017.10.020")</f>
        <v>http://dx.doi.org/10.1016/j.coldregions.2017.10.020</v>
      </c>
      <c r="BG205" t="s">
        <v>74</v>
      </c>
      <c r="BH205" t="s">
        <v>74</v>
      </c>
      <c r="BI205">
        <v>8</v>
      </c>
      <c r="BJ205" t="s">
        <v>4135</v>
      </c>
      <c r="BK205" t="s">
        <v>101</v>
      </c>
      <c r="BL205" t="s">
        <v>4136</v>
      </c>
      <c r="BM205" t="s">
        <v>4137</v>
      </c>
      <c r="BN205" t="s">
        <v>74</v>
      </c>
      <c r="BO205" t="s">
        <v>74</v>
      </c>
      <c r="BP205" t="s">
        <v>74</v>
      </c>
      <c r="BQ205" t="s">
        <v>74</v>
      </c>
      <c r="BR205" t="s">
        <v>105</v>
      </c>
      <c r="BS205" t="s">
        <v>4138</v>
      </c>
      <c r="BT205" t="str">
        <f>HYPERLINK("https%3A%2F%2Fwww.webofscience.com%2Fwos%2Fwoscc%2Ffull-record%2FWOS:000415834800018","View Full Record in Web of Science")</f>
        <v>View Full Record in Web of Science</v>
      </c>
    </row>
    <row r="206" spans="1:72" x14ac:dyDescent="0.15">
      <c r="A206" t="s">
        <v>72</v>
      </c>
      <c r="B206" t="s">
        <v>4139</v>
      </c>
      <c r="C206" t="s">
        <v>74</v>
      </c>
      <c r="D206" t="s">
        <v>74</v>
      </c>
      <c r="E206" t="s">
        <v>74</v>
      </c>
      <c r="F206" t="s">
        <v>4140</v>
      </c>
      <c r="G206" t="s">
        <v>74</v>
      </c>
      <c r="H206" t="s">
        <v>74</v>
      </c>
      <c r="I206" t="s">
        <v>4141</v>
      </c>
      <c r="J206" t="s">
        <v>4142</v>
      </c>
      <c r="K206" t="s">
        <v>74</v>
      </c>
      <c r="L206" t="s">
        <v>74</v>
      </c>
      <c r="M206" t="s">
        <v>78</v>
      </c>
      <c r="N206" t="s">
        <v>79</v>
      </c>
      <c r="O206" t="s">
        <v>74</v>
      </c>
      <c r="P206" t="s">
        <v>74</v>
      </c>
      <c r="Q206" t="s">
        <v>74</v>
      </c>
      <c r="R206" t="s">
        <v>74</v>
      </c>
      <c r="S206" t="s">
        <v>74</v>
      </c>
      <c r="T206" t="s">
        <v>74</v>
      </c>
      <c r="U206" t="s">
        <v>4143</v>
      </c>
      <c r="V206" t="s">
        <v>4144</v>
      </c>
      <c r="W206" t="s">
        <v>4145</v>
      </c>
      <c r="X206" t="s">
        <v>4146</v>
      </c>
      <c r="Y206" t="s">
        <v>4147</v>
      </c>
      <c r="Z206" t="s">
        <v>4148</v>
      </c>
      <c r="AA206" t="s">
        <v>4149</v>
      </c>
      <c r="AB206" t="s">
        <v>4150</v>
      </c>
      <c r="AC206" t="s">
        <v>4151</v>
      </c>
      <c r="AD206" t="s">
        <v>4152</v>
      </c>
      <c r="AE206" t="s">
        <v>4153</v>
      </c>
      <c r="AF206" t="s">
        <v>74</v>
      </c>
      <c r="AG206">
        <v>39</v>
      </c>
      <c r="AH206">
        <v>10</v>
      </c>
      <c r="AI206">
        <v>11</v>
      </c>
      <c r="AJ206">
        <v>0</v>
      </c>
      <c r="AK206">
        <v>11</v>
      </c>
      <c r="AL206" t="s">
        <v>4154</v>
      </c>
      <c r="AM206" t="s">
        <v>1797</v>
      </c>
      <c r="AN206" t="s">
        <v>4155</v>
      </c>
      <c r="AO206" t="s">
        <v>4156</v>
      </c>
      <c r="AP206" t="s">
        <v>4157</v>
      </c>
      <c r="AQ206" t="s">
        <v>74</v>
      </c>
      <c r="AR206" t="s">
        <v>4158</v>
      </c>
      <c r="AS206" t="s">
        <v>4159</v>
      </c>
      <c r="AT206" t="s">
        <v>2468</v>
      </c>
      <c r="AU206">
        <v>2018</v>
      </c>
      <c r="AV206">
        <v>56</v>
      </c>
      <c r="AW206">
        <v>1</v>
      </c>
      <c r="AX206" t="s">
        <v>74</v>
      </c>
      <c r="AY206" t="s">
        <v>74</v>
      </c>
      <c r="AZ206" t="s">
        <v>74</v>
      </c>
      <c r="BA206" t="s">
        <v>74</v>
      </c>
      <c r="BB206">
        <v>11</v>
      </c>
      <c r="BC206">
        <v>25</v>
      </c>
      <c r="BD206" t="s">
        <v>74</v>
      </c>
      <c r="BE206" t="s">
        <v>4160</v>
      </c>
      <c r="BF206" t="str">
        <f>HYPERLINK("http://dx.doi.org/10.1134/S0010952518010045","http://dx.doi.org/10.1134/S0010952518010045")</f>
        <v>http://dx.doi.org/10.1134/S0010952518010045</v>
      </c>
      <c r="BG206" t="s">
        <v>74</v>
      </c>
      <c r="BH206" t="s">
        <v>74</v>
      </c>
      <c r="BI206">
        <v>15</v>
      </c>
      <c r="BJ206" t="s">
        <v>4161</v>
      </c>
      <c r="BK206" t="s">
        <v>101</v>
      </c>
      <c r="BL206" t="s">
        <v>4162</v>
      </c>
      <c r="BM206" t="s">
        <v>4163</v>
      </c>
      <c r="BN206" t="s">
        <v>74</v>
      </c>
      <c r="BO206" t="s">
        <v>74</v>
      </c>
      <c r="BP206" t="s">
        <v>74</v>
      </c>
      <c r="BQ206" t="s">
        <v>74</v>
      </c>
      <c r="BR206" t="s">
        <v>105</v>
      </c>
      <c r="BS206" t="s">
        <v>4164</v>
      </c>
      <c r="BT206" t="str">
        <f>HYPERLINK("https%3A%2F%2Fwww.webofscience.com%2Fwos%2Fwoscc%2Ffull-record%2FWOS:000423320600002","View Full Record in Web of Science")</f>
        <v>View Full Record in Web of Science</v>
      </c>
    </row>
    <row r="207" spans="1:72" x14ac:dyDescent="0.15">
      <c r="A207" t="s">
        <v>72</v>
      </c>
      <c r="B207" t="s">
        <v>4165</v>
      </c>
      <c r="C207" t="s">
        <v>74</v>
      </c>
      <c r="D207" t="s">
        <v>74</v>
      </c>
      <c r="E207" t="s">
        <v>74</v>
      </c>
      <c r="F207" t="s">
        <v>4166</v>
      </c>
      <c r="G207" t="s">
        <v>74</v>
      </c>
      <c r="H207" t="s">
        <v>74</v>
      </c>
      <c r="I207" t="s">
        <v>4167</v>
      </c>
      <c r="J207" t="s">
        <v>4168</v>
      </c>
      <c r="K207" t="s">
        <v>74</v>
      </c>
      <c r="L207" t="s">
        <v>74</v>
      </c>
      <c r="M207" t="s">
        <v>78</v>
      </c>
      <c r="N207" t="s">
        <v>289</v>
      </c>
      <c r="O207" t="s">
        <v>74</v>
      </c>
      <c r="P207" t="s">
        <v>74</v>
      </c>
      <c r="Q207" t="s">
        <v>74</v>
      </c>
      <c r="R207" t="s">
        <v>74</v>
      </c>
      <c r="S207" t="s">
        <v>74</v>
      </c>
      <c r="T207" t="s">
        <v>4169</v>
      </c>
      <c r="U207" t="s">
        <v>4170</v>
      </c>
      <c r="V207" t="s">
        <v>4171</v>
      </c>
      <c r="W207" t="s">
        <v>4172</v>
      </c>
      <c r="X207" t="s">
        <v>4173</v>
      </c>
      <c r="Y207" t="s">
        <v>4174</v>
      </c>
      <c r="Z207" t="s">
        <v>4175</v>
      </c>
      <c r="AA207" t="s">
        <v>74</v>
      </c>
      <c r="AB207" t="s">
        <v>74</v>
      </c>
      <c r="AC207" t="s">
        <v>74</v>
      </c>
      <c r="AD207" t="s">
        <v>74</v>
      </c>
      <c r="AE207" t="s">
        <v>74</v>
      </c>
      <c r="AF207" t="s">
        <v>74</v>
      </c>
      <c r="AG207">
        <v>177</v>
      </c>
      <c r="AH207">
        <v>9</v>
      </c>
      <c r="AI207">
        <v>10</v>
      </c>
      <c r="AJ207">
        <v>6</v>
      </c>
      <c r="AK207">
        <v>86</v>
      </c>
      <c r="AL207" t="s">
        <v>4176</v>
      </c>
      <c r="AM207" t="s">
        <v>4177</v>
      </c>
      <c r="AN207" t="s">
        <v>4178</v>
      </c>
      <c r="AO207" t="s">
        <v>4179</v>
      </c>
      <c r="AP207" t="s">
        <v>4180</v>
      </c>
      <c r="AQ207" t="s">
        <v>74</v>
      </c>
      <c r="AR207" t="s">
        <v>4181</v>
      </c>
      <c r="AS207" t="s">
        <v>4182</v>
      </c>
      <c r="AT207" t="s">
        <v>74</v>
      </c>
      <c r="AU207">
        <v>2018</v>
      </c>
      <c r="AV207">
        <v>22</v>
      </c>
      <c r="AW207">
        <v>10</v>
      </c>
      <c r="AX207" t="s">
        <v>74</v>
      </c>
      <c r="AY207" t="s">
        <v>74</v>
      </c>
      <c r="AZ207" t="s">
        <v>74</v>
      </c>
      <c r="BA207" t="s">
        <v>74</v>
      </c>
      <c r="BB207">
        <v>954</v>
      </c>
      <c r="BC207">
        <v>972</v>
      </c>
      <c r="BD207" t="s">
        <v>74</v>
      </c>
      <c r="BE207" t="s">
        <v>4183</v>
      </c>
      <c r="BF207" t="str">
        <f>HYPERLINK("http://dx.doi.org/10.2174/1385272822666171227150106","http://dx.doi.org/10.2174/1385272822666171227150106")</f>
        <v>http://dx.doi.org/10.2174/1385272822666171227150106</v>
      </c>
      <c r="BG207" t="s">
        <v>74</v>
      </c>
      <c r="BH207" t="s">
        <v>74</v>
      </c>
      <c r="BI207">
        <v>19</v>
      </c>
      <c r="BJ207" t="s">
        <v>4184</v>
      </c>
      <c r="BK207" t="s">
        <v>101</v>
      </c>
      <c r="BL207" t="s">
        <v>4185</v>
      </c>
      <c r="BM207" t="s">
        <v>4186</v>
      </c>
      <c r="BN207" t="s">
        <v>74</v>
      </c>
      <c r="BO207" t="s">
        <v>74</v>
      </c>
      <c r="BP207" t="s">
        <v>74</v>
      </c>
      <c r="BQ207" t="s">
        <v>74</v>
      </c>
      <c r="BR207" t="s">
        <v>105</v>
      </c>
      <c r="BS207" t="s">
        <v>4187</v>
      </c>
      <c r="BT207" t="str">
        <f>HYPERLINK("https%3A%2F%2Fwww.webofscience.com%2Fwos%2Fwoscc%2Ffull-record%2FWOS:000434137900003","View Full Record in Web of Science")</f>
        <v>View Full Record in Web of Science</v>
      </c>
    </row>
    <row r="208" spans="1:72" x14ac:dyDescent="0.15">
      <c r="A208" t="s">
        <v>72</v>
      </c>
      <c r="B208" t="s">
        <v>4188</v>
      </c>
      <c r="C208" t="s">
        <v>74</v>
      </c>
      <c r="D208" t="s">
        <v>74</v>
      </c>
      <c r="E208" t="s">
        <v>74</v>
      </c>
      <c r="F208" t="s">
        <v>4189</v>
      </c>
      <c r="G208" t="s">
        <v>74</v>
      </c>
      <c r="H208" t="s">
        <v>74</v>
      </c>
      <c r="I208" t="s">
        <v>4190</v>
      </c>
      <c r="J208" t="s">
        <v>4191</v>
      </c>
      <c r="K208" t="s">
        <v>74</v>
      </c>
      <c r="L208" t="s">
        <v>74</v>
      </c>
      <c r="M208" t="s">
        <v>78</v>
      </c>
      <c r="N208" t="s">
        <v>79</v>
      </c>
      <c r="O208" t="s">
        <v>74</v>
      </c>
      <c r="P208" t="s">
        <v>74</v>
      </c>
      <c r="Q208" t="s">
        <v>74</v>
      </c>
      <c r="R208" t="s">
        <v>74</v>
      </c>
      <c r="S208" t="s">
        <v>74</v>
      </c>
      <c r="T208" t="s">
        <v>4192</v>
      </c>
      <c r="U208" t="s">
        <v>4193</v>
      </c>
      <c r="V208" t="s">
        <v>4194</v>
      </c>
      <c r="W208" t="s">
        <v>4195</v>
      </c>
      <c r="X208" t="s">
        <v>4196</v>
      </c>
      <c r="Y208" t="s">
        <v>4197</v>
      </c>
      <c r="Z208" t="s">
        <v>4198</v>
      </c>
      <c r="AA208" t="s">
        <v>4199</v>
      </c>
      <c r="AB208" t="s">
        <v>4200</v>
      </c>
      <c r="AC208" t="s">
        <v>4201</v>
      </c>
      <c r="AD208" t="s">
        <v>4201</v>
      </c>
      <c r="AE208" t="s">
        <v>4202</v>
      </c>
      <c r="AF208" t="s">
        <v>74</v>
      </c>
      <c r="AG208">
        <v>79</v>
      </c>
      <c r="AH208">
        <v>14</v>
      </c>
      <c r="AI208">
        <v>14</v>
      </c>
      <c r="AJ208">
        <v>0</v>
      </c>
      <c r="AK208">
        <v>11</v>
      </c>
      <c r="AL208" t="s">
        <v>1139</v>
      </c>
      <c r="AM208" t="s">
        <v>1140</v>
      </c>
      <c r="AN208" t="s">
        <v>1141</v>
      </c>
      <c r="AO208" t="s">
        <v>4203</v>
      </c>
      <c r="AP208" t="s">
        <v>4204</v>
      </c>
      <c r="AQ208" t="s">
        <v>74</v>
      </c>
      <c r="AR208" t="s">
        <v>4205</v>
      </c>
      <c r="AS208" t="s">
        <v>4206</v>
      </c>
      <c r="AT208" t="s">
        <v>2468</v>
      </c>
      <c r="AU208">
        <v>2018</v>
      </c>
      <c r="AV208">
        <v>131</v>
      </c>
      <c r="AW208" t="s">
        <v>74</v>
      </c>
      <c r="AX208" t="s">
        <v>74</v>
      </c>
      <c r="AY208" t="s">
        <v>74</v>
      </c>
      <c r="AZ208" t="s">
        <v>74</v>
      </c>
      <c r="BA208" t="s">
        <v>74</v>
      </c>
      <c r="BB208">
        <v>27</v>
      </c>
      <c r="BC208">
        <v>40</v>
      </c>
      <c r="BD208" t="s">
        <v>74</v>
      </c>
      <c r="BE208" t="s">
        <v>4207</v>
      </c>
      <c r="BF208" t="str">
        <f>HYPERLINK("http://dx.doi.org/10.1016/j.dsr.2017.11.004","http://dx.doi.org/10.1016/j.dsr.2017.11.004")</f>
        <v>http://dx.doi.org/10.1016/j.dsr.2017.11.004</v>
      </c>
      <c r="BG208" t="s">
        <v>74</v>
      </c>
      <c r="BH208" t="s">
        <v>74</v>
      </c>
      <c r="BI208">
        <v>14</v>
      </c>
      <c r="BJ208" t="s">
        <v>1907</v>
      </c>
      <c r="BK208" t="s">
        <v>101</v>
      </c>
      <c r="BL208" t="s">
        <v>1907</v>
      </c>
      <c r="BM208" t="s">
        <v>4208</v>
      </c>
      <c r="BN208" t="s">
        <v>74</v>
      </c>
      <c r="BO208" t="s">
        <v>74</v>
      </c>
      <c r="BP208" t="s">
        <v>74</v>
      </c>
      <c r="BQ208" t="s">
        <v>74</v>
      </c>
      <c r="BR208" t="s">
        <v>105</v>
      </c>
      <c r="BS208" t="s">
        <v>4209</v>
      </c>
      <c r="BT208" t="str">
        <f>HYPERLINK("https%3A%2F%2Fwww.webofscience.com%2Fwos%2Fwoscc%2Ffull-record%2FWOS:000425203300003","View Full Record in Web of Science")</f>
        <v>View Full Record in Web of Science</v>
      </c>
    </row>
    <row r="209" spans="1:72" x14ac:dyDescent="0.15">
      <c r="A209" t="s">
        <v>72</v>
      </c>
      <c r="B209" t="s">
        <v>4210</v>
      </c>
      <c r="C209" t="s">
        <v>74</v>
      </c>
      <c r="D209" t="s">
        <v>74</v>
      </c>
      <c r="E209" t="s">
        <v>74</v>
      </c>
      <c r="F209" t="s">
        <v>4211</v>
      </c>
      <c r="G209" t="s">
        <v>74</v>
      </c>
      <c r="H209" t="s">
        <v>74</v>
      </c>
      <c r="I209" t="s">
        <v>4212</v>
      </c>
      <c r="J209" t="s">
        <v>4213</v>
      </c>
      <c r="K209" t="s">
        <v>74</v>
      </c>
      <c r="L209" t="s">
        <v>74</v>
      </c>
      <c r="M209" t="s">
        <v>78</v>
      </c>
      <c r="N209" t="s">
        <v>79</v>
      </c>
      <c r="O209" t="s">
        <v>74</v>
      </c>
      <c r="P209" t="s">
        <v>74</v>
      </c>
      <c r="Q209" t="s">
        <v>74</v>
      </c>
      <c r="R209" t="s">
        <v>74</v>
      </c>
      <c r="S209" t="s">
        <v>74</v>
      </c>
      <c r="T209" t="s">
        <v>4214</v>
      </c>
      <c r="U209" t="s">
        <v>4215</v>
      </c>
      <c r="V209" t="s">
        <v>4216</v>
      </c>
      <c r="W209" t="s">
        <v>4217</v>
      </c>
      <c r="X209" t="s">
        <v>4218</v>
      </c>
      <c r="Y209" t="s">
        <v>4219</v>
      </c>
      <c r="Z209" t="s">
        <v>4220</v>
      </c>
      <c r="AA209" t="s">
        <v>74</v>
      </c>
      <c r="AB209" t="s">
        <v>4221</v>
      </c>
      <c r="AC209" t="s">
        <v>4222</v>
      </c>
      <c r="AD209" t="s">
        <v>4223</v>
      </c>
      <c r="AE209" t="s">
        <v>4224</v>
      </c>
      <c r="AF209" t="s">
        <v>74</v>
      </c>
      <c r="AG209">
        <v>34</v>
      </c>
      <c r="AH209">
        <v>11</v>
      </c>
      <c r="AI209">
        <v>11</v>
      </c>
      <c r="AJ209">
        <v>0</v>
      </c>
      <c r="AK209">
        <v>8</v>
      </c>
      <c r="AL209" t="s">
        <v>4225</v>
      </c>
      <c r="AM209" t="s">
        <v>4226</v>
      </c>
      <c r="AN209" t="s">
        <v>4227</v>
      </c>
      <c r="AO209" t="s">
        <v>4228</v>
      </c>
      <c r="AP209" t="s">
        <v>74</v>
      </c>
      <c r="AQ209" t="s">
        <v>74</v>
      </c>
      <c r="AR209" t="s">
        <v>4229</v>
      </c>
      <c r="AS209" t="s">
        <v>4230</v>
      </c>
      <c r="AT209" t="s">
        <v>74</v>
      </c>
      <c r="AU209">
        <v>2018</v>
      </c>
      <c r="AV209">
        <v>15</v>
      </c>
      <c r="AW209">
        <v>3</v>
      </c>
      <c r="AX209" t="s">
        <v>74</v>
      </c>
      <c r="AY209" t="s">
        <v>74</v>
      </c>
      <c r="AZ209" t="s">
        <v>74</v>
      </c>
      <c r="BA209" t="s">
        <v>74</v>
      </c>
      <c r="BB209">
        <v>201</v>
      </c>
      <c r="BC209">
        <v>214</v>
      </c>
      <c r="BD209" t="s">
        <v>74</v>
      </c>
      <c r="BE209" t="s">
        <v>4231</v>
      </c>
      <c r="BF209" t="str">
        <f>HYPERLINK("http://dx.doi.org/10.4310/DPDE.2018.v15.n3.a3","http://dx.doi.org/10.4310/DPDE.2018.v15.n3.a3")</f>
        <v>http://dx.doi.org/10.4310/DPDE.2018.v15.n3.a3</v>
      </c>
      <c r="BG209" t="s">
        <v>74</v>
      </c>
      <c r="BH209" t="s">
        <v>74</v>
      </c>
      <c r="BI209">
        <v>14</v>
      </c>
      <c r="BJ209" t="s">
        <v>4232</v>
      </c>
      <c r="BK209" t="s">
        <v>101</v>
      </c>
      <c r="BL209" t="s">
        <v>4233</v>
      </c>
      <c r="BM209" t="s">
        <v>4234</v>
      </c>
      <c r="BN209" t="s">
        <v>74</v>
      </c>
      <c r="BO209" t="s">
        <v>432</v>
      </c>
      <c r="BP209" t="s">
        <v>74</v>
      </c>
      <c r="BQ209" t="s">
        <v>74</v>
      </c>
      <c r="BR209" t="s">
        <v>105</v>
      </c>
      <c r="BS209" t="s">
        <v>4235</v>
      </c>
      <c r="BT209" t="str">
        <f>HYPERLINK("https%3A%2F%2Fwww.webofscience.com%2Fwos%2Fwoscc%2Ffull-record%2FWOS:000433390000003","View Full Record in Web of Science")</f>
        <v>View Full Record in Web of Science</v>
      </c>
    </row>
    <row r="210" spans="1:72" x14ac:dyDescent="0.15">
      <c r="A210" t="s">
        <v>72</v>
      </c>
      <c r="B210" t="s">
        <v>4236</v>
      </c>
      <c r="C210" t="s">
        <v>74</v>
      </c>
      <c r="D210" t="s">
        <v>74</v>
      </c>
      <c r="E210" t="s">
        <v>74</v>
      </c>
      <c r="F210" t="s">
        <v>4237</v>
      </c>
      <c r="G210" t="s">
        <v>74</v>
      </c>
      <c r="H210" t="s">
        <v>74</v>
      </c>
      <c r="I210" t="s">
        <v>4238</v>
      </c>
      <c r="J210" t="s">
        <v>1216</v>
      </c>
      <c r="K210" t="s">
        <v>74</v>
      </c>
      <c r="L210" t="s">
        <v>74</v>
      </c>
      <c r="M210" t="s">
        <v>78</v>
      </c>
      <c r="N210" t="s">
        <v>79</v>
      </c>
      <c r="O210" t="s">
        <v>74</v>
      </c>
      <c r="P210" t="s">
        <v>74</v>
      </c>
      <c r="Q210" t="s">
        <v>74</v>
      </c>
      <c r="R210" t="s">
        <v>74</v>
      </c>
      <c r="S210" t="s">
        <v>74</v>
      </c>
      <c r="T210" t="s">
        <v>4239</v>
      </c>
      <c r="U210" t="s">
        <v>4240</v>
      </c>
      <c r="V210" t="s">
        <v>4241</v>
      </c>
      <c r="W210" t="s">
        <v>4242</v>
      </c>
      <c r="X210" t="s">
        <v>4243</v>
      </c>
      <c r="Y210" t="s">
        <v>4244</v>
      </c>
      <c r="Z210" t="s">
        <v>4245</v>
      </c>
      <c r="AA210" t="s">
        <v>4246</v>
      </c>
      <c r="AB210" t="s">
        <v>4247</v>
      </c>
      <c r="AC210" t="s">
        <v>4248</v>
      </c>
      <c r="AD210" t="s">
        <v>4249</v>
      </c>
      <c r="AE210" t="s">
        <v>4250</v>
      </c>
      <c r="AF210" t="s">
        <v>74</v>
      </c>
      <c r="AG210">
        <v>51</v>
      </c>
      <c r="AH210">
        <v>16</v>
      </c>
      <c r="AI210">
        <v>17</v>
      </c>
      <c r="AJ210">
        <v>3</v>
      </c>
      <c r="AK210">
        <v>36</v>
      </c>
      <c r="AL210" t="s">
        <v>807</v>
      </c>
      <c r="AM210" t="s">
        <v>808</v>
      </c>
      <c r="AN210" t="s">
        <v>809</v>
      </c>
      <c r="AO210" t="s">
        <v>1228</v>
      </c>
      <c r="AP210" t="s">
        <v>1229</v>
      </c>
      <c r="AQ210" t="s">
        <v>74</v>
      </c>
      <c r="AR210" t="s">
        <v>1230</v>
      </c>
      <c r="AS210" t="s">
        <v>1231</v>
      </c>
      <c r="AT210" t="s">
        <v>4251</v>
      </c>
      <c r="AU210">
        <v>2018</v>
      </c>
      <c r="AV210">
        <v>481</v>
      </c>
      <c r="AW210" t="s">
        <v>74</v>
      </c>
      <c r="AX210" t="s">
        <v>74</v>
      </c>
      <c r="AY210" t="s">
        <v>74</v>
      </c>
      <c r="AZ210" t="s">
        <v>74</v>
      </c>
      <c r="BA210" t="s">
        <v>74</v>
      </c>
      <c r="BB210">
        <v>316</v>
      </c>
      <c r="BC210">
        <v>327</v>
      </c>
      <c r="BD210" t="s">
        <v>74</v>
      </c>
      <c r="BE210" t="s">
        <v>4252</v>
      </c>
      <c r="BF210" t="str">
        <f>HYPERLINK("http://dx.doi.org/10.1016/j.epsl.2017.10.035","http://dx.doi.org/10.1016/j.epsl.2017.10.035")</f>
        <v>http://dx.doi.org/10.1016/j.epsl.2017.10.035</v>
      </c>
      <c r="BG210" t="s">
        <v>74</v>
      </c>
      <c r="BH210" t="s">
        <v>74</v>
      </c>
      <c r="BI210">
        <v>12</v>
      </c>
      <c r="BJ210" t="s">
        <v>1148</v>
      </c>
      <c r="BK210" t="s">
        <v>101</v>
      </c>
      <c r="BL210" t="s">
        <v>1148</v>
      </c>
      <c r="BM210" t="s">
        <v>4253</v>
      </c>
      <c r="BN210" t="s">
        <v>74</v>
      </c>
      <c r="BO210" t="s">
        <v>74</v>
      </c>
      <c r="BP210" t="s">
        <v>74</v>
      </c>
      <c r="BQ210" t="s">
        <v>74</v>
      </c>
      <c r="BR210" t="s">
        <v>105</v>
      </c>
      <c r="BS210" t="s">
        <v>4254</v>
      </c>
      <c r="BT210" t="str">
        <f>HYPERLINK("https%3A%2F%2Fwww.webofscience.com%2Fwos%2Fwoscc%2Ffull-record%2FWOS:000418626900032","View Full Record in Web of Science")</f>
        <v>View Full Record in Web of Science</v>
      </c>
    </row>
    <row r="211" spans="1:72" x14ac:dyDescent="0.15">
      <c r="A211" t="s">
        <v>72</v>
      </c>
      <c r="B211" t="s">
        <v>4255</v>
      </c>
      <c r="C211" t="s">
        <v>74</v>
      </c>
      <c r="D211" t="s">
        <v>74</v>
      </c>
      <c r="E211" t="s">
        <v>74</v>
      </c>
      <c r="F211" t="s">
        <v>4256</v>
      </c>
      <c r="G211" t="s">
        <v>74</v>
      </c>
      <c r="H211" t="s">
        <v>74</v>
      </c>
      <c r="I211" t="s">
        <v>4257</v>
      </c>
      <c r="J211" t="s">
        <v>4258</v>
      </c>
      <c r="K211" t="s">
        <v>74</v>
      </c>
      <c r="L211" t="s">
        <v>74</v>
      </c>
      <c r="M211" t="s">
        <v>78</v>
      </c>
      <c r="N211" t="s">
        <v>289</v>
      </c>
      <c r="O211" t="s">
        <v>74</v>
      </c>
      <c r="P211" t="s">
        <v>74</v>
      </c>
      <c r="Q211" t="s">
        <v>74</v>
      </c>
      <c r="R211" t="s">
        <v>74</v>
      </c>
      <c r="S211" t="s">
        <v>74</v>
      </c>
      <c r="T211" t="s">
        <v>74</v>
      </c>
      <c r="U211" t="s">
        <v>4259</v>
      </c>
      <c r="V211" t="s">
        <v>4260</v>
      </c>
      <c r="W211" t="s">
        <v>4261</v>
      </c>
      <c r="X211" t="s">
        <v>4262</v>
      </c>
      <c r="Y211" t="s">
        <v>4263</v>
      </c>
      <c r="Z211" t="s">
        <v>4264</v>
      </c>
      <c r="AA211" t="s">
        <v>4265</v>
      </c>
      <c r="AB211" t="s">
        <v>4266</v>
      </c>
      <c r="AC211" t="s">
        <v>4267</v>
      </c>
      <c r="AD211" t="s">
        <v>4268</v>
      </c>
      <c r="AE211" t="s">
        <v>4269</v>
      </c>
      <c r="AF211" t="s">
        <v>74</v>
      </c>
      <c r="AG211">
        <v>150</v>
      </c>
      <c r="AH211">
        <v>37</v>
      </c>
      <c r="AI211">
        <v>41</v>
      </c>
      <c r="AJ211">
        <v>10</v>
      </c>
      <c r="AK211">
        <v>96</v>
      </c>
      <c r="AL211" t="s">
        <v>4270</v>
      </c>
      <c r="AM211" t="s">
        <v>4271</v>
      </c>
      <c r="AN211" t="s">
        <v>4272</v>
      </c>
      <c r="AO211" t="s">
        <v>4273</v>
      </c>
      <c r="AP211" t="s">
        <v>4274</v>
      </c>
      <c r="AQ211" t="s">
        <v>74</v>
      </c>
      <c r="AR211" t="s">
        <v>4258</v>
      </c>
      <c r="AS211" t="s">
        <v>4275</v>
      </c>
      <c r="AT211" t="s">
        <v>2468</v>
      </c>
      <c r="AU211">
        <v>2018</v>
      </c>
      <c r="AV211">
        <v>41</v>
      </c>
      <c r="AW211">
        <v>1</v>
      </c>
      <c r="AX211" t="s">
        <v>74</v>
      </c>
      <c r="AY211" t="s">
        <v>74</v>
      </c>
      <c r="AZ211" t="s">
        <v>74</v>
      </c>
      <c r="BA211" t="s">
        <v>74</v>
      </c>
      <c r="BB211">
        <v>195</v>
      </c>
      <c r="BC211">
        <v>208</v>
      </c>
      <c r="BD211" t="s">
        <v>74</v>
      </c>
      <c r="BE211" t="s">
        <v>4276</v>
      </c>
      <c r="BF211" t="str">
        <f>HYPERLINK("http://dx.doi.org/10.1111/ecog.02590","http://dx.doi.org/10.1111/ecog.02590")</f>
        <v>http://dx.doi.org/10.1111/ecog.02590</v>
      </c>
      <c r="BG211" t="s">
        <v>74</v>
      </c>
      <c r="BH211" t="s">
        <v>74</v>
      </c>
      <c r="BI211">
        <v>14</v>
      </c>
      <c r="BJ211" t="s">
        <v>4277</v>
      </c>
      <c r="BK211" t="s">
        <v>2471</v>
      </c>
      <c r="BL211" t="s">
        <v>4278</v>
      </c>
      <c r="BM211" t="s">
        <v>4279</v>
      </c>
      <c r="BN211" t="s">
        <v>74</v>
      </c>
      <c r="BO211" t="s">
        <v>4280</v>
      </c>
      <c r="BP211" t="s">
        <v>74</v>
      </c>
      <c r="BQ211" t="s">
        <v>74</v>
      </c>
      <c r="BR211" t="s">
        <v>105</v>
      </c>
      <c r="BS211" t="s">
        <v>4281</v>
      </c>
      <c r="BT211" t="str">
        <f>HYPERLINK("https%3A%2F%2Fwww.webofscience.com%2Fwos%2Fwoscc%2Ffull-record%2FWOS:000419052200018","View Full Record in Web of Science")</f>
        <v>View Full Record in Web of Science</v>
      </c>
    </row>
    <row r="212" spans="1:72" x14ac:dyDescent="0.15">
      <c r="A212" t="s">
        <v>1831</v>
      </c>
      <c r="B212" t="s">
        <v>4282</v>
      </c>
      <c r="C212" t="s">
        <v>74</v>
      </c>
      <c r="D212" t="s">
        <v>4283</v>
      </c>
      <c r="E212" t="s">
        <v>74</v>
      </c>
      <c r="F212" t="s">
        <v>4284</v>
      </c>
      <c r="G212" t="s">
        <v>74</v>
      </c>
      <c r="H212" t="s">
        <v>74</v>
      </c>
      <c r="I212" t="s">
        <v>4285</v>
      </c>
      <c r="J212" t="s">
        <v>4286</v>
      </c>
      <c r="K212" t="s">
        <v>4287</v>
      </c>
      <c r="L212" t="s">
        <v>74</v>
      </c>
      <c r="M212" t="s">
        <v>78</v>
      </c>
      <c r="N212" t="s">
        <v>1838</v>
      </c>
      <c r="O212" t="s">
        <v>74</v>
      </c>
      <c r="P212" t="s">
        <v>74</v>
      </c>
      <c r="Q212" t="s">
        <v>74</v>
      </c>
      <c r="R212" t="s">
        <v>74</v>
      </c>
      <c r="S212" t="s">
        <v>74</v>
      </c>
      <c r="T212" t="s">
        <v>74</v>
      </c>
      <c r="U212" t="s">
        <v>4288</v>
      </c>
      <c r="V212" t="s">
        <v>4289</v>
      </c>
      <c r="W212" t="s">
        <v>4290</v>
      </c>
      <c r="X212" t="s">
        <v>4291</v>
      </c>
      <c r="Y212" t="s">
        <v>4292</v>
      </c>
      <c r="Z212" t="s">
        <v>4293</v>
      </c>
      <c r="AA212" t="s">
        <v>74</v>
      </c>
      <c r="AB212" t="s">
        <v>74</v>
      </c>
      <c r="AC212" t="s">
        <v>74</v>
      </c>
      <c r="AD212" t="s">
        <v>74</v>
      </c>
      <c r="AE212" t="s">
        <v>74</v>
      </c>
      <c r="AF212" t="s">
        <v>74</v>
      </c>
      <c r="AG212">
        <v>59</v>
      </c>
      <c r="AH212">
        <v>7</v>
      </c>
      <c r="AI212">
        <v>7</v>
      </c>
      <c r="AJ212">
        <v>3</v>
      </c>
      <c r="AK212">
        <v>41</v>
      </c>
      <c r="AL212" t="s">
        <v>4294</v>
      </c>
      <c r="AM212" t="s">
        <v>1267</v>
      </c>
      <c r="AN212" t="s">
        <v>4295</v>
      </c>
      <c r="AO212" t="s">
        <v>4296</v>
      </c>
      <c r="AP212" t="s">
        <v>4297</v>
      </c>
      <c r="AQ212" t="s">
        <v>4298</v>
      </c>
      <c r="AR212" t="s">
        <v>4299</v>
      </c>
      <c r="AS212" t="s">
        <v>4300</v>
      </c>
      <c r="AT212" t="s">
        <v>74</v>
      </c>
      <c r="AU212">
        <v>2018</v>
      </c>
      <c r="AV212">
        <v>81</v>
      </c>
      <c r="AW212" t="s">
        <v>74</v>
      </c>
      <c r="AX212" t="s">
        <v>74</v>
      </c>
      <c r="AY212" t="s">
        <v>74</v>
      </c>
      <c r="AZ212" t="s">
        <v>74</v>
      </c>
      <c r="BA212" t="s">
        <v>74</v>
      </c>
      <c r="BB212">
        <v>129</v>
      </c>
      <c r="BC212">
        <v>165</v>
      </c>
      <c r="BD212" t="s">
        <v>74</v>
      </c>
      <c r="BE212" t="s">
        <v>4301</v>
      </c>
      <c r="BF212" t="str">
        <f>HYPERLINK("http://dx.doi.org/10.1016/bs.amb.2018.09.004","http://dx.doi.org/10.1016/bs.amb.2018.09.004")</f>
        <v>http://dx.doi.org/10.1016/bs.amb.2018.09.004</v>
      </c>
      <c r="BG212" t="s">
        <v>74</v>
      </c>
      <c r="BH212" t="s">
        <v>74</v>
      </c>
      <c r="BI212">
        <v>37</v>
      </c>
      <c r="BJ212" t="s">
        <v>3180</v>
      </c>
      <c r="BK212" t="s">
        <v>3859</v>
      </c>
      <c r="BL212" t="s">
        <v>3180</v>
      </c>
      <c r="BM212" t="s">
        <v>4302</v>
      </c>
      <c r="BN212">
        <v>30471655</v>
      </c>
      <c r="BO212" t="s">
        <v>74</v>
      </c>
      <c r="BP212" t="s">
        <v>74</v>
      </c>
      <c r="BQ212" t="s">
        <v>74</v>
      </c>
      <c r="BR212" t="s">
        <v>105</v>
      </c>
      <c r="BS212" t="s">
        <v>4303</v>
      </c>
      <c r="BT212" t="str">
        <f>HYPERLINK("https%3A%2F%2Fwww.webofscience.com%2Fwos%2Fwoscc%2Ffull-record%2FWOS:000452394700006","View Full Record in Web of Science")</f>
        <v>View Full Record in Web of Science</v>
      </c>
    </row>
    <row r="213" spans="1:72" x14ac:dyDescent="0.15">
      <c r="A213" t="s">
        <v>72</v>
      </c>
      <c r="B213" t="s">
        <v>4304</v>
      </c>
      <c r="C213" t="s">
        <v>74</v>
      </c>
      <c r="D213" t="s">
        <v>74</v>
      </c>
      <c r="E213" t="s">
        <v>74</v>
      </c>
      <c r="F213" t="s">
        <v>4305</v>
      </c>
      <c r="G213" t="s">
        <v>74</v>
      </c>
      <c r="H213" t="s">
        <v>74</v>
      </c>
      <c r="I213" t="s">
        <v>4306</v>
      </c>
      <c r="J213" t="s">
        <v>4307</v>
      </c>
      <c r="K213" t="s">
        <v>74</v>
      </c>
      <c r="L213" t="s">
        <v>74</v>
      </c>
      <c r="M213" t="s">
        <v>78</v>
      </c>
      <c r="N213" t="s">
        <v>79</v>
      </c>
      <c r="O213" t="s">
        <v>74</v>
      </c>
      <c r="P213" t="s">
        <v>74</v>
      </c>
      <c r="Q213" t="s">
        <v>74</v>
      </c>
      <c r="R213" t="s">
        <v>74</v>
      </c>
      <c r="S213" t="s">
        <v>74</v>
      </c>
      <c r="T213" t="s">
        <v>4308</v>
      </c>
      <c r="U213" t="s">
        <v>4309</v>
      </c>
      <c r="V213" t="s">
        <v>4310</v>
      </c>
      <c r="W213" t="s">
        <v>4311</v>
      </c>
      <c r="X213" t="s">
        <v>4312</v>
      </c>
      <c r="Y213" t="s">
        <v>4313</v>
      </c>
      <c r="Z213" t="s">
        <v>4314</v>
      </c>
      <c r="AA213" t="s">
        <v>4315</v>
      </c>
      <c r="AB213" t="s">
        <v>4316</v>
      </c>
      <c r="AC213" t="s">
        <v>4317</v>
      </c>
      <c r="AD213" t="s">
        <v>4318</v>
      </c>
      <c r="AE213" t="s">
        <v>4319</v>
      </c>
      <c r="AF213" t="s">
        <v>74</v>
      </c>
      <c r="AG213">
        <v>27</v>
      </c>
      <c r="AH213">
        <v>1</v>
      </c>
      <c r="AI213">
        <v>1</v>
      </c>
      <c r="AJ213">
        <v>3</v>
      </c>
      <c r="AK213">
        <v>11</v>
      </c>
      <c r="AL213" t="s">
        <v>4320</v>
      </c>
      <c r="AM213" t="s">
        <v>4321</v>
      </c>
      <c r="AN213" t="s">
        <v>4322</v>
      </c>
      <c r="AO213" t="s">
        <v>4323</v>
      </c>
      <c r="AP213" t="s">
        <v>4324</v>
      </c>
      <c r="AQ213" t="s">
        <v>74</v>
      </c>
      <c r="AR213" t="s">
        <v>4325</v>
      </c>
      <c r="AS213" t="s">
        <v>4326</v>
      </c>
      <c r="AT213" t="s">
        <v>74</v>
      </c>
      <c r="AU213">
        <v>2018</v>
      </c>
      <c r="AV213">
        <v>118</v>
      </c>
      <c r="AW213">
        <v>2</v>
      </c>
      <c r="AX213" t="s">
        <v>74</v>
      </c>
      <c r="AY213" t="s">
        <v>74</v>
      </c>
      <c r="AZ213" t="s">
        <v>74</v>
      </c>
      <c r="BA213" t="s">
        <v>74</v>
      </c>
      <c r="BB213">
        <v>224</v>
      </c>
      <c r="BC213">
        <v>229</v>
      </c>
      <c r="BD213" t="s">
        <v>74</v>
      </c>
      <c r="BE213" t="s">
        <v>4327</v>
      </c>
      <c r="BF213" t="str">
        <f>HYPERLINK("http://dx.doi.org/10.1080/01584197.2017.1406311","http://dx.doi.org/10.1080/01584197.2017.1406311")</f>
        <v>http://dx.doi.org/10.1080/01584197.2017.1406311</v>
      </c>
      <c r="BG213" t="s">
        <v>74</v>
      </c>
      <c r="BH213" t="s">
        <v>74</v>
      </c>
      <c r="BI213">
        <v>6</v>
      </c>
      <c r="BJ213" t="s">
        <v>4328</v>
      </c>
      <c r="BK213" t="s">
        <v>101</v>
      </c>
      <c r="BL213" t="s">
        <v>655</v>
      </c>
      <c r="BM213" t="s">
        <v>4329</v>
      </c>
      <c r="BN213" t="s">
        <v>74</v>
      </c>
      <c r="BO213" t="s">
        <v>1150</v>
      </c>
      <c r="BP213" t="s">
        <v>74</v>
      </c>
      <c r="BQ213" t="s">
        <v>74</v>
      </c>
      <c r="BR213" t="s">
        <v>105</v>
      </c>
      <c r="BS213" t="s">
        <v>4330</v>
      </c>
      <c r="BT213" t="str">
        <f>HYPERLINK("https%3A%2F%2Fwww.webofscience.com%2Fwos%2Fwoscc%2Ffull-record%2FWOS:000451715100010","View Full Record in Web of Science")</f>
        <v>View Full Record in Web of Science</v>
      </c>
    </row>
    <row r="214" spans="1:72" x14ac:dyDescent="0.15">
      <c r="A214" t="s">
        <v>72</v>
      </c>
      <c r="B214" t="s">
        <v>4331</v>
      </c>
      <c r="C214" t="s">
        <v>74</v>
      </c>
      <c r="D214" t="s">
        <v>74</v>
      </c>
      <c r="E214" t="s">
        <v>74</v>
      </c>
      <c r="F214" t="s">
        <v>4332</v>
      </c>
      <c r="G214" t="s">
        <v>74</v>
      </c>
      <c r="H214" t="s">
        <v>74</v>
      </c>
      <c r="I214" t="s">
        <v>4333</v>
      </c>
      <c r="J214" t="s">
        <v>4334</v>
      </c>
      <c r="K214" t="s">
        <v>74</v>
      </c>
      <c r="L214" t="s">
        <v>74</v>
      </c>
      <c r="M214" t="s">
        <v>78</v>
      </c>
      <c r="N214" t="s">
        <v>79</v>
      </c>
      <c r="O214" t="s">
        <v>74</v>
      </c>
      <c r="P214" t="s">
        <v>74</v>
      </c>
      <c r="Q214" t="s">
        <v>74</v>
      </c>
      <c r="R214" t="s">
        <v>74</v>
      </c>
      <c r="S214" t="s">
        <v>74</v>
      </c>
      <c r="T214" t="s">
        <v>4335</v>
      </c>
      <c r="U214" t="s">
        <v>4336</v>
      </c>
      <c r="V214" t="s">
        <v>4337</v>
      </c>
      <c r="W214" t="s">
        <v>4338</v>
      </c>
      <c r="X214" t="s">
        <v>4339</v>
      </c>
      <c r="Y214" t="s">
        <v>4340</v>
      </c>
      <c r="Z214" t="s">
        <v>4341</v>
      </c>
      <c r="AA214" t="s">
        <v>4342</v>
      </c>
      <c r="AB214" t="s">
        <v>4343</v>
      </c>
      <c r="AC214" t="s">
        <v>4344</v>
      </c>
      <c r="AD214" t="s">
        <v>4345</v>
      </c>
      <c r="AE214" t="s">
        <v>4346</v>
      </c>
      <c r="AF214" t="s">
        <v>74</v>
      </c>
      <c r="AG214">
        <v>33</v>
      </c>
      <c r="AH214">
        <v>11</v>
      </c>
      <c r="AI214">
        <v>11</v>
      </c>
      <c r="AJ214">
        <v>0</v>
      </c>
      <c r="AK214">
        <v>41</v>
      </c>
      <c r="AL214" t="s">
        <v>1973</v>
      </c>
      <c r="AM214" t="s">
        <v>4347</v>
      </c>
      <c r="AN214" t="s">
        <v>4348</v>
      </c>
      <c r="AO214" t="s">
        <v>4349</v>
      </c>
      <c r="AP214" t="s">
        <v>4350</v>
      </c>
      <c r="AQ214" t="s">
        <v>74</v>
      </c>
      <c r="AR214" t="s">
        <v>4351</v>
      </c>
      <c r="AS214" t="s">
        <v>4352</v>
      </c>
      <c r="AT214" t="s">
        <v>2468</v>
      </c>
      <c r="AU214">
        <v>2018</v>
      </c>
      <c r="AV214">
        <v>190</v>
      </c>
      <c r="AW214">
        <v>1</v>
      </c>
      <c r="AX214" t="s">
        <v>74</v>
      </c>
      <c r="AY214" t="s">
        <v>74</v>
      </c>
      <c r="AZ214" t="s">
        <v>74</v>
      </c>
      <c r="BA214" t="s">
        <v>74</v>
      </c>
      <c r="BB214" t="s">
        <v>74</v>
      </c>
      <c r="BC214" t="s">
        <v>74</v>
      </c>
      <c r="BD214">
        <v>13</v>
      </c>
      <c r="BE214" t="s">
        <v>4353</v>
      </c>
      <c r="BF214" t="str">
        <f>HYPERLINK("http://dx.doi.org/10.1007/s10661-017-6397-1","http://dx.doi.org/10.1007/s10661-017-6397-1")</f>
        <v>http://dx.doi.org/10.1007/s10661-017-6397-1</v>
      </c>
      <c r="BG214" t="s">
        <v>74</v>
      </c>
      <c r="BH214" t="s">
        <v>74</v>
      </c>
      <c r="BI214">
        <v>9</v>
      </c>
      <c r="BJ214" t="s">
        <v>1119</v>
      </c>
      <c r="BK214" t="s">
        <v>101</v>
      </c>
      <c r="BL214" t="s">
        <v>1120</v>
      </c>
      <c r="BM214" t="s">
        <v>4354</v>
      </c>
      <c r="BN214">
        <v>29230543</v>
      </c>
      <c r="BO214" t="s">
        <v>74</v>
      </c>
      <c r="BP214" t="s">
        <v>74</v>
      </c>
      <c r="BQ214" t="s">
        <v>74</v>
      </c>
      <c r="BR214" t="s">
        <v>105</v>
      </c>
      <c r="BS214" t="s">
        <v>4355</v>
      </c>
      <c r="BT214" t="str">
        <f>HYPERLINK("https%3A%2F%2Fwww.webofscience.com%2Fwos%2Fwoscc%2Ffull-record%2FWOS:000422680800030","View Full Record in Web of Science")</f>
        <v>View Full Record in Web of Science</v>
      </c>
    </row>
    <row r="215" spans="1:72" x14ac:dyDescent="0.15">
      <c r="A215" t="s">
        <v>72</v>
      </c>
      <c r="B215" t="s">
        <v>4356</v>
      </c>
      <c r="C215" t="s">
        <v>74</v>
      </c>
      <c r="D215" t="s">
        <v>74</v>
      </c>
      <c r="E215" t="s">
        <v>74</v>
      </c>
      <c r="F215" t="s">
        <v>4357</v>
      </c>
      <c r="G215" t="s">
        <v>74</v>
      </c>
      <c r="H215" t="s">
        <v>74</v>
      </c>
      <c r="I215" t="s">
        <v>4358</v>
      </c>
      <c r="J215" t="s">
        <v>4359</v>
      </c>
      <c r="K215" t="s">
        <v>74</v>
      </c>
      <c r="L215" t="s">
        <v>74</v>
      </c>
      <c r="M215" t="s">
        <v>78</v>
      </c>
      <c r="N215" t="s">
        <v>79</v>
      </c>
      <c r="O215" t="s">
        <v>74</v>
      </c>
      <c r="P215" t="s">
        <v>74</v>
      </c>
      <c r="Q215" t="s">
        <v>74</v>
      </c>
      <c r="R215" t="s">
        <v>74</v>
      </c>
      <c r="S215" t="s">
        <v>74</v>
      </c>
      <c r="T215" t="s">
        <v>4360</v>
      </c>
      <c r="U215" t="s">
        <v>4361</v>
      </c>
      <c r="V215" t="s">
        <v>4362</v>
      </c>
      <c r="W215" t="s">
        <v>4363</v>
      </c>
      <c r="X215" t="s">
        <v>4364</v>
      </c>
      <c r="Y215" t="s">
        <v>4365</v>
      </c>
      <c r="Z215" t="s">
        <v>4366</v>
      </c>
      <c r="AA215" t="s">
        <v>4367</v>
      </c>
      <c r="AB215" t="s">
        <v>4368</v>
      </c>
      <c r="AC215" t="s">
        <v>4369</v>
      </c>
      <c r="AD215" t="s">
        <v>4370</v>
      </c>
      <c r="AE215" t="s">
        <v>4371</v>
      </c>
      <c r="AF215" t="s">
        <v>74</v>
      </c>
      <c r="AG215">
        <v>51</v>
      </c>
      <c r="AH215">
        <v>8</v>
      </c>
      <c r="AI215">
        <v>10</v>
      </c>
      <c r="AJ215">
        <v>0</v>
      </c>
      <c r="AK215">
        <v>26</v>
      </c>
      <c r="AL215" t="s">
        <v>3906</v>
      </c>
      <c r="AM215" t="s">
        <v>3907</v>
      </c>
      <c r="AN215" t="s">
        <v>3908</v>
      </c>
      <c r="AO215" t="s">
        <v>4372</v>
      </c>
      <c r="AP215" t="s">
        <v>4373</v>
      </c>
      <c r="AQ215" t="s">
        <v>74</v>
      </c>
      <c r="AR215" t="s">
        <v>4374</v>
      </c>
      <c r="AS215" t="s">
        <v>4375</v>
      </c>
      <c r="AT215" t="s">
        <v>2468</v>
      </c>
      <c r="AU215">
        <v>2018</v>
      </c>
      <c r="AV215">
        <v>25</v>
      </c>
      <c r="AW215">
        <v>3</v>
      </c>
      <c r="AX215" t="s">
        <v>74</v>
      </c>
      <c r="AY215" t="s">
        <v>74</v>
      </c>
      <c r="AZ215" t="s">
        <v>1146</v>
      </c>
      <c r="BA215" t="s">
        <v>74</v>
      </c>
      <c r="BB215">
        <v>2194</v>
      </c>
      <c r="BC215">
        <v>2210</v>
      </c>
      <c r="BD215" t="s">
        <v>74</v>
      </c>
      <c r="BE215" t="s">
        <v>4376</v>
      </c>
      <c r="BF215" t="str">
        <f>HYPERLINK("http://dx.doi.org/10.1007/s11356-017-0521-1","http://dx.doi.org/10.1007/s11356-017-0521-1")</f>
        <v>http://dx.doi.org/10.1007/s11356-017-0521-1</v>
      </c>
      <c r="BG215" t="s">
        <v>74</v>
      </c>
      <c r="BH215" t="s">
        <v>74</v>
      </c>
      <c r="BI215">
        <v>17</v>
      </c>
      <c r="BJ215" t="s">
        <v>1119</v>
      </c>
      <c r="BK215" t="s">
        <v>101</v>
      </c>
      <c r="BL215" t="s">
        <v>1120</v>
      </c>
      <c r="BM215" t="s">
        <v>4377</v>
      </c>
      <c r="BN215">
        <v>29116536</v>
      </c>
      <c r="BO215" t="s">
        <v>74</v>
      </c>
      <c r="BP215" t="s">
        <v>74</v>
      </c>
      <c r="BQ215" t="s">
        <v>74</v>
      </c>
      <c r="BR215" t="s">
        <v>105</v>
      </c>
      <c r="BS215" t="s">
        <v>4378</v>
      </c>
      <c r="BT215" t="str">
        <f>HYPERLINK("https%3A%2F%2Fwww.webofscience.com%2Fwos%2Fwoscc%2Ffull-record%2FWOS:000422970600019","View Full Record in Web of Science")</f>
        <v>View Full Record in Web of Science</v>
      </c>
    </row>
    <row r="216" spans="1:72" x14ac:dyDescent="0.15">
      <c r="A216" t="s">
        <v>1831</v>
      </c>
      <c r="B216" t="s">
        <v>4379</v>
      </c>
      <c r="C216" t="s">
        <v>74</v>
      </c>
      <c r="D216" t="s">
        <v>4380</v>
      </c>
      <c r="E216" t="s">
        <v>74</v>
      </c>
      <c r="F216" t="s">
        <v>4381</v>
      </c>
      <c r="G216" t="s">
        <v>74</v>
      </c>
      <c r="H216" t="s">
        <v>74</v>
      </c>
      <c r="I216" t="s">
        <v>4382</v>
      </c>
      <c r="J216" t="s">
        <v>4383</v>
      </c>
      <c r="K216" t="s">
        <v>4384</v>
      </c>
      <c r="L216" t="s">
        <v>74</v>
      </c>
      <c r="M216" t="s">
        <v>78</v>
      </c>
      <c r="N216" t="s">
        <v>1838</v>
      </c>
      <c r="O216" t="s">
        <v>74</v>
      </c>
      <c r="P216" t="s">
        <v>74</v>
      </c>
      <c r="Q216" t="s">
        <v>74</v>
      </c>
      <c r="R216" t="s">
        <v>74</v>
      </c>
      <c r="S216" t="s">
        <v>74</v>
      </c>
      <c r="T216" t="s">
        <v>74</v>
      </c>
      <c r="U216" t="s">
        <v>4385</v>
      </c>
      <c r="V216" t="s">
        <v>4386</v>
      </c>
      <c r="W216" t="s">
        <v>4387</v>
      </c>
      <c r="X216" t="s">
        <v>4388</v>
      </c>
      <c r="Y216" t="s">
        <v>4389</v>
      </c>
      <c r="Z216" t="s">
        <v>4390</v>
      </c>
      <c r="AA216" t="s">
        <v>4391</v>
      </c>
      <c r="AB216" t="s">
        <v>4392</v>
      </c>
      <c r="AC216" t="s">
        <v>74</v>
      </c>
      <c r="AD216" t="s">
        <v>74</v>
      </c>
      <c r="AE216" t="s">
        <v>74</v>
      </c>
      <c r="AF216" t="s">
        <v>74</v>
      </c>
      <c r="AG216">
        <v>44</v>
      </c>
      <c r="AH216">
        <v>13</v>
      </c>
      <c r="AI216">
        <v>14</v>
      </c>
      <c r="AJ216">
        <v>5</v>
      </c>
      <c r="AK216">
        <v>55</v>
      </c>
      <c r="AL216" t="s">
        <v>4294</v>
      </c>
      <c r="AM216" t="s">
        <v>1267</v>
      </c>
      <c r="AN216" t="s">
        <v>4295</v>
      </c>
      <c r="AO216" t="s">
        <v>4393</v>
      </c>
      <c r="AP216" t="s">
        <v>74</v>
      </c>
      <c r="AQ216" t="s">
        <v>4394</v>
      </c>
      <c r="AR216" t="s">
        <v>4395</v>
      </c>
      <c r="AS216" t="s">
        <v>4396</v>
      </c>
      <c r="AT216" t="s">
        <v>74</v>
      </c>
      <c r="AU216">
        <v>2018</v>
      </c>
      <c r="AV216">
        <v>101</v>
      </c>
      <c r="AW216" t="s">
        <v>74</v>
      </c>
      <c r="AX216" t="s">
        <v>74</v>
      </c>
      <c r="AY216" t="s">
        <v>74</v>
      </c>
      <c r="AZ216" t="s">
        <v>74</v>
      </c>
      <c r="BA216" t="s">
        <v>74</v>
      </c>
      <c r="BB216">
        <v>39</v>
      </c>
      <c r="BC216">
        <v>54</v>
      </c>
      <c r="BD216" t="s">
        <v>74</v>
      </c>
      <c r="BE216" t="s">
        <v>4397</v>
      </c>
      <c r="BF216" t="str">
        <f>HYPERLINK("http://dx.doi.org/10.1016/bs.aivir.2018.02.002","http://dx.doi.org/10.1016/bs.aivir.2018.02.002")</f>
        <v>http://dx.doi.org/10.1016/bs.aivir.2018.02.002</v>
      </c>
      <c r="BG216" t="s">
        <v>74</v>
      </c>
      <c r="BH216" t="s">
        <v>74</v>
      </c>
      <c r="BI216">
        <v>16</v>
      </c>
      <c r="BJ216" t="s">
        <v>585</v>
      </c>
      <c r="BK216" t="s">
        <v>3859</v>
      </c>
      <c r="BL216" t="s">
        <v>585</v>
      </c>
      <c r="BM216" t="s">
        <v>4398</v>
      </c>
      <c r="BN216">
        <v>29908593</v>
      </c>
      <c r="BO216" t="s">
        <v>74</v>
      </c>
      <c r="BP216" t="s">
        <v>74</v>
      </c>
      <c r="BQ216" t="s">
        <v>74</v>
      </c>
      <c r="BR216" t="s">
        <v>105</v>
      </c>
      <c r="BS216" t="s">
        <v>4399</v>
      </c>
      <c r="BT216" t="str">
        <f>HYPERLINK("https%3A%2F%2Fwww.webofscience.com%2Fwos%2Fwoscc%2Ffull-record%2FWOS:000452396000003","View Full Record in Web of Science")</f>
        <v>View Full Record in Web of Science</v>
      </c>
    </row>
    <row r="217" spans="1:72" x14ac:dyDescent="0.15">
      <c r="A217" t="s">
        <v>1831</v>
      </c>
      <c r="B217" t="s">
        <v>4400</v>
      </c>
      <c r="C217" t="s">
        <v>74</v>
      </c>
      <c r="D217" t="s">
        <v>4401</v>
      </c>
      <c r="E217" t="s">
        <v>74</v>
      </c>
      <c r="F217" t="s">
        <v>4402</v>
      </c>
      <c r="G217" t="s">
        <v>74</v>
      </c>
      <c r="H217" t="s">
        <v>74</v>
      </c>
      <c r="I217" t="s">
        <v>4403</v>
      </c>
      <c r="J217" t="s">
        <v>4404</v>
      </c>
      <c r="K217" t="s">
        <v>2575</v>
      </c>
      <c r="L217" t="s">
        <v>74</v>
      </c>
      <c r="M217" t="s">
        <v>78</v>
      </c>
      <c r="N217" t="s">
        <v>1862</v>
      </c>
      <c r="O217" t="s">
        <v>74</v>
      </c>
      <c r="P217" t="s">
        <v>74</v>
      </c>
      <c r="Q217" t="s">
        <v>74</v>
      </c>
      <c r="R217" t="s">
        <v>74</v>
      </c>
      <c r="S217" t="s">
        <v>74</v>
      </c>
      <c r="T217" t="s">
        <v>74</v>
      </c>
      <c r="U217" t="s">
        <v>4405</v>
      </c>
      <c r="V217" t="s">
        <v>4406</v>
      </c>
      <c r="W217" t="s">
        <v>4407</v>
      </c>
      <c r="X217" t="s">
        <v>4408</v>
      </c>
      <c r="Y217" t="s">
        <v>4409</v>
      </c>
      <c r="Z217" t="s">
        <v>4410</v>
      </c>
      <c r="AA217" t="s">
        <v>4411</v>
      </c>
      <c r="AB217" t="s">
        <v>4412</v>
      </c>
      <c r="AC217" t="s">
        <v>4413</v>
      </c>
      <c r="AD217" t="s">
        <v>2304</v>
      </c>
      <c r="AE217" t="s">
        <v>74</v>
      </c>
      <c r="AF217" t="s">
        <v>74</v>
      </c>
      <c r="AG217">
        <v>30</v>
      </c>
      <c r="AH217">
        <v>24</v>
      </c>
      <c r="AI217">
        <v>26</v>
      </c>
      <c r="AJ217">
        <v>0</v>
      </c>
      <c r="AK217">
        <v>5</v>
      </c>
      <c r="AL217" t="s">
        <v>2584</v>
      </c>
      <c r="AM217" t="s">
        <v>2585</v>
      </c>
      <c r="AN217" t="s">
        <v>2586</v>
      </c>
      <c r="AO217" t="s">
        <v>2587</v>
      </c>
      <c r="AP217" t="s">
        <v>74</v>
      </c>
      <c r="AQ217" t="s">
        <v>4414</v>
      </c>
      <c r="AR217" t="s">
        <v>2589</v>
      </c>
      <c r="AS217" t="s">
        <v>2590</v>
      </c>
      <c r="AT217" t="s">
        <v>74</v>
      </c>
      <c r="AU217">
        <v>2018</v>
      </c>
      <c r="AV217">
        <v>461</v>
      </c>
      <c r="AW217" t="s">
        <v>74</v>
      </c>
      <c r="AX217" t="s">
        <v>74</v>
      </c>
      <c r="AY217" t="s">
        <v>74</v>
      </c>
      <c r="AZ217" t="s">
        <v>74</v>
      </c>
      <c r="BA217" t="s">
        <v>74</v>
      </c>
      <c r="BB217">
        <v>23</v>
      </c>
      <c r="BC217">
        <v>34</v>
      </c>
      <c r="BD217" t="s">
        <v>74</v>
      </c>
      <c r="BE217" t="s">
        <v>4415</v>
      </c>
      <c r="BF217" t="str">
        <f>HYPERLINK("http://dx.doi.org/10.1144/SP461.17","http://dx.doi.org/10.1144/SP461.17")</f>
        <v>http://dx.doi.org/10.1144/SP461.17</v>
      </c>
      <c r="BG217" t="s">
        <v>74</v>
      </c>
      <c r="BH217" t="s">
        <v>74</v>
      </c>
      <c r="BI217">
        <v>12</v>
      </c>
      <c r="BJ217" t="s">
        <v>4416</v>
      </c>
      <c r="BK217" t="s">
        <v>1856</v>
      </c>
      <c r="BL217" t="s">
        <v>4416</v>
      </c>
      <c r="BM217" t="s">
        <v>4417</v>
      </c>
      <c r="BN217" t="s">
        <v>74</v>
      </c>
      <c r="BO217" t="s">
        <v>4418</v>
      </c>
      <c r="BP217" t="s">
        <v>74</v>
      </c>
      <c r="BQ217" t="s">
        <v>74</v>
      </c>
      <c r="BR217" t="s">
        <v>105</v>
      </c>
      <c r="BS217" t="s">
        <v>4419</v>
      </c>
      <c r="BT217" t="str">
        <f>HYPERLINK("https%3A%2F%2Fwww.webofscience.com%2Fwos%2Fwoscc%2Ffull-record%2FWOS:000431852000003","View Full Record in Web of Science")</f>
        <v>View Full Record in Web of Science</v>
      </c>
    </row>
    <row r="218" spans="1:72" x14ac:dyDescent="0.15">
      <c r="A218" t="s">
        <v>1831</v>
      </c>
      <c r="B218" t="s">
        <v>4420</v>
      </c>
      <c r="C218" t="s">
        <v>74</v>
      </c>
      <c r="D218" t="s">
        <v>4401</v>
      </c>
      <c r="E218" t="s">
        <v>74</v>
      </c>
      <c r="F218" t="s">
        <v>4421</v>
      </c>
      <c r="G218" t="s">
        <v>74</v>
      </c>
      <c r="H218" t="s">
        <v>74</v>
      </c>
      <c r="I218" t="s">
        <v>4422</v>
      </c>
      <c r="J218" t="s">
        <v>4404</v>
      </c>
      <c r="K218" t="s">
        <v>2575</v>
      </c>
      <c r="L218" t="s">
        <v>74</v>
      </c>
      <c r="M218" t="s">
        <v>78</v>
      </c>
      <c r="N218" t="s">
        <v>1862</v>
      </c>
      <c r="O218" t="s">
        <v>74</v>
      </c>
      <c r="P218" t="s">
        <v>74</v>
      </c>
      <c r="Q218" t="s">
        <v>74</v>
      </c>
      <c r="R218" t="s">
        <v>74</v>
      </c>
      <c r="S218" t="s">
        <v>74</v>
      </c>
      <c r="T218" t="s">
        <v>74</v>
      </c>
      <c r="U218" t="s">
        <v>4423</v>
      </c>
      <c r="V218" t="s">
        <v>4424</v>
      </c>
      <c r="W218" t="s">
        <v>4425</v>
      </c>
      <c r="X218" t="s">
        <v>4426</v>
      </c>
      <c r="Y218" t="s">
        <v>4427</v>
      </c>
      <c r="Z218" t="s">
        <v>4428</v>
      </c>
      <c r="AA218" t="s">
        <v>4429</v>
      </c>
      <c r="AB218" t="s">
        <v>4430</v>
      </c>
      <c r="AC218" t="s">
        <v>4431</v>
      </c>
      <c r="AD218" t="s">
        <v>4432</v>
      </c>
      <c r="AE218" t="s">
        <v>74</v>
      </c>
      <c r="AF218" t="s">
        <v>74</v>
      </c>
      <c r="AG218">
        <v>46</v>
      </c>
      <c r="AH218">
        <v>11</v>
      </c>
      <c r="AI218">
        <v>12</v>
      </c>
      <c r="AJ218">
        <v>0</v>
      </c>
      <c r="AK218">
        <v>6</v>
      </c>
      <c r="AL218" t="s">
        <v>2584</v>
      </c>
      <c r="AM218" t="s">
        <v>2585</v>
      </c>
      <c r="AN218" t="s">
        <v>2586</v>
      </c>
      <c r="AO218" t="s">
        <v>2587</v>
      </c>
      <c r="AP218" t="s">
        <v>74</v>
      </c>
      <c r="AQ218" t="s">
        <v>4414</v>
      </c>
      <c r="AR218" t="s">
        <v>2589</v>
      </c>
      <c r="AS218" t="s">
        <v>2590</v>
      </c>
      <c r="AT218" t="s">
        <v>74</v>
      </c>
      <c r="AU218">
        <v>2018</v>
      </c>
      <c r="AV218">
        <v>461</v>
      </c>
      <c r="AW218" t="s">
        <v>74</v>
      </c>
      <c r="AX218" t="s">
        <v>74</v>
      </c>
      <c r="AY218" t="s">
        <v>74</v>
      </c>
      <c r="AZ218" t="s">
        <v>74</v>
      </c>
      <c r="BA218" t="s">
        <v>74</v>
      </c>
      <c r="BB218">
        <v>35</v>
      </c>
      <c r="BC218">
        <v>47</v>
      </c>
      <c r="BD218" t="s">
        <v>74</v>
      </c>
      <c r="BE218" t="s">
        <v>4433</v>
      </c>
      <c r="BF218" t="str">
        <f>HYPERLINK("http://dx.doi.org/10.1144/SP461.14","http://dx.doi.org/10.1144/SP461.14")</f>
        <v>http://dx.doi.org/10.1144/SP461.14</v>
      </c>
      <c r="BG218" t="s">
        <v>74</v>
      </c>
      <c r="BH218" t="s">
        <v>74</v>
      </c>
      <c r="BI218">
        <v>13</v>
      </c>
      <c r="BJ218" t="s">
        <v>4416</v>
      </c>
      <c r="BK218" t="s">
        <v>1856</v>
      </c>
      <c r="BL218" t="s">
        <v>4416</v>
      </c>
      <c r="BM218" t="s">
        <v>4417</v>
      </c>
      <c r="BN218" t="s">
        <v>74</v>
      </c>
      <c r="BO218" t="s">
        <v>74</v>
      </c>
      <c r="BP218" t="s">
        <v>74</v>
      </c>
      <c r="BQ218" t="s">
        <v>74</v>
      </c>
      <c r="BR218" t="s">
        <v>105</v>
      </c>
      <c r="BS218" t="s">
        <v>4434</v>
      </c>
      <c r="BT218" t="str">
        <f>HYPERLINK("https%3A%2F%2Fwww.webofscience.com%2Fwos%2Fwoscc%2Ffull-record%2FWOS:000431852000004","View Full Record in Web of Science")</f>
        <v>View Full Record in Web of Science</v>
      </c>
    </row>
    <row r="219" spans="1:72" x14ac:dyDescent="0.15">
      <c r="A219" t="s">
        <v>1831</v>
      </c>
      <c r="B219" t="s">
        <v>4435</v>
      </c>
      <c r="C219" t="s">
        <v>74</v>
      </c>
      <c r="D219" t="s">
        <v>4401</v>
      </c>
      <c r="E219" t="s">
        <v>74</v>
      </c>
      <c r="F219" t="s">
        <v>4436</v>
      </c>
      <c r="G219" t="s">
        <v>74</v>
      </c>
      <c r="H219" t="s">
        <v>74</v>
      </c>
      <c r="I219" t="s">
        <v>4437</v>
      </c>
      <c r="J219" t="s">
        <v>4404</v>
      </c>
      <c r="K219" t="s">
        <v>2575</v>
      </c>
      <c r="L219" t="s">
        <v>74</v>
      </c>
      <c r="M219" t="s">
        <v>78</v>
      </c>
      <c r="N219" t="s">
        <v>1862</v>
      </c>
      <c r="O219" t="s">
        <v>74</v>
      </c>
      <c r="P219" t="s">
        <v>74</v>
      </c>
      <c r="Q219" t="s">
        <v>74</v>
      </c>
      <c r="R219" t="s">
        <v>74</v>
      </c>
      <c r="S219" t="s">
        <v>74</v>
      </c>
      <c r="T219" t="s">
        <v>74</v>
      </c>
      <c r="U219" t="s">
        <v>4438</v>
      </c>
      <c r="V219" t="s">
        <v>4439</v>
      </c>
      <c r="W219" t="s">
        <v>4440</v>
      </c>
      <c r="X219" t="s">
        <v>4441</v>
      </c>
      <c r="Y219" t="s">
        <v>4442</v>
      </c>
      <c r="Z219" t="s">
        <v>4443</v>
      </c>
      <c r="AA219" t="s">
        <v>4444</v>
      </c>
      <c r="AB219" t="s">
        <v>4445</v>
      </c>
      <c r="AC219" t="s">
        <v>4446</v>
      </c>
      <c r="AD219" t="s">
        <v>2304</v>
      </c>
      <c r="AE219" t="s">
        <v>74</v>
      </c>
      <c r="AF219" t="s">
        <v>74</v>
      </c>
      <c r="AG219">
        <v>56</v>
      </c>
      <c r="AH219">
        <v>1</v>
      </c>
      <c r="AI219">
        <v>1</v>
      </c>
      <c r="AJ219">
        <v>0</v>
      </c>
      <c r="AK219">
        <v>6</v>
      </c>
      <c r="AL219" t="s">
        <v>2584</v>
      </c>
      <c r="AM219" t="s">
        <v>2585</v>
      </c>
      <c r="AN219" t="s">
        <v>2586</v>
      </c>
      <c r="AO219" t="s">
        <v>2587</v>
      </c>
      <c r="AP219" t="s">
        <v>74</v>
      </c>
      <c r="AQ219" t="s">
        <v>4414</v>
      </c>
      <c r="AR219" t="s">
        <v>2589</v>
      </c>
      <c r="AS219" t="s">
        <v>2590</v>
      </c>
      <c r="AT219" t="s">
        <v>74</v>
      </c>
      <c r="AU219">
        <v>2018</v>
      </c>
      <c r="AV219">
        <v>461</v>
      </c>
      <c r="AW219" t="s">
        <v>74</v>
      </c>
      <c r="AX219" t="s">
        <v>74</v>
      </c>
      <c r="AY219" t="s">
        <v>74</v>
      </c>
      <c r="AZ219" t="s">
        <v>74</v>
      </c>
      <c r="BA219" t="s">
        <v>74</v>
      </c>
      <c r="BB219">
        <v>161</v>
      </c>
      <c r="BC219">
        <v>173</v>
      </c>
      <c r="BD219" t="s">
        <v>74</v>
      </c>
      <c r="BE219" t="s">
        <v>4447</v>
      </c>
      <c r="BF219" t="str">
        <f>HYPERLINK("http://dx.doi.org/10.1144/SP461.11","http://dx.doi.org/10.1144/SP461.11")</f>
        <v>http://dx.doi.org/10.1144/SP461.11</v>
      </c>
      <c r="BG219" t="s">
        <v>74</v>
      </c>
      <c r="BH219" t="s">
        <v>74</v>
      </c>
      <c r="BI219">
        <v>13</v>
      </c>
      <c r="BJ219" t="s">
        <v>4416</v>
      </c>
      <c r="BK219" t="s">
        <v>1856</v>
      </c>
      <c r="BL219" t="s">
        <v>4416</v>
      </c>
      <c r="BM219" t="s">
        <v>4417</v>
      </c>
      <c r="BN219" t="s">
        <v>74</v>
      </c>
      <c r="BO219" t="s">
        <v>4448</v>
      </c>
      <c r="BP219" t="s">
        <v>74</v>
      </c>
      <c r="BQ219" t="s">
        <v>74</v>
      </c>
      <c r="BR219" t="s">
        <v>105</v>
      </c>
      <c r="BS219" t="s">
        <v>4449</v>
      </c>
      <c r="BT219" t="str">
        <f>HYPERLINK("https%3A%2F%2Fwww.webofscience.com%2Fwos%2Fwoscc%2Ffull-record%2FWOS:000431852000012","View Full Record in Web of Science")</f>
        <v>View Full Record in Web of Science</v>
      </c>
    </row>
    <row r="220" spans="1:72" x14ac:dyDescent="0.15">
      <c r="A220" t="s">
        <v>1831</v>
      </c>
      <c r="B220" t="s">
        <v>4450</v>
      </c>
      <c r="C220" t="s">
        <v>74</v>
      </c>
      <c r="D220" t="s">
        <v>4401</v>
      </c>
      <c r="E220" t="s">
        <v>74</v>
      </c>
      <c r="F220" t="s">
        <v>4451</v>
      </c>
      <c r="G220" t="s">
        <v>74</v>
      </c>
      <c r="H220" t="s">
        <v>74</v>
      </c>
      <c r="I220" t="s">
        <v>4452</v>
      </c>
      <c r="J220" t="s">
        <v>4404</v>
      </c>
      <c r="K220" t="s">
        <v>2575</v>
      </c>
      <c r="L220" t="s">
        <v>74</v>
      </c>
      <c r="M220" t="s">
        <v>78</v>
      </c>
      <c r="N220" t="s">
        <v>1862</v>
      </c>
      <c r="O220" t="s">
        <v>74</v>
      </c>
      <c r="P220" t="s">
        <v>74</v>
      </c>
      <c r="Q220" t="s">
        <v>74</v>
      </c>
      <c r="R220" t="s">
        <v>74</v>
      </c>
      <c r="S220" t="s">
        <v>74</v>
      </c>
      <c r="T220" t="s">
        <v>74</v>
      </c>
      <c r="U220" t="s">
        <v>4453</v>
      </c>
      <c r="V220" t="s">
        <v>4454</v>
      </c>
      <c r="W220" t="s">
        <v>4455</v>
      </c>
      <c r="X220" t="s">
        <v>4456</v>
      </c>
      <c r="Y220" t="s">
        <v>4457</v>
      </c>
      <c r="Z220" t="s">
        <v>4458</v>
      </c>
      <c r="AA220" t="s">
        <v>4459</v>
      </c>
      <c r="AB220" t="s">
        <v>74</v>
      </c>
      <c r="AC220" t="s">
        <v>74</v>
      </c>
      <c r="AD220" t="s">
        <v>74</v>
      </c>
      <c r="AE220" t="s">
        <v>74</v>
      </c>
      <c r="AF220" t="s">
        <v>74</v>
      </c>
      <c r="AG220">
        <v>32</v>
      </c>
      <c r="AH220">
        <v>6</v>
      </c>
      <c r="AI220">
        <v>6</v>
      </c>
      <c r="AJ220">
        <v>0</v>
      </c>
      <c r="AK220">
        <v>6</v>
      </c>
      <c r="AL220" t="s">
        <v>2584</v>
      </c>
      <c r="AM220" t="s">
        <v>2585</v>
      </c>
      <c r="AN220" t="s">
        <v>2586</v>
      </c>
      <c r="AO220" t="s">
        <v>2587</v>
      </c>
      <c r="AP220" t="s">
        <v>74</v>
      </c>
      <c r="AQ220" t="s">
        <v>4414</v>
      </c>
      <c r="AR220" t="s">
        <v>2589</v>
      </c>
      <c r="AS220" t="s">
        <v>2590</v>
      </c>
      <c r="AT220" t="s">
        <v>74</v>
      </c>
      <c r="AU220">
        <v>2018</v>
      </c>
      <c r="AV220">
        <v>461</v>
      </c>
      <c r="AW220" t="s">
        <v>74</v>
      </c>
      <c r="AX220" t="s">
        <v>74</v>
      </c>
      <c r="AY220" t="s">
        <v>74</v>
      </c>
      <c r="AZ220" t="s">
        <v>74</v>
      </c>
      <c r="BA220" t="s">
        <v>74</v>
      </c>
      <c r="BB220">
        <v>187</v>
      </c>
      <c r="BC220">
        <v>196</v>
      </c>
      <c r="BD220" t="s">
        <v>74</v>
      </c>
      <c r="BE220" t="s">
        <v>4460</v>
      </c>
      <c r="BF220" t="str">
        <f>HYPERLINK("http://dx.doi.org/10.1144/SP461.3","http://dx.doi.org/10.1144/SP461.3")</f>
        <v>http://dx.doi.org/10.1144/SP461.3</v>
      </c>
      <c r="BG220" t="s">
        <v>74</v>
      </c>
      <c r="BH220" t="s">
        <v>74</v>
      </c>
      <c r="BI220">
        <v>10</v>
      </c>
      <c r="BJ220" t="s">
        <v>4416</v>
      </c>
      <c r="BK220" t="s">
        <v>1856</v>
      </c>
      <c r="BL220" t="s">
        <v>4416</v>
      </c>
      <c r="BM220" t="s">
        <v>4417</v>
      </c>
      <c r="BN220" t="s">
        <v>74</v>
      </c>
      <c r="BO220" t="s">
        <v>74</v>
      </c>
      <c r="BP220" t="s">
        <v>74</v>
      </c>
      <c r="BQ220" t="s">
        <v>74</v>
      </c>
      <c r="BR220" t="s">
        <v>105</v>
      </c>
      <c r="BS220" t="s">
        <v>4461</v>
      </c>
      <c r="BT220" t="str">
        <f>HYPERLINK("https%3A%2F%2Fwww.webofscience.com%2Fwos%2Fwoscc%2Ffull-record%2FWOS:000431852000014","View Full Record in Web of Science")</f>
        <v>View Full Record in Web of Science</v>
      </c>
    </row>
    <row r="221" spans="1:72" x14ac:dyDescent="0.15">
      <c r="A221" t="s">
        <v>72</v>
      </c>
      <c r="B221" t="s">
        <v>4462</v>
      </c>
      <c r="C221" t="s">
        <v>74</v>
      </c>
      <c r="D221" t="s">
        <v>74</v>
      </c>
      <c r="E221" t="s">
        <v>74</v>
      </c>
      <c r="F221" t="s">
        <v>4463</v>
      </c>
      <c r="G221" t="s">
        <v>74</v>
      </c>
      <c r="H221" t="s">
        <v>74</v>
      </c>
      <c r="I221" t="s">
        <v>4464</v>
      </c>
      <c r="J221" t="s">
        <v>4465</v>
      </c>
      <c r="K221" t="s">
        <v>74</v>
      </c>
      <c r="L221" t="s">
        <v>74</v>
      </c>
      <c r="M221" t="s">
        <v>78</v>
      </c>
      <c r="N221" t="s">
        <v>79</v>
      </c>
      <c r="O221" t="s">
        <v>74</v>
      </c>
      <c r="P221" t="s">
        <v>74</v>
      </c>
      <c r="Q221" t="s">
        <v>74</v>
      </c>
      <c r="R221" t="s">
        <v>74</v>
      </c>
      <c r="S221" t="s">
        <v>74</v>
      </c>
      <c r="T221" t="s">
        <v>4466</v>
      </c>
      <c r="U221" t="s">
        <v>4467</v>
      </c>
      <c r="V221" t="s">
        <v>4468</v>
      </c>
      <c r="W221" t="s">
        <v>4469</v>
      </c>
      <c r="X221" t="s">
        <v>2912</v>
      </c>
      <c r="Y221" t="s">
        <v>4470</v>
      </c>
      <c r="Z221" t="s">
        <v>4471</v>
      </c>
      <c r="AA221" t="s">
        <v>4472</v>
      </c>
      <c r="AB221" t="s">
        <v>4473</v>
      </c>
      <c r="AC221" t="s">
        <v>4474</v>
      </c>
      <c r="AD221" t="s">
        <v>4474</v>
      </c>
      <c r="AE221" t="s">
        <v>4475</v>
      </c>
      <c r="AF221" t="s">
        <v>74</v>
      </c>
      <c r="AG221">
        <v>68</v>
      </c>
      <c r="AH221">
        <v>39</v>
      </c>
      <c r="AI221">
        <v>43</v>
      </c>
      <c r="AJ221">
        <v>4</v>
      </c>
      <c r="AK221">
        <v>88</v>
      </c>
      <c r="AL221" t="s">
        <v>1186</v>
      </c>
      <c r="AM221" t="s">
        <v>808</v>
      </c>
      <c r="AN221" t="s">
        <v>1187</v>
      </c>
      <c r="AO221" t="s">
        <v>4476</v>
      </c>
      <c r="AP221" t="s">
        <v>4477</v>
      </c>
      <c r="AQ221" t="s">
        <v>74</v>
      </c>
      <c r="AR221" t="s">
        <v>4478</v>
      </c>
      <c r="AS221" t="s">
        <v>4479</v>
      </c>
      <c r="AT221" t="s">
        <v>2468</v>
      </c>
      <c r="AU221">
        <v>2018</v>
      </c>
      <c r="AV221">
        <v>103</v>
      </c>
      <c r="AW221" t="s">
        <v>74</v>
      </c>
      <c r="AX221" t="s">
        <v>74</v>
      </c>
      <c r="AY221" t="s">
        <v>74</v>
      </c>
      <c r="AZ221" t="s">
        <v>74</v>
      </c>
      <c r="BA221" t="s">
        <v>74</v>
      </c>
      <c r="BB221">
        <v>415</v>
      </c>
      <c r="BC221">
        <v>425</v>
      </c>
      <c r="BD221" t="s">
        <v>74</v>
      </c>
      <c r="BE221" t="s">
        <v>4480</v>
      </c>
      <c r="BF221" t="str">
        <f>HYPERLINK("http://dx.doi.org/10.1016/j.foodres.2017.10.068","http://dx.doi.org/10.1016/j.foodres.2017.10.068")</f>
        <v>http://dx.doi.org/10.1016/j.foodres.2017.10.068</v>
      </c>
      <c r="BG221" t="s">
        <v>74</v>
      </c>
      <c r="BH221" t="s">
        <v>74</v>
      </c>
      <c r="BI221">
        <v>11</v>
      </c>
      <c r="BJ221" t="s">
        <v>4481</v>
      </c>
      <c r="BK221" t="s">
        <v>101</v>
      </c>
      <c r="BL221" t="s">
        <v>4481</v>
      </c>
      <c r="BM221" t="s">
        <v>4482</v>
      </c>
      <c r="BN221">
        <v>29389632</v>
      </c>
      <c r="BO221" t="s">
        <v>74</v>
      </c>
      <c r="BP221" t="s">
        <v>74</v>
      </c>
      <c r="BQ221" t="s">
        <v>74</v>
      </c>
      <c r="BR221" t="s">
        <v>105</v>
      </c>
      <c r="BS221" t="s">
        <v>4483</v>
      </c>
      <c r="BT221" t="str">
        <f>HYPERLINK("https%3A%2F%2Fwww.webofscience.com%2Fwos%2Fwoscc%2Ffull-record%2FWOS:000424176700045","View Full Record in Web of Science")</f>
        <v>View Full Record in Web of Science</v>
      </c>
    </row>
    <row r="222" spans="1:72" x14ac:dyDescent="0.15">
      <c r="A222" t="s">
        <v>72</v>
      </c>
      <c r="B222" t="s">
        <v>4484</v>
      </c>
      <c r="C222" t="s">
        <v>74</v>
      </c>
      <c r="D222" t="s">
        <v>74</v>
      </c>
      <c r="E222" t="s">
        <v>74</v>
      </c>
      <c r="F222" t="s">
        <v>4485</v>
      </c>
      <c r="G222" t="s">
        <v>74</v>
      </c>
      <c r="H222" t="s">
        <v>74</v>
      </c>
      <c r="I222" t="s">
        <v>4486</v>
      </c>
      <c r="J222" t="s">
        <v>4487</v>
      </c>
      <c r="K222" t="s">
        <v>74</v>
      </c>
      <c r="L222" t="s">
        <v>74</v>
      </c>
      <c r="M222" t="s">
        <v>78</v>
      </c>
      <c r="N222" t="s">
        <v>79</v>
      </c>
      <c r="O222" t="s">
        <v>74</v>
      </c>
      <c r="P222" t="s">
        <v>74</v>
      </c>
      <c r="Q222" t="s">
        <v>74</v>
      </c>
      <c r="R222" t="s">
        <v>74</v>
      </c>
      <c r="S222" t="s">
        <v>74</v>
      </c>
      <c r="T222" t="s">
        <v>74</v>
      </c>
      <c r="U222" t="s">
        <v>4488</v>
      </c>
      <c r="V222" t="s">
        <v>4489</v>
      </c>
      <c r="W222" t="s">
        <v>4490</v>
      </c>
      <c r="X222" t="s">
        <v>4491</v>
      </c>
      <c r="Y222" t="s">
        <v>4492</v>
      </c>
      <c r="Z222" t="s">
        <v>4493</v>
      </c>
      <c r="AA222" t="s">
        <v>4494</v>
      </c>
      <c r="AB222" t="s">
        <v>4495</v>
      </c>
      <c r="AC222" t="s">
        <v>4496</v>
      </c>
      <c r="AD222" t="s">
        <v>4497</v>
      </c>
      <c r="AE222" t="s">
        <v>4498</v>
      </c>
      <c r="AF222" t="s">
        <v>74</v>
      </c>
      <c r="AG222">
        <v>12</v>
      </c>
      <c r="AH222">
        <v>1</v>
      </c>
      <c r="AI222">
        <v>1</v>
      </c>
      <c r="AJ222">
        <v>0</v>
      </c>
      <c r="AK222">
        <v>0</v>
      </c>
      <c r="AL222" t="s">
        <v>3879</v>
      </c>
      <c r="AM222" t="s">
        <v>272</v>
      </c>
      <c r="AN222" t="s">
        <v>3880</v>
      </c>
      <c r="AO222" t="s">
        <v>74</v>
      </c>
      <c r="AP222" t="s">
        <v>4499</v>
      </c>
      <c r="AQ222" t="s">
        <v>74</v>
      </c>
      <c r="AR222" t="s">
        <v>4487</v>
      </c>
      <c r="AS222" t="s">
        <v>4500</v>
      </c>
      <c r="AT222" t="s">
        <v>2468</v>
      </c>
      <c r="AU222">
        <v>2018</v>
      </c>
      <c r="AV222">
        <v>6</v>
      </c>
      <c r="AW222">
        <v>1</v>
      </c>
      <c r="AX222" t="s">
        <v>74</v>
      </c>
      <c r="AY222" t="s">
        <v>74</v>
      </c>
      <c r="AZ222" t="s">
        <v>74</v>
      </c>
      <c r="BA222" t="s">
        <v>74</v>
      </c>
      <c r="BB222" t="s">
        <v>74</v>
      </c>
      <c r="BC222" t="s">
        <v>74</v>
      </c>
      <c r="BD222" t="s">
        <v>4501</v>
      </c>
      <c r="BE222" t="s">
        <v>4502</v>
      </c>
      <c r="BF222" t="str">
        <f>HYPERLINK("http://dx.doi.org/10.1128/genomeA.01404-17","http://dx.doi.org/10.1128/genomeA.01404-17")</f>
        <v>http://dx.doi.org/10.1128/genomeA.01404-17</v>
      </c>
      <c r="BG222" t="s">
        <v>74</v>
      </c>
      <c r="BH222" t="s">
        <v>74</v>
      </c>
      <c r="BI222">
        <v>2</v>
      </c>
      <c r="BJ222" t="s">
        <v>3806</v>
      </c>
      <c r="BK222" t="s">
        <v>2081</v>
      </c>
      <c r="BL222" t="s">
        <v>3806</v>
      </c>
      <c r="BM222" t="s">
        <v>4503</v>
      </c>
      <c r="BN222">
        <v>29301884</v>
      </c>
      <c r="BO222" t="s">
        <v>494</v>
      </c>
      <c r="BP222" t="s">
        <v>74</v>
      </c>
      <c r="BQ222" t="s">
        <v>74</v>
      </c>
      <c r="BR222" t="s">
        <v>105</v>
      </c>
      <c r="BS222" t="s">
        <v>4504</v>
      </c>
      <c r="BT222" t="str">
        <f>HYPERLINK("https%3A%2F%2Fwww.webofscience.com%2Fwos%2Fwoscc%2Ffull-record%2FWOS:000452302400020","View Full Record in Web of Science")</f>
        <v>View Full Record in Web of Science</v>
      </c>
    </row>
    <row r="223" spans="1:72" x14ac:dyDescent="0.15">
      <c r="A223" t="s">
        <v>72</v>
      </c>
      <c r="B223" t="s">
        <v>4505</v>
      </c>
      <c r="C223" t="s">
        <v>74</v>
      </c>
      <c r="D223" t="s">
        <v>74</v>
      </c>
      <c r="E223" t="s">
        <v>74</v>
      </c>
      <c r="F223" t="s">
        <v>4506</v>
      </c>
      <c r="G223" t="s">
        <v>74</v>
      </c>
      <c r="H223" t="s">
        <v>74</v>
      </c>
      <c r="I223" t="s">
        <v>4507</v>
      </c>
      <c r="J223" t="s">
        <v>1126</v>
      </c>
      <c r="K223" t="s">
        <v>74</v>
      </c>
      <c r="L223" t="s">
        <v>74</v>
      </c>
      <c r="M223" t="s">
        <v>78</v>
      </c>
      <c r="N223" t="s">
        <v>79</v>
      </c>
      <c r="O223" t="s">
        <v>74</v>
      </c>
      <c r="P223" t="s">
        <v>74</v>
      </c>
      <c r="Q223" t="s">
        <v>74</v>
      </c>
      <c r="R223" t="s">
        <v>74</v>
      </c>
      <c r="S223" t="s">
        <v>74</v>
      </c>
      <c r="T223" t="s">
        <v>4508</v>
      </c>
      <c r="U223" t="s">
        <v>4509</v>
      </c>
      <c r="V223" t="s">
        <v>4510</v>
      </c>
      <c r="W223" t="s">
        <v>4511</v>
      </c>
      <c r="X223" t="s">
        <v>4512</v>
      </c>
      <c r="Y223" t="s">
        <v>4513</v>
      </c>
      <c r="Z223" t="s">
        <v>4514</v>
      </c>
      <c r="AA223" t="s">
        <v>4515</v>
      </c>
      <c r="AB223" t="s">
        <v>4516</v>
      </c>
      <c r="AC223" t="s">
        <v>4517</v>
      </c>
      <c r="AD223" t="s">
        <v>4518</v>
      </c>
      <c r="AE223" t="s">
        <v>4519</v>
      </c>
      <c r="AF223" t="s">
        <v>74</v>
      </c>
      <c r="AG223">
        <v>75</v>
      </c>
      <c r="AH223">
        <v>11</v>
      </c>
      <c r="AI223">
        <v>13</v>
      </c>
      <c r="AJ223">
        <v>0</v>
      </c>
      <c r="AK223">
        <v>32</v>
      </c>
      <c r="AL223" t="s">
        <v>1139</v>
      </c>
      <c r="AM223" t="s">
        <v>1140</v>
      </c>
      <c r="AN223" t="s">
        <v>1141</v>
      </c>
      <c r="AO223" t="s">
        <v>1142</v>
      </c>
      <c r="AP223" t="s">
        <v>1143</v>
      </c>
      <c r="AQ223" t="s">
        <v>74</v>
      </c>
      <c r="AR223" t="s">
        <v>1144</v>
      </c>
      <c r="AS223" t="s">
        <v>1145</v>
      </c>
      <c r="AT223" t="s">
        <v>4251</v>
      </c>
      <c r="AU223">
        <v>2018</v>
      </c>
      <c r="AV223">
        <v>220</v>
      </c>
      <c r="AW223" t="s">
        <v>74</v>
      </c>
      <c r="AX223" t="s">
        <v>74</v>
      </c>
      <c r="AY223" t="s">
        <v>74</v>
      </c>
      <c r="AZ223" t="s">
        <v>74</v>
      </c>
      <c r="BA223" t="s">
        <v>74</v>
      </c>
      <c r="BB223">
        <v>55</v>
      </c>
      <c r="BC223">
        <v>70</v>
      </c>
      <c r="BD223" t="s">
        <v>74</v>
      </c>
      <c r="BE223" t="s">
        <v>4520</v>
      </c>
      <c r="BF223" t="str">
        <f>HYPERLINK("http://dx.doi.org/10.1016/j.gca.2017.09.037","http://dx.doi.org/10.1016/j.gca.2017.09.037")</f>
        <v>http://dx.doi.org/10.1016/j.gca.2017.09.037</v>
      </c>
      <c r="BG223" t="s">
        <v>74</v>
      </c>
      <c r="BH223" t="s">
        <v>74</v>
      </c>
      <c r="BI223">
        <v>16</v>
      </c>
      <c r="BJ223" t="s">
        <v>1148</v>
      </c>
      <c r="BK223" t="s">
        <v>101</v>
      </c>
      <c r="BL223" t="s">
        <v>1148</v>
      </c>
      <c r="BM223" t="s">
        <v>4521</v>
      </c>
      <c r="BN223" t="s">
        <v>74</v>
      </c>
      <c r="BO223" t="s">
        <v>542</v>
      </c>
      <c r="BP223" t="s">
        <v>74</v>
      </c>
      <c r="BQ223" t="s">
        <v>74</v>
      </c>
      <c r="BR223" t="s">
        <v>105</v>
      </c>
      <c r="BS223" t="s">
        <v>4522</v>
      </c>
      <c r="BT223" t="str">
        <f>HYPERLINK("https%3A%2F%2Fwww.webofscience.com%2Fwos%2Fwoscc%2Ffull-record%2FWOS:000416502300004","View Full Record in Web of Science")</f>
        <v>View Full Record in Web of Science</v>
      </c>
    </row>
    <row r="224" spans="1:72" x14ac:dyDescent="0.15">
      <c r="A224" t="s">
        <v>72</v>
      </c>
      <c r="B224" t="s">
        <v>4523</v>
      </c>
      <c r="C224" t="s">
        <v>74</v>
      </c>
      <c r="D224" t="s">
        <v>74</v>
      </c>
      <c r="E224" t="s">
        <v>74</v>
      </c>
      <c r="F224" t="s">
        <v>4524</v>
      </c>
      <c r="G224" t="s">
        <v>74</v>
      </c>
      <c r="H224" t="s">
        <v>74</v>
      </c>
      <c r="I224" t="s">
        <v>4525</v>
      </c>
      <c r="J224" t="s">
        <v>4526</v>
      </c>
      <c r="K224" t="s">
        <v>74</v>
      </c>
      <c r="L224" t="s">
        <v>74</v>
      </c>
      <c r="M224" t="s">
        <v>78</v>
      </c>
      <c r="N224" t="s">
        <v>79</v>
      </c>
      <c r="O224" t="s">
        <v>74</v>
      </c>
      <c r="P224" t="s">
        <v>74</v>
      </c>
      <c r="Q224" t="s">
        <v>74</v>
      </c>
      <c r="R224" t="s">
        <v>74</v>
      </c>
      <c r="S224" t="s">
        <v>74</v>
      </c>
      <c r="T224" t="s">
        <v>4527</v>
      </c>
      <c r="U224" t="s">
        <v>4528</v>
      </c>
      <c r="V224" t="s">
        <v>4529</v>
      </c>
      <c r="W224" t="s">
        <v>4530</v>
      </c>
      <c r="X224" t="s">
        <v>4531</v>
      </c>
      <c r="Y224" t="s">
        <v>4532</v>
      </c>
      <c r="Z224" t="s">
        <v>4533</v>
      </c>
      <c r="AA224" t="s">
        <v>74</v>
      </c>
      <c r="AB224" t="s">
        <v>4534</v>
      </c>
      <c r="AC224" t="s">
        <v>4535</v>
      </c>
      <c r="AD224" t="s">
        <v>4536</v>
      </c>
      <c r="AE224" t="s">
        <v>4537</v>
      </c>
      <c r="AF224" t="s">
        <v>74</v>
      </c>
      <c r="AG224">
        <v>91</v>
      </c>
      <c r="AH224">
        <v>6</v>
      </c>
      <c r="AI224">
        <v>6</v>
      </c>
      <c r="AJ224">
        <v>1</v>
      </c>
      <c r="AK224">
        <v>17</v>
      </c>
      <c r="AL224" t="s">
        <v>1700</v>
      </c>
      <c r="AM224" t="s">
        <v>1701</v>
      </c>
      <c r="AN224" t="s">
        <v>1702</v>
      </c>
      <c r="AO224" t="s">
        <v>4538</v>
      </c>
      <c r="AP224" t="s">
        <v>4539</v>
      </c>
      <c r="AQ224" t="s">
        <v>74</v>
      </c>
      <c r="AR224" t="s">
        <v>4540</v>
      </c>
      <c r="AS224" t="s">
        <v>4541</v>
      </c>
      <c r="AT224" t="s">
        <v>74</v>
      </c>
      <c r="AU224">
        <v>2018</v>
      </c>
      <c r="AV224">
        <v>100</v>
      </c>
      <c r="AW224">
        <v>4</v>
      </c>
      <c r="AX224" t="s">
        <v>74</v>
      </c>
      <c r="AY224" t="s">
        <v>74</v>
      </c>
      <c r="AZ224" t="s">
        <v>74</v>
      </c>
      <c r="BA224" t="s">
        <v>74</v>
      </c>
      <c r="BB224">
        <v>351</v>
      </c>
      <c r="BC224">
        <v>369</v>
      </c>
      <c r="BD224" t="s">
        <v>74</v>
      </c>
      <c r="BE224" t="s">
        <v>4542</v>
      </c>
      <c r="BF224" t="str">
        <f>HYPERLINK("http://dx.doi.org/10.1080/04353676.2018.1522958","http://dx.doi.org/10.1080/04353676.2018.1522958")</f>
        <v>http://dx.doi.org/10.1080/04353676.2018.1522958</v>
      </c>
      <c r="BG224" t="s">
        <v>74</v>
      </c>
      <c r="BH224" t="s">
        <v>74</v>
      </c>
      <c r="BI224">
        <v>19</v>
      </c>
      <c r="BJ224" t="s">
        <v>4543</v>
      </c>
      <c r="BK224" t="s">
        <v>101</v>
      </c>
      <c r="BL224" t="s">
        <v>234</v>
      </c>
      <c r="BM224" t="s">
        <v>4544</v>
      </c>
      <c r="BN224" t="s">
        <v>74</v>
      </c>
      <c r="BO224" t="s">
        <v>74</v>
      </c>
      <c r="BP224" t="s">
        <v>74</v>
      </c>
      <c r="BQ224" t="s">
        <v>74</v>
      </c>
      <c r="BR224" t="s">
        <v>105</v>
      </c>
      <c r="BS224" t="s">
        <v>4545</v>
      </c>
      <c r="BT224" t="str">
        <f>HYPERLINK("https%3A%2F%2Fwww.webofscience.com%2Fwos%2Fwoscc%2Ffull-record%2FWOS:000451720600003","View Full Record in Web of Science")</f>
        <v>View Full Record in Web of Science</v>
      </c>
    </row>
    <row r="225" spans="1:72" x14ac:dyDescent="0.15">
      <c r="A225" t="s">
        <v>72</v>
      </c>
      <c r="B225" t="s">
        <v>4546</v>
      </c>
      <c r="C225" t="s">
        <v>74</v>
      </c>
      <c r="D225" t="s">
        <v>74</v>
      </c>
      <c r="E225" t="s">
        <v>74</v>
      </c>
      <c r="F225" t="s">
        <v>4547</v>
      </c>
      <c r="G225" t="s">
        <v>74</v>
      </c>
      <c r="H225" t="s">
        <v>74</v>
      </c>
      <c r="I225" t="s">
        <v>4548</v>
      </c>
      <c r="J225" t="s">
        <v>4549</v>
      </c>
      <c r="K225" t="s">
        <v>74</v>
      </c>
      <c r="L225" t="s">
        <v>74</v>
      </c>
      <c r="M225" t="s">
        <v>78</v>
      </c>
      <c r="N225" t="s">
        <v>79</v>
      </c>
      <c r="O225" t="s">
        <v>74</v>
      </c>
      <c r="P225" t="s">
        <v>74</v>
      </c>
      <c r="Q225" t="s">
        <v>74</v>
      </c>
      <c r="R225" t="s">
        <v>74</v>
      </c>
      <c r="S225" t="s">
        <v>74</v>
      </c>
      <c r="T225" t="s">
        <v>4550</v>
      </c>
      <c r="U225" t="s">
        <v>4551</v>
      </c>
      <c r="V225" t="s">
        <v>4552</v>
      </c>
      <c r="W225" t="s">
        <v>4553</v>
      </c>
      <c r="X225" t="s">
        <v>4554</v>
      </c>
      <c r="Y225" t="s">
        <v>4555</v>
      </c>
      <c r="Z225" t="s">
        <v>4556</v>
      </c>
      <c r="AA225" t="s">
        <v>4557</v>
      </c>
      <c r="AB225" t="s">
        <v>74</v>
      </c>
      <c r="AC225" t="s">
        <v>4558</v>
      </c>
      <c r="AD225" t="s">
        <v>4559</v>
      </c>
      <c r="AE225" t="s">
        <v>4560</v>
      </c>
      <c r="AF225" t="s">
        <v>74</v>
      </c>
      <c r="AG225">
        <v>119</v>
      </c>
      <c r="AH225">
        <v>1</v>
      </c>
      <c r="AI225">
        <v>2</v>
      </c>
      <c r="AJ225">
        <v>0</v>
      </c>
      <c r="AK225">
        <v>4</v>
      </c>
      <c r="AL225" t="s">
        <v>4561</v>
      </c>
      <c r="AM225" t="s">
        <v>3248</v>
      </c>
      <c r="AN225" t="s">
        <v>4562</v>
      </c>
      <c r="AO225" t="s">
        <v>4563</v>
      </c>
      <c r="AP225" t="s">
        <v>4564</v>
      </c>
      <c r="AQ225" t="s">
        <v>74</v>
      </c>
      <c r="AR225" t="s">
        <v>4565</v>
      </c>
      <c r="AS225" t="s">
        <v>4566</v>
      </c>
      <c r="AT225" t="s">
        <v>74</v>
      </c>
      <c r="AU225">
        <v>2018</v>
      </c>
      <c r="AV225">
        <v>62</v>
      </c>
      <c r="AW225">
        <v>3</v>
      </c>
      <c r="AX225" t="s">
        <v>74</v>
      </c>
      <c r="AY225" t="s">
        <v>74</v>
      </c>
      <c r="AZ225" t="s">
        <v>74</v>
      </c>
      <c r="BA225" t="s">
        <v>74</v>
      </c>
      <c r="BB225">
        <v>705</v>
      </c>
      <c r="BC225">
        <v>728</v>
      </c>
      <c r="BD225" t="s">
        <v>74</v>
      </c>
      <c r="BE225" t="s">
        <v>4567</v>
      </c>
      <c r="BF225" t="str">
        <f>HYPERLINK("http://dx.doi.org/10.7306/gq.1432","http://dx.doi.org/10.7306/gq.1432")</f>
        <v>http://dx.doi.org/10.7306/gq.1432</v>
      </c>
      <c r="BG225" t="s">
        <v>74</v>
      </c>
      <c r="BH225" t="s">
        <v>74</v>
      </c>
      <c r="BI225">
        <v>24</v>
      </c>
      <c r="BJ225" t="s">
        <v>281</v>
      </c>
      <c r="BK225" t="s">
        <v>101</v>
      </c>
      <c r="BL225" t="s">
        <v>281</v>
      </c>
      <c r="BM225" t="s">
        <v>4568</v>
      </c>
      <c r="BN225" t="s">
        <v>74</v>
      </c>
      <c r="BO225" t="s">
        <v>160</v>
      </c>
      <c r="BP225" t="s">
        <v>74</v>
      </c>
      <c r="BQ225" t="s">
        <v>74</v>
      </c>
      <c r="BR225" t="s">
        <v>105</v>
      </c>
      <c r="BS225" t="s">
        <v>4569</v>
      </c>
      <c r="BT225" t="str">
        <f>HYPERLINK("https%3A%2F%2Fwww.webofscience.com%2Fwos%2Fwoscc%2Ffull-record%2FWOS:000451788200017","View Full Record in Web of Science")</f>
        <v>View Full Record in Web of Science</v>
      </c>
    </row>
    <row r="226" spans="1:72" x14ac:dyDescent="0.15">
      <c r="A226" t="s">
        <v>72</v>
      </c>
      <c r="B226" t="s">
        <v>4570</v>
      </c>
      <c r="C226" t="s">
        <v>74</v>
      </c>
      <c r="D226" t="s">
        <v>74</v>
      </c>
      <c r="E226" t="s">
        <v>74</v>
      </c>
      <c r="F226" t="s">
        <v>4571</v>
      </c>
      <c r="G226" t="s">
        <v>74</v>
      </c>
      <c r="H226" t="s">
        <v>74</v>
      </c>
      <c r="I226" t="s">
        <v>4572</v>
      </c>
      <c r="J226" t="s">
        <v>4573</v>
      </c>
      <c r="K226" t="s">
        <v>74</v>
      </c>
      <c r="L226" t="s">
        <v>74</v>
      </c>
      <c r="M226" t="s">
        <v>78</v>
      </c>
      <c r="N226" t="s">
        <v>79</v>
      </c>
      <c r="O226" t="s">
        <v>74</v>
      </c>
      <c r="P226" t="s">
        <v>74</v>
      </c>
      <c r="Q226" t="s">
        <v>74</v>
      </c>
      <c r="R226" t="s">
        <v>74</v>
      </c>
      <c r="S226" t="s">
        <v>74</v>
      </c>
      <c r="T226" t="s">
        <v>74</v>
      </c>
      <c r="U226" t="s">
        <v>4574</v>
      </c>
      <c r="V226" t="s">
        <v>4575</v>
      </c>
      <c r="W226" t="s">
        <v>4576</v>
      </c>
      <c r="X226" t="s">
        <v>4577</v>
      </c>
      <c r="Y226" t="s">
        <v>4578</v>
      </c>
      <c r="Z226" t="s">
        <v>4579</v>
      </c>
      <c r="AA226" t="s">
        <v>4580</v>
      </c>
      <c r="AB226" t="s">
        <v>4581</v>
      </c>
      <c r="AC226" t="s">
        <v>4582</v>
      </c>
      <c r="AD226" t="s">
        <v>4583</v>
      </c>
      <c r="AE226" t="s">
        <v>4584</v>
      </c>
      <c r="AF226" t="s">
        <v>74</v>
      </c>
      <c r="AG226">
        <v>36</v>
      </c>
      <c r="AH226">
        <v>43</v>
      </c>
      <c r="AI226">
        <v>49</v>
      </c>
      <c r="AJ226">
        <v>0</v>
      </c>
      <c r="AK226">
        <v>26</v>
      </c>
      <c r="AL226" t="s">
        <v>4585</v>
      </c>
      <c r="AM226" t="s">
        <v>1649</v>
      </c>
      <c r="AN226" t="s">
        <v>4586</v>
      </c>
      <c r="AO226" t="s">
        <v>4587</v>
      </c>
      <c r="AP226" t="s">
        <v>4588</v>
      </c>
      <c r="AQ226" t="s">
        <v>74</v>
      </c>
      <c r="AR226" t="s">
        <v>4573</v>
      </c>
      <c r="AS226" t="s">
        <v>281</v>
      </c>
      <c r="AT226" t="s">
        <v>2468</v>
      </c>
      <c r="AU226">
        <v>2018</v>
      </c>
      <c r="AV226">
        <v>46</v>
      </c>
      <c r="AW226">
        <v>1</v>
      </c>
      <c r="AX226" t="s">
        <v>74</v>
      </c>
      <c r="AY226" t="s">
        <v>74</v>
      </c>
      <c r="AZ226" t="s">
        <v>74</v>
      </c>
      <c r="BA226" t="s">
        <v>74</v>
      </c>
      <c r="BB226">
        <v>71</v>
      </c>
      <c r="BC226">
        <v>74</v>
      </c>
      <c r="BD226" t="s">
        <v>74</v>
      </c>
      <c r="BE226" t="s">
        <v>4589</v>
      </c>
      <c r="BF226" t="str">
        <f>HYPERLINK("http://dx.doi.org/10.1130/G39555.1","http://dx.doi.org/10.1130/G39555.1")</f>
        <v>http://dx.doi.org/10.1130/G39555.1</v>
      </c>
      <c r="BG226" t="s">
        <v>74</v>
      </c>
      <c r="BH226" t="s">
        <v>74</v>
      </c>
      <c r="BI226">
        <v>4</v>
      </c>
      <c r="BJ226" t="s">
        <v>281</v>
      </c>
      <c r="BK226" t="s">
        <v>101</v>
      </c>
      <c r="BL226" t="s">
        <v>281</v>
      </c>
      <c r="BM226" t="s">
        <v>4590</v>
      </c>
      <c r="BN226" t="s">
        <v>74</v>
      </c>
      <c r="BO226" t="s">
        <v>74</v>
      </c>
      <c r="BP226" t="s">
        <v>74</v>
      </c>
      <c r="BQ226" t="s">
        <v>74</v>
      </c>
      <c r="BR226" t="s">
        <v>105</v>
      </c>
      <c r="BS226" t="s">
        <v>4591</v>
      </c>
      <c r="BT226" t="str">
        <f>HYPERLINK("https%3A%2F%2Fwww.webofscience.com%2Fwos%2Fwoscc%2Ffull-record%2FWOS:000418589600018","View Full Record in Web of Science")</f>
        <v>View Full Record in Web of Science</v>
      </c>
    </row>
    <row r="227" spans="1:72" x14ac:dyDescent="0.15">
      <c r="A227" t="s">
        <v>1776</v>
      </c>
      <c r="B227" t="s">
        <v>4592</v>
      </c>
      <c r="C227" t="s">
        <v>74</v>
      </c>
      <c r="D227" t="s">
        <v>4593</v>
      </c>
      <c r="E227" t="s">
        <v>74</v>
      </c>
      <c r="F227" t="s">
        <v>4594</v>
      </c>
      <c r="G227" t="s">
        <v>74</v>
      </c>
      <c r="H227" t="s">
        <v>74</v>
      </c>
      <c r="I227" t="s">
        <v>4595</v>
      </c>
      <c r="J227" t="s">
        <v>4596</v>
      </c>
      <c r="K227" t="s">
        <v>2808</v>
      </c>
      <c r="L227" t="s">
        <v>74</v>
      </c>
      <c r="M227" t="s">
        <v>78</v>
      </c>
      <c r="N227" t="s">
        <v>1782</v>
      </c>
      <c r="O227" t="s">
        <v>4597</v>
      </c>
      <c r="P227" t="s">
        <v>4598</v>
      </c>
      <c r="Q227" t="s">
        <v>4599</v>
      </c>
      <c r="R227" t="s">
        <v>74</v>
      </c>
      <c r="S227" t="s">
        <v>74</v>
      </c>
      <c r="T227" t="s">
        <v>4600</v>
      </c>
      <c r="U227" t="s">
        <v>74</v>
      </c>
      <c r="V227" t="s">
        <v>4601</v>
      </c>
      <c r="W227" t="s">
        <v>4602</v>
      </c>
      <c r="X227" t="s">
        <v>74</v>
      </c>
      <c r="Y227" t="s">
        <v>4603</v>
      </c>
      <c r="Z227" t="s">
        <v>74</v>
      </c>
      <c r="AA227" t="s">
        <v>74</v>
      </c>
      <c r="AB227" t="s">
        <v>74</v>
      </c>
      <c r="AC227" t="s">
        <v>74</v>
      </c>
      <c r="AD227" t="s">
        <v>74</v>
      </c>
      <c r="AE227" t="s">
        <v>74</v>
      </c>
      <c r="AF227" t="s">
        <v>74</v>
      </c>
      <c r="AG227">
        <v>0</v>
      </c>
      <c r="AH227">
        <v>0</v>
      </c>
      <c r="AI227">
        <v>0</v>
      </c>
      <c r="AJ227">
        <v>0</v>
      </c>
      <c r="AK227">
        <v>7</v>
      </c>
      <c r="AL227" t="s">
        <v>2821</v>
      </c>
      <c r="AM227" t="s">
        <v>2822</v>
      </c>
      <c r="AN227" t="s">
        <v>2823</v>
      </c>
      <c r="AO227" t="s">
        <v>2824</v>
      </c>
      <c r="AP227" t="s">
        <v>2825</v>
      </c>
      <c r="AQ227" t="s">
        <v>4604</v>
      </c>
      <c r="AR227" t="s">
        <v>2827</v>
      </c>
      <c r="AS227" t="s">
        <v>74</v>
      </c>
      <c r="AT227" t="s">
        <v>74</v>
      </c>
      <c r="AU227">
        <v>2018</v>
      </c>
      <c r="AV227">
        <v>10702</v>
      </c>
      <c r="AW227" t="s">
        <v>74</v>
      </c>
      <c r="AX227" t="s">
        <v>74</v>
      </c>
      <c r="AY227" t="s">
        <v>74</v>
      </c>
      <c r="AZ227" t="s">
        <v>74</v>
      </c>
      <c r="BA227" t="s">
        <v>74</v>
      </c>
      <c r="BB227" t="s">
        <v>74</v>
      </c>
      <c r="BC227" t="s">
        <v>74</v>
      </c>
      <c r="BD227" t="s">
        <v>4605</v>
      </c>
      <c r="BE227" t="s">
        <v>4606</v>
      </c>
      <c r="BF227" t="str">
        <f>HYPERLINK("http://dx.doi.org/10.1117/12.2310135","http://dx.doi.org/10.1117/12.2310135")</f>
        <v>http://dx.doi.org/10.1117/12.2310135</v>
      </c>
      <c r="BG227" t="s">
        <v>74</v>
      </c>
      <c r="BH227" t="s">
        <v>74</v>
      </c>
      <c r="BI227">
        <v>15</v>
      </c>
      <c r="BJ227" t="s">
        <v>4607</v>
      </c>
      <c r="BK227" t="s">
        <v>1801</v>
      </c>
      <c r="BL227" t="s">
        <v>4607</v>
      </c>
      <c r="BM227" t="s">
        <v>4608</v>
      </c>
      <c r="BN227" t="s">
        <v>74</v>
      </c>
      <c r="BO227" t="s">
        <v>74</v>
      </c>
      <c r="BP227" t="s">
        <v>74</v>
      </c>
      <c r="BQ227" t="s">
        <v>74</v>
      </c>
      <c r="BR227" t="s">
        <v>105</v>
      </c>
      <c r="BS227" t="s">
        <v>4609</v>
      </c>
      <c r="BT227" t="str">
        <f>HYPERLINK("https%3A%2F%2Fwww.webofscience.com%2Fwos%2Fwoscc%2Ffull-record%2FWOS:000452664300144","View Full Record in Web of Science")</f>
        <v>View Full Record in Web of Science</v>
      </c>
    </row>
    <row r="228" spans="1:72" x14ac:dyDescent="0.15">
      <c r="A228" t="s">
        <v>1776</v>
      </c>
      <c r="B228" t="s">
        <v>4610</v>
      </c>
      <c r="C228" t="s">
        <v>74</v>
      </c>
      <c r="D228" t="s">
        <v>4593</v>
      </c>
      <c r="E228" t="s">
        <v>74</v>
      </c>
      <c r="F228" t="s">
        <v>4611</v>
      </c>
      <c r="G228" t="s">
        <v>74</v>
      </c>
      <c r="H228" t="s">
        <v>74</v>
      </c>
      <c r="I228" t="s">
        <v>4612</v>
      </c>
      <c r="J228" t="s">
        <v>4596</v>
      </c>
      <c r="K228" t="s">
        <v>2808</v>
      </c>
      <c r="L228" t="s">
        <v>74</v>
      </c>
      <c r="M228" t="s">
        <v>78</v>
      </c>
      <c r="N228" t="s">
        <v>1782</v>
      </c>
      <c r="O228" t="s">
        <v>4597</v>
      </c>
      <c r="P228" t="s">
        <v>4598</v>
      </c>
      <c r="Q228" t="s">
        <v>4599</v>
      </c>
      <c r="R228" t="s">
        <v>74</v>
      </c>
      <c r="S228" t="s">
        <v>74</v>
      </c>
      <c r="T228" t="s">
        <v>4613</v>
      </c>
      <c r="U228" t="s">
        <v>74</v>
      </c>
      <c r="V228" t="s">
        <v>4614</v>
      </c>
      <c r="W228" t="s">
        <v>4615</v>
      </c>
      <c r="X228" t="s">
        <v>4616</v>
      </c>
      <c r="Y228" t="s">
        <v>4617</v>
      </c>
      <c r="Z228" t="s">
        <v>4618</v>
      </c>
      <c r="AA228" t="s">
        <v>4619</v>
      </c>
      <c r="AB228" t="s">
        <v>4620</v>
      </c>
      <c r="AC228" t="s">
        <v>74</v>
      </c>
      <c r="AD228" t="s">
        <v>74</v>
      </c>
      <c r="AE228" t="s">
        <v>74</v>
      </c>
      <c r="AF228" t="s">
        <v>74</v>
      </c>
      <c r="AG228">
        <v>5</v>
      </c>
      <c r="AH228">
        <v>0</v>
      </c>
      <c r="AI228">
        <v>0</v>
      </c>
      <c r="AJ228">
        <v>1</v>
      </c>
      <c r="AK228">
        <v>3</v>
      </c>
      <c r="AL228" t="s">
        <v>2821</v>
      </c>
      <c r="AM228" t="s">
        <v>2822</v>
      </c>
      <c r="AN228" t="s">
        <v>2823</v>
      </c>
      <c r="AO228" t="s">
        <v>2824</v>
      </c>
      <c r="AP228" t="s">
        <v>2825</v>
      </c>
      <c r="AQ228" t="s">
        <v>4604</v>
      </c>
      <c r="AR228" t="s">
        <v>2827</v>
      </c>
      <c r="AS228" t="s">
        <v>74</v>
      </c>
      <c r="AT228" t="s">
        <v>74</v>
      </c>
      <c r="AU228">
        <v>2018</v>
      </c>
      <c r="AV228">
        <v>10702</v>
      </c>
      <c r="AW228" t="s">
        <v>74</v>
      </c>
      <c r="AX228" t="s">
        <v>74</v>
      </c>
      <c r="AY228" t="s">
        <v>74</v>
      </c>
      <c r="AZ228" t="s">
        <v>74</v>
      </c>
      <c r="BA228" t="s">
        <v>74</v>
      </c>
      <c r="BB228" t="s">
        <v>74</v>
      </c>
      <c r="BC228" t="s">
        <v>74</v>
      </c>
      <c r="BD228" t="s">
        <v>4621</v>
      </c>
      <c r="BE228" t="s">
        <v>4622</v>
      </c>
      <c r="BF228" t="str">
        <f>HYPERLINK("http://dx.doi.org/10.1117/12.2313064","http://dx.doi.org/10.1117/12.2313064")</f>
        <v>http://dx.doi.org/10.1117/12.2313064</v>
      </c>
      <c r="BG228" t="s">
        <v>74</v>
      </c>
      <c r="BH228" t="s">
        <v>74</v>
      </c>
      <c r="BI228">
        <v>12</v>
      </c>
      <c r="BJ228" t="s">
        <v>4607</v>
      </c>
      <c r="BK228" t="s">
        <v>1801</v>
      </c>
      <c r="BL228" t="s">
        <v>4607</v>
      </c>
      <c r="BM228" t="s">
        <v>4608</v>
      </c>
      <c r="BN228" t="s">
        <v>74</v>
      </c>
      <c r="BO228" t="s">
        <v>74</v>
      </c>
      <c r="BP228" t="s">
        <v>74</v>
      </c>
      <c r="BQ228" t="s">
        <v>74</v>
      </c>
      <c r="BR228" t="s">
        <v>105</v>
      </c>
      <c r="BS228" t="s">
        <v>4623</v>
      </c>
      <c r="BT228" t="str">
        <f>HYPERLINK("https%3A%2F%2Fwww.webofscience.com%2Fwos%2Fwoscc%2Ffull-record%2FWOS:000452664300014","View Full Record in Web of Science")</f>
        <v>View Full Record in Web of Science</v>
      </c>
    </row>
    <row r="229" spans="1:72" x14ac:dyDescent="0.15">
      <c r="A229" t="s">
        <v>72</v>
      </c>
      <c r="B229" t="s">
        <v>4624</v>
      </c>
      <c r="C229" t="s">
        <v>74</v>
      </c>
      <c r="D229" t="s">
        <v>74</v>
      </c>
      <c r="E229" t="s">
        <v>74</v>
      </c>
      <c r="F229" t="s">
        <v>4625</v>
      </c>
      <c r="G229" t="s">
        <v>74</v>
      </c>
      <c r="H229" t="s">
        <v>74</v>
      </c>
      <c r="I229" t="s">
        <v>4626</v>
      </c>
      <c r="J229" t="s">
        <v>4627</v>
      </c>
      <c r="K229" t="s">
        <v>74</v>
      </c>
      <c r="L229" t="s">
        <v>74</v>
      </c>
      <c r="M229" t="s">
        <v>78</v>
      </c>
      <c r="N229" t="s">
        <v>79</v>
      </c>
      <c r="O229" t="s">
        <v>74</v>
      </c>
      <c r="P229" t="s">
        <v>74</v>
      </c>
      <c r="Q229" t="s">
        <v>74</v>
      </c>
      <c r="R229" t="s">
        <v>74</v>
      </c>
      <c r="S229" t="s">
        <v>74</v>
      </c>
      <c r="T229" t="s">
        <v>4628</v>
      </c>
      <c r="U229" t="s">
        <v>4629</v>
      </c>
      <c r="V229" t="s">
        <v>4630</v>
      </c>
      <c r="W229" t="s">
        <v>4631</v>
      </c>
      <c r="X229" t="s">
        <v>4632</v>
      </c>
      <c r="Y229" t="s">
        <v>4633</v>
      </c>
      <c r="Z229" t="s">
        <v>4634</v>
      </c>
      <c r="AA229" t="s">
        <v>4635</v>
      </c>
      <c r="AB229" t="s">
        <v>4636</v>
      </c>
      <c r="AC229" t="s">
        <v>4637</v>
      </c>
      <c r="AD229" t="s">
        <v>4638</v>
      </c>
      <c r="AE229" t="s">
        <v>4639</v>
      </c>
      <c r="AF229" t="s">
        <v>74</v>
      </c>
      <c r="AG229">
        <v>60</v>
      </c>
      <c r="AH229">
        <v>15</v>
      </c>
      <c r="AI229">
        <v>17</v>
      </c>
      <c r="AJ229">
        <v>0</v>
      </c>
      <c r="AK229">
        <v>5</v>
      </c>
      <c r="AL229" t="s">
        <v>4270</v>
      </c>
      <c r="AM229" t="s">
        <v>4271</v>
      </c>
      <c r="AN229" t="s">
        <v>4272</v>
      </c>
      <c r="AO229" t="s">
        <v>4640</v>
      </c>
      <c r="AP229" t="s">
        <v>4641</v>
      </c>
      <c r="AQ229" t="s">
        <v>74</v>
      </c>
      <c r="AR229" t="s">
        <v>4627</v>
      </c>
      <c r="AS229" t="s">
        <v>4642</v>
      </c>
      <c r="AT229" t="s">
        <v>2468</v>
      </c>
      <c r="AU229">
        <v>2018</v>
      </c>
      <c r="AV229">
        <v>160</v>
      </c>
      <c r="AW229">
        <v>1</v>
      </c>
      <c r="AX229" t="s">
        <v>74</v>
      </c>
      <c r="AY229" t="s">
        <v>74</v>
      </c>
      <c r="AZ229" t="s">
        <v>74</v>
      </c>
      <c r="BA229" t="s">
        <v>74</v>
      </c>
      <c r="BB229">
        <v>158</v>
      </c>
      <c r="BC229">
        <v>172</v>
      </c>
      <c r="BD229" t="s">
        <v>74</v>
      </c>
      <c r="BE229" t="s">
        <v>4643</v>
      </c>
      <c r="BF229" t="str">
        <f>HYPERLINK("http://dx.doi.org/10.1111/ibi.12511","http://dx.doi.org/10.1111/ibi.12511")</f>
        <v>http://dx.doi.org/10.1111/ibi.12511</v>
      </c>
      <c r="BG229" t="s">
        <v>74</v>
      </c>
      <c r="BH229" t="s">
        <v>74</v>
      </c>
      <c r="BI229">
        <v>15</v>
      </c>
      <c r="BJ229" t="s">
        <v>4328</v>
      </c>
      <c r="BK229" t="s">
        <v>101</v>
      </c>
      <c r="BL229" t="s">
        <v>655</v>
      </c>
      <c r="BM229" t="s">
        <v>4644</v>
      </c>
      <c r="BN229" t="s">
        <v>74</v>
      </c>
      <c r="BO229" t="s">
        <v>4645</v>
      </c>
      <c r="BP229" t="s">
        <v>74</v>
      </c>
      <c r="BQ229" t="s">
        <v>74</v>
      </c>
      <c r="BR229" t="s">
        <v>105</v>
      </c>
      <c r="BS229" t="s">
        <v>4646</v>
      </c>
      <c r="BT229" t="str">
        <f>HYPERLINK("https%3A%2F%2Fwww.webofscience.com%2Fwos%2Fwoscc%2Ffull-record%2FWOS:000417283100013","View Full Record in Web of Science")</f>
        <v>View Full Record in Web of Science</v>
      </c>
    </row>
    <row r="230" spans="1:72" x14ac:dyDescent="0.15">
      <c r="A230" t="s">
        <v>72</v>
      </c>
      <c r="B230" t="s">
        <v>4647</v>
      </c>
      <c r="C230" t="s">
        <v>74</v>
      </c>
      <c r="D230" t="s">
        <v>74</v>
      </c>
      <c r="E230" t="s">
        <v>74</v>
      </c>
      <c r="F230" t="s">
        <v>4648</v>
      </c>
      <c r="G230" t="s">
        <v>74</v>
      </c>
      <c r="H230" t="s">
        <v>74</v>
      </c>
      <c r="I230" t="s">
        <v>4649</v>
      </c>
      <c r="J230" t="s">
        <v>4650</v>
      </c>
      <c r="K230" t="s">
        <v>74</v>
      </c>
      <c r="L230" t="s">
        <v>74</v>
      </c>
      <c r="M230" t="s">
        <v>78</v>
      </c>
      <c r="N230" t="s">
        <v>79</v>
      </c>
      <c r="O230" t="s">
        <v>74</v>
      </c>
      <c r="P230" t="s">
        <v>74</v>
      </c>
      <c r="Q230" t="s">
        <v>74</v>
      </c>
      <c r="R230" t="s">
        <v>74</v>
      </c>
      <c r="S230" t="s">
        <v>74</v>
      </c>
      <c r="T230" t="s">
        <v>4651</v>
      </c>
      <c r="U230" t="s">
        <v>4652</v>
      </c>
      <c r="V230" t="s">
        <v>4653</v>
      </c>
      <c r="W230" t="s">
        <v>4654</v>
      </c>
      <c r="X230" t="s">
        <v>4655</v>
      </c>
      <c r="Y230" t="s">
        <v>4656</v>
      </c>
      <c r="Z230" t="s">
        <v>4657</v>
      </c>
      <c r="AA230" t="s">
        <v>4658</v>
      </c>
      <c r="AB230" t="s">
        <v>4659</v>
      </c>
      <c r="AC230" t="s">
        <v>4660</v>
      </c>
      <c r="AD230" t="s">
        <v>4661</v>
      </c>
      <c r="AE230" t="s">
        <v>4662</v>
      </c>
      <c r="AF230" t="s">
        <v>74</v>
      </c>
      <c r="AG230">
        <v>203</v>
      </c>
      <c r="AH230">
        <v>53</v>
      </c>
      <c r="AI230">
        <v>57</v>
      </c>
      <c r="AJ230">
        <v>1</v>
      </c>
      <c r="AK230">
        <v>18</v>
      </c>
      <c r="AL230" t="s">
        <v>4663</v>
      </c>
      <c r="AM230" t="s">
        <v>4664</v>
      </c>
      <c r="AN230" t="s">
        <v>4665</v>
      </c>
      <c r="AO230" t="s">
        <v>4666</v>
      </c>
      <c r="AP230" t="s">
        <v>74</v>
      </c>
      <c r="AQ230" t="s">
        <v>74</v>
      </c>
      <c r="AR230" t="s">
        <v>4650</v>
      </c>
      <c r="AS230" t="s">
        <v>4667</v>
      </c>
      <c r="AT230" t="s">
        <v>74</v>
      </c>
      <c r="AU230">
        <v>2018</v>
      </c>
      <c r="AV230">
        <v>6</v>
      </c>
      <c r="AW230" t="s">
        <v>74</v>
      </c>
      <c r="AX230" t="s">
        <v>74</v>
      </c>
      <c r="AY230" t="s">
        <v>74</v>
      </c>
      <c r="AZ230" t="s">
        <v>74</v>
      </c>
      <c r="BA230" t="s">
        <v>74</v>
      </c>
      <c r="BB230">
        <v>13980</v>
      </c>
      <c r="BC230">
        <v>14018</v>
      </c>
      <c r="BD230" t="s">
        <v>74</v>
      </c>
      <c r="BE230" t="s">
        <v>4668</v>
      </c>
      <c r="BF230" t="str">
        <f>HYPERLINK("http://dx.doi.org/10.1109/ACCESS.2018.2814072","http://dx.doi.org/10.1109/ACCESS.2018.2814072")</f>
        <v>http://dx.doi.org/10.1109/ACCESS.2018.2814072</v>
      </c>
      <c r="BG230" t="s">
        <v>74</v>
      </c>
      <c r="BH230" t="s">
        <v>74</v>
      </c>
      <c r="BI230">
        <v>39</v>
      </c>
      <c r="BJ230" t="s">
        <v>4669</v>
      </c>
      <c r="BK230" t="s">
        <v>101</v>
      </c>
      <c r="BL230" t="s">
        <v>4670</v>
      </c>
      <c r="BM230" t="s">
        <v>4671</v>
      </c>
      <c r="BN230" t="s">
        <v>74</v>
      </c>
      <c r="BO230" t="s">
        <v>4672</v>
      </c>
      <c r="BP230" t="s">
        <v>74</v>
      </c>
      <c r="BQ230" t="s">
        <v>74</v>
      </c>
      <c r="BR230" t="s">
        <v>105</v>
      </c>
      <c r="BS230" t="s">
        <v>4673</v>
      </c>
      <c r="BT230" t="str">
        <f>HYPERLINK("https%3A%2F%2Fwww.webofscience.com%2Fwos%2Fwoscc%2Ffull-record%2FWOS:000429239700001","View Full Record in Web of Science")</f>
        <v>View Full Record in Web of Science</v>
      </c>
    </row>
    <row r="231" spans="1:72" x14ac:dyDescent="0.15">
      <c r="A231" t="s">
        <v>72</v>
      </c>
      <c r="B231" t="s">
        <v>4674</v>
      </c>
      <c r="C231" t="s">
        <v>74</v>
      </c>
      <c r="D231" t="s">
        <v>74</v>
      </c>
      <c r="E231" t="s">
        <v>74</v>
      </c>
      <c r="F231" t="s">
        <v>4675</v>
      </c>
      <c r="G231" t="s">
        <v>74</v>
      </c>
      <c r="H231" t="s">
        <v>74</v>
      </c>
      <c r="I231" t="s">
        <v>4676</v>
      </c>
      <c r="J231" t="s">
        <v>4677</v>
      </c>
      <c r="K231" t="s">
        <v>74</v>
      </c>
      <c r="L231" t="s">
        <v>74</v>
      </c>
      <c r="M231" t="s">
        <v>78</v>
      </c>
      <c r="N231" t="s">
        <v>289</v>
      </c>
      <c r="O231" t="s">
        <v>74</v>
      </c>
      <c r="P231" t="s">
        <v>74</v>
      </c>
      <c r="Q231" t="s">
        <v>74</v>
      </c>
      <c r="R231" t="s">
        <v>74</v>
      </c>
      <c r="S231" t="s">
        <v>74</v>
      </c>
      <c r="T231" t="s">
        <v>4678</v>
      </c>
      <c r="U231" t="s">
        <v>4679</v>
      </c>
      <c r="V231" t="s">
        <v>4680</v>
      </c>
      <c r="W231" t="s">
        <v>4681</v>
      </c>
      <c r="X231" t="s">
        <v>4682</v>
      </c>
      <c r="Y231" t="s">
        <v>4683</v>
      </c>
      <c r="Z231" t="s">
        <v>4684</v>
      </c>
      <c r="AA231" t="s">
        <v>4685</v>
      </c>
      <c r="AB231" t="s">
        <v>4686</v>
      </c>
      <c r="AC231" t="s">
        <v>4687</v>
      </c>
      <c r="AD231" t="s">
        <v>4687</v>
      </c>
      <c r="AE231" t="s">
        <v>4688</v>
      </c>
      <c r="AF231" t="s">
        <v>74</v>
      </c>
      <c r="AG231">
        <v>189</v>
      </c>
      <c r="AH231">
        <v>236</v>
      </c>
      <c r="AI231">
        <v>256</v>
      </c>
      <c r="AJ231">
        <v>86</v>
      </c>
      <c r="AK231">
        <v>658</v>
      </c>
      <c r="AL231" t="s">
        <v>4689</v>
      </c>
      <c r="AM231" t="s">
        <v>4690</v>
      </c>
      <c r="AN231" t="s">
        <v>4691</v>
      </c>
      <c r="AO231" t="s">
        <v>4692</v>
      </c>
      <c r="AP231" t="s">
        <v>4693</v>
      </c>
      <c r="AQ231" t="s">
        <v>74</v>
      </c>
      <c r="AR231" t="s">
        <v>4694</v>
      </c>
      <c r="AS231" t="s">
        <v>4695</v>
      </c>
      <c r="AT231" t="s">
        <v>2468</v>
      </c>
      <c r="AU231">
        <v>2018</v>
      </c>
      <c r="AV231">
        <v>5</v>
      </c>
      <c r="AW231">
        <v>1</v>
      </c>
      <c r="AX231" t="s">
        <v>74</v>
      </c>
      <c r="AY231" t="s">
        <v>74</v>
      </c>
      <c r="AZ231" t="s">
        <v>74</v>
      </c>
      <c r="BA231" t="s">
        <v>74</v>
      </c>
      <c r="BB231">
        <v>173</v>
      </c>
      <c r="BC231">
        <v>191</v>
      </c>
      <c r="BD231" t="s">
        <v>74</v>
      </c>
      <c r="BE231" t="s">
        <v>4696</v>
      </c>
      <c r="BF231" t="str">
        <f>HYPERLINK("http://dx.doi.org/10.1007/s40684-018-0017-6","http://dx.doi.org/10.1007/s40684-018-0017-6")</f>
        <v>http://dx.doi.org/10.1007/s40684-018-0017-6</v>
      </c>
      <c r="BG231" t="s">
        <v>74</v>
      </c>
      <c r="BH231" t="s">
        <v>74</v>
      </c>
      <c r="BI231">
        <v>19</v>
      </c>
      <c r="BJ231" t="s">
        <v>4697</v>
      </c>
      <c r="BK231" t="s">
        <v>101</v>
      </c>
      <c r="BL231" t="s">
        <v>4698</v>
      </c>
      <c r="BM231" t="s">
        <v>4699</v>
      </c>
      <c r="BN231" t="s">
        <v>74</v>
      </c>
      <c r="BO231" t="s">
        <v>74</v>
      </c>
      <c r="BP231" t="s">
        <v>4700</v>
      </c>
      <c r="BQ231" t="s">
        <v>4701</v>
      </c>
      <c r="BR231" t="s">
        <v>105</v>
      </c>
      <c r="BS231" t="s">
        <v>4702</v>
      </c>
      <c r="BT231" t="str">
        <f>HYPERLINK("https%3A%2F%2Fwww.webofscience.com%2Fwos%2Fwoscc%2Ffull-record%2FWOS:000429388000017","View Full Record in Web of Science")</f>
        <v>View Full Record in Web of Science</v>
      </c>
    </row>
    <row r="232" spans="1:72" x14ac:dyDescent="0.15">
      <c r="A232" t="s">
        <v>72</v>
      </c>
      <c r="B232" t="s">
        <v>4703</v>
      </c>
      <c r="C232" t="s">
        <v>74</v>
      </c>
      <c r="D232" t="s">
        <v>74</v>
      </c>
      <c r="E232" t="s">
        <v>74</v>
      </c>
      <c r="F232" t="s">
        <v>4704</v>
      </c>
      <c r="G232" t="s">
        <v>74</v>
      </c>
      <c r="H232" t="s">
        <v>74</v>
      </c>
      <c r="I232" t="s">
        <v>4705</v>
      </c>
      <c r="J232" t="s">
        <v>4706</v>
      </c>
      <c r="K232" t="s">
        <v>74</v>
      </c>
      <c r="L232" t="s">
        <v>74</v>
      </c>
      <c r="M232" t="s">
        <v>78</v>
      </c>
      <c r="N232" t="s">
        <v>2311</v>
      </c>
      <c r="O232" t="s">
        <v>4707</v>
      </c>
      <c r="P232" t="s">
        <v>4708</v>
      </c>
      <c r="Q232" t="s">
        <v>4709</v>
      </c>
      <c r="R232" t="s">
        <v>74</v>
      </c>
      <c r="S232" t="s">
        <v>4710</v>
      </c>
      <c r="T232" t="s">
        <v>74</v>
      </c>
      <c r="U232" t="s">
        <v>4711</v>
      </c>
      <c r="V232" t="s">
        <v>4712</v>
      </c>
      <c r="W232" t="s">
        <v>4713</v>
      </c>
      <c r="X232" t="s">
        <v>4714</v>
      </c>
      <c r="Y232" t="s">
        <v>4715</v>
      </c>
      <c r="Z232" t="s">
        <v>4716</v>
      </c>
      <c r="AA232" t="s">
        <v>4717</v>
      </c>
      <c r="AB232" t="s">
        <v>4718</v>
      </c>
      <c r="AC232" t="s">
        <v>4719</v>
      </c>
      <c r="AD232" t="s">
        <v>4720</v>
      </c>
      <c r="AE232" t="s">
        <v>4721</v>
      </c>
      <c r="AF232" t="s">
        <v>74</v>
      </c>
      <c r="AG232">
        <v>17</v>
      </c>
      <c r="AH232">
        <v>12</v>
      </c>
      <c r="AI232">
        <v>12</v>
      </c>
      <c r="AJ232">
        <v>0</v>
      </c>
      <c r="AK232">
        <v>8</v>
      </c>
      <c r="AL232" t="s">
        <v>1700</v>
      </c>
      <c r="AM232" t="s">
        <v>1701</v>
      </c>
      <c r="AN232" t="s">
        <v>1702</v>
      </c>
      <c r="AO232" t="s">
        <v>4722</v>
      </c>
      <c r="AP232" t="s">
        <v>4723</v>
      </c>
      <c r="AQ232" t="s">
        <v>74</v>
      </c>
      <c r="AR232" t="s">
        <v>4724</v>
      </c>
      <c r="AS232" t="s">
        <v>4725</v>
      </c>
      <c r="AT232" t="s">
        <v>74</v>
      </c>
      <c r="AU232">
        <v>2018</v>
      </c>
      <c r="AV232">
        <v>39</v>
      </c>
      <c r="AW232">
        <v>18</v>
      </c>
      <c r="AX232" t="s">
        <v>74</v>
      </c>
      <c r="AY232" t="s">
        <v>74</v>
      </c>
      <c r="AZ232" t="s">
        <v>1146</v>
      </c>
      <c r="BA232" t="s">
        <v>74</v>
      </c>
      <c r="BB232">
        <v>5850</v>
      </c>
      <c r="BC232">
        <v>5858</v>
      </c>
      <c r="BD232" t="s">
        <v>74</v>
      </c>
      <c r="BE232" t="s">
        <v>4726</v>
      </c>
      <c r="BF232" t="str">
        <f>HYPERLINK("http://dx.doi.org/10.1080/01431161.2018.1508921","http://dx.doi.org/10.1080/01431161.2018.1508921")</f>
        <v>http://dx.doi.org/10.1080/01431161.2018.1508921</v>
      </c>
      <c r="BG232" t="s">
        <v>74</v>
      </c>
      <c r="BH232" t="s">
        <v>74</v>
      </c>
      <c r="BI232">
        <v>9</v>
      </c>
      <c r="BJ232" t="s">
        <v>4727</v>
      </c>
      <c r="BK232" t="s">
        <v>2330</v>
      </c>
      <c r="BL232" t="s">
        <v>4727</v>
      </c>
      <c r="BM232" t="s">
        <v>4728</v>
      </c>
      <c r="BN232" t="s">
        <v>74</v>
      </c>
      <c r="BO232" t="s">
        <v>74</v>
      </c>
      <c r="BP232" t="s">
        <v>74</v>
      </c>
      <c r="BQ232" t="s">
        <v>74</v>
      </c>
      <c r="BR232" t="s">
        <v>105</v>
      </c>
      <c r="BS232" t="s">
        <v>4729</v>
      </c>
      <c r="BT232" t="str">
        <f>HYPERLINK("https%3A%2F%2Fwww.webofscience.com%2Fwos%2Fwoscc%2Ffull-record%2FWOS:000451744100005","View Full Record in Web of Science")</f>
        <v>View Full Record in Web of Science</v>
      </c>
    </row>
    <row r="233" spans="1:72" x14ac:dyDescent="0.15">
      <c r="A233" t="s">
        <v>72</v>
      </c>
      <c r="B233" t="s">
        <v>4730</v>
      </c>
      <c r="C233" t="s">
        <v>74</v>
      </c>
      <c r="D233" t="s">
        <v>74</v>
      </c>
      <c r="E233" t="s">
        <v>74</v>
      </c>
      <c r="F233" t="s">
        <v>4731</v>
      </c>
      <c r="G233" t="s">
        <v>74</v>
      </c>
      <c r="H233" t="s">
        <v>74</v>
      </c>
      <c r="I233" t="s">
        <v>4732</v>
      </c>
      <c r="J233" t="s">
        <v>4733</v>
      </c>
      <c r="K233" t="s">
        <v>74</v>
      </c>
      <c r="L233" t="s">
        <v>74</v>
      </c>
      <c r="M233" t="s">
        <v>78</v>
      </c>
      <c r="N233" t="s">
        <v>79</v>
      </c>
      <c r="O233" t="s">
        <v>74</v>
      </c>
      <c r="P233" t="s">
        <v>74</v>
      </c>
      <c r="Q233" t="s">
        <v>74</v>
      </c>
      <c r="R233" t="s">
        <v>74</v>
      </c>
      <c r="S233" t="s">
        <v>74</v>
      </c>
      <c r="T233" t="s">
        <v>4734</v>
      </c>
      <c r="U233" t="s">
        <v>74</v>
      </c>
      <c r="V233" t="s">
        <v>4735</v>
      </c>
      <c r="W233" t="s">
        <v>4736</v>
      </c>
      <c r="X233" t="s">
        <v>4737</v>
      </c>
      <c r="Y233" t="s">
        <v>4738</v>
      </c>
      <c r="Z233" t="s">
        <v>4739</v>
      </c>
      <c r="AA233" t="s">
        <v>4740</v>
      </c>
      <c r="AB233" t="s">
        <v>4741</v>
      </c>
      <c r="AC233" t="s">
        <v>4742</v>
      </c>
      <c r="AD233" t="s">
        <v>4743</v>
      </c>
      <c r="AE233" t="s">
        <v>4744</v>
      </c>
      <c r="AF233" t="s">
        <v>74</v>
      </c>
      <c r="AG233">
        <v>34</v>
      </c>
      <c r="AH233">
        <v>13</v>
      </c>
      <c r="AI233">
        <v>13</v>
      </c>
      <c r="AJ233">
        <v>3</v>
      </c>
      <c r="AK233">
        <v>19</v>
      </c>
      <c r="AL233" t="s">
        <v>4154</v>
      </c>
      <c r="AM233" t="s">
        <v>1797</v>
      </c>
      <c r="AN233" t="s">
        <v>4155</v>
      </c>
      <c r="AO233" t="s">
        <v>4745</v>
      </c>
      <c r="AP233" t="s">
        <v>4746</v>
      </c>
      <c r="AQ233" t="s">
        <v>74</v>
      </c>
      <c r="AR233" t="s">
        <v>4747</v>
      </c>
      <c r="AS233" t="s">
        <v>4748</v>
      </c>
      <c r="AT233" t="s">
        <v>2468</v>
      </c>
      <c r="AU233">
        <v>2018</v>
      </c>
      <c r="AV233">
        <v>54</v>
      </c>
      <c r="AW233">
        <v>1</v>
      </c>
      <c r="AX233" t="s">
        <v>74</v>
      </c>
      <c r="AY233" t="s">
        <v>74</v>
      </c>
      <c r="AZ233" t="s">
        <v>74</v>
      </c>
      <c r="BA233" t="s">
        <v>74</v>
      </c>
      <c r="BB233">
        <v>65</v>
      </c>
      <c r="BC233">
        <v>72</v>
      </c>
      <c r="BD233" t="s">
        <v>74</v>
      </c>
      <c r="BE233" t="s">
        <v>4749</v>
      </c>
      <c r="BF233" t="str">
        <f>HYPERLINK("http://dx.doi.org/10.1134/S0001433818010061","http://dx.doi.org/10.1134/S0001433818010061")</f>
        <v>http://dx.doi.org/10.1134/S0001433818010061</v>
      </c>
      <c r="BG233" t="s">
        <v>74</v>
      </c>
      <c r="BH233" t="s">
        <v>74</v>
      </c>
      <c r="BI233">
        <v>8</v>
      </c>
      <c r="BJ233" t="s">
        <v>4750</v>
      </c>
      <c r="BK233" t="s">
        <v>101</v>
      </c>
      <c r="BL233" t="s">
        <v>4750</v>
      </c>
      <c r="BM233" t="s">
        <v>4751</v>
      </c>
      <c r="BN233" t="s">
        <v>74</v>
      </c>
      <c r="BO233" t="s">
        <v>74</v>
      </c>
      <c r="BP233" t="s">
        <v>74</v>
      </c>
      <c r="BQ233" t="s">
        <v>74</v>
      </c>
      <c r="BR233" t="s">
        <v>105</v>
      </c>
      <c r="BS233" t="s">
        <v>4752</v>
      </c>
      <c r="BT233" t="str">
        <f>HYPERLINK("https%3A%2F%2Fwww.webofscience.com%2Fwos%2Fwoscc%2Ffull-record%2FWOS:000425975400008","View Full Record in Web of Science")</f>
        <v>View Full Record in Web of Science</v>
      </c>
    </row>
    <row r="234" spans="1:72" x14ac:dyDescent="0.15">
      <c r="A234" t="s">
        <v>72</v>
      </c>
      <c r="B234" t="s">
        <v>4753</v>
      </c>
      <c r="C234" t="s">
        <v>74</v>
      </c>
      <c r="D234" t="s">
        <v>74</v>
      </c>
      <c r="E234" t="s">
        <v>74</v>
      </c>
      <c r="F234" t="s">
        <v>4754</v>
      </c>
      <c r="G234" t="s">
        <v>74</v>
      </c>
      <c r="H234" t="s">
        <v>74</v>
      </c>
      <c r="I234" t="s">
        <v>4755</v>
      </c>
      <c r="J234" t="s">
        <v>4756</v>
      </c>
      <c r="K234" t="s">
        <v>74</v>
      </c>
      <c r="L234" t="s">
        <v>74</v>
      </c>
      <c r="M234" t="s">
        <v>78</v>
      </c>
      <c r="N234" t="s">
        <v>79</v>
      </c>
      <c r="O234" t="s">
        <v>74</v>
      </c>
      <c r="P234" t="s">
        <v>74</v>
      </c>
      <c r="Q234" t="s">
        <v>74</v>
      </c>
      <c r="R234" t="s">
        <v>74</v>
      </c>
      <c r="S234" t="s">
        <v>74</v>
      </c>
      <c r="T234" t="s">
        <v>4757</v>
      </c>
      <c r="U234" t="s">
        <v>74</v>
      </c>
      <c r="V234" t="s">
        <v>4758</v>
      </c>
      <c r="W234" t="s">
        <v>4759</v>
      </c>
      <c r="X234" t="s">
        <v>4760</v>
      </c>
      <c r="Y234" t="s">
        <v>4761</v>
      </c>
      <c r="Z234" t="s">
        <v>4762</v>
      </c>
      <c r="AA234" t="s">
        <v>4763</v>
      </c>
      <c r="AB234" t="s">
        <v>4764</v>
      </c>
      <c r="AC234" t="s">
        <v>4765</v>
      </c>
      <c r="AD234" t="s">
        <v>4766</v>
      </c>
      <c r="AE234" t="s">
        <v>4767</v>
      </c>
      <c r="AF234" t="s">
        <v>74</v>
      </c>
      <c r="AG234">
        <v>13</v>
      </c>
      <c r="AH234">
        <v>5</v>
      </c>
      <c r="AI234">
        <v>5</v>
      </c>
      <c r="AJ234">
        <v>0</v>
      </c>
      <c r="AK234">
        <v>5</v>
      </c>
      <c r="AL234" t="s">
        <v>4768</v>
      </c>
      <c r="AM234" t="s">
        <v>4769</v>
      </c>
      <c r="AN234" t="s">
        <v>4770</v>
      </c>
      <c r="AO234" t="s">
        <v>4771</v>
      </c>
      <c r="AP234" t="s">
        <v>74</v>
      </c>
      <c r="AQ234" t="s">
        <v>74</v>
      </c>
      <c r="AR234" t="s">
        <v>4772</v>
      </c>
      <c r="AS234" t="s">
        <v>4773</v>
      </c>
      <c r="AT234" t="s">
        <v>74</v>
      </c>
      <c r="AU234">
        <v>2018</v>
      </c>
      <c r="AV234">
        <v>19</v>
      </c>
      <c r="AW234">
        <v>1</v>
      </c>
      <c r="AX234" t="s">
        <v>74</v>
      </c>
      <c r="AY234" t="s">
        <v>74</v>
      </c>
      <c r="AZ234" t="s">
        <v>74</v>
      </c>
      <c r="BA234" t="s">
        <v>74</v>
      </c>
      <c r="BB234">
        <v>1</v>
      </c>
      <c r="BC234">
        <v>14</v>
      </c>
      <c r="BD234" t="s">
        <v>74</v>
      </c>
      <c r="BE234" t="s">
        <v>74</v>
      </c>
      <c r="BF234" t="s">
        <v>74</v>
      </c>
      <c r="BG234" t="s">
        <v>74</v>
      </c>
      <c r="BH234" t="s">
        <v>74</v>
      </c>
      <c r="BI234">
        <v>14</v>
      </c>
      <c r="BJ234" t="s">
        <v>1119</v>
      </c>
      <c r="BK234" t="s">
        <v>101</v>
      </c>
      <c r="BL234" t="s">
        <v>1120</v>
      </c>
      <c r="BM234" t="s">
        <v>4774</v>
      </c>
      <c r="BN234" t="s">
        <v>74</v>
      </c>
      <c r="BO234" t="s">
        <v>74</v>
      </c>
      <c r="BP234" t="s">
        <v>74</v>
      </c>
      <c r="BQ234" t="s">
        <v>74</v>
      </c>
      <c r="BR234" t="s">
        <v>105</v>
      </c>
      <c r="BS234" t="s">
        <v>4775</v>
      </c>
      <c r="BT234" t="str">
        <f>HYPERLINK("https%3A%2F%2Fwww.webofscience.com%2Fwos%2Fwoscc%2Ffull-record%2FWOS:000430319500001","View Full Record in Web of Science")</f>
        <v>View Full Record in Web of Science</v>
      </c>
    </row>
    <row r="235" spans="1:72" x14ac:dyDescent="0.15">
      <c r="A235" t="s">
        <v>72</v>
      </c>
      <c r="B235" t="s">
        <v>4776</v>
      </c>
      <c r="C235" t="s">
        <v>74</v>
      </c>
      <c r="D235" t="s">
        <v>74</v>
      </c>
      <c r="E235" t="s">
        <v>74</v>
      </c>
      <c r="F235" t="s">
        <v>4777</v>
      </c>
      <c r="G235" t="s">
        <v>74</v>
      </c>
      <c r="H235" t="s">
        <v>74</v>
      </c>
      <c r="I235" t="s">
        <v>4778</v>
      </c>
      <c r="J235" t="s">
        <v>4779</v>
      </c>
      <c r="K235" t="s">
        <v>74</v>
      </c>
      <c r="L235" t="s">
        <v>74</v>
      </c>
      <c r="M235" t="s">
        <v>78</v>
      </c>
      <c r="N235" t="s">
        <v>79</v>
      </c>
      <c r="O235" t="s">
        <v>74</v>
      </c>
      <c r="P235" t="s">
        <v>74</v>
      </c>
      <c r="Q235" t="s">
        <v>74</v>
      </c>
      <c r="R235" t="s">
        <v>74</v>
      </c>
      <c r="S235" t="s">
        <v>74</v>
      </c>
      <c r="T235" t="s">
        <v>4780</v>
      </c>
      <c r="U235" t="s">
        <v>4781</v>
      </c>
      <c r="V235" t="s">
        <v>4782</v>
      </c>
      <c r="W235" t="s">
        <v>4783</v>
      </c>
      <c r="X235" t="s">
        <v>4784</v>
      </c>
      <c r="Y235" t="s">
        <v>4785</v>
      </c>
      <c r="Z235" t="s">
        <v>4786</v>
      </c>
      <c r="AA235" t="s">
        <v>4787</v>
      </c>
      <c r="AB235" t="s">
        <v>74</v>
      </c>
      <c r="AC235" t="s">
        <v>4788</v>
      </c>
      <c r="AD235" t="s">
        <v>4789</v>
      </c>
      <c r="AE235" t="s">
        <v>4790</v>
      </c>
      <c r="AF235" t="s">
        <v>74</v>
      </c>
      <c r="AG235">
        <v>41</v>
      </c>
      <c r="AH235">
        <v>28</v>
      </c>
      <c r="AI235">
        <v>29</v>
      </c>
      <c r="AJ235">
        <v>3</v>
      </c>
      <c r="AK235">
        <v>48</v>
      </c>
      <c r="AL235" t="s">
        <v>4791</v>
      </c>
      <c r="AM235" t="s">
        <v>4792</v>
      </c>
      <c r="AN235" t="s">
        <v>4793</v>
      </c>
      <c r="AO235" t="s">
        <v>4794</v>
      </c>
      <c r="AP235" t="s">
        <v>4795</v>
      </c>
      <c r="AQ235" t="s">
        <v>74</v>
      </c>
      <c r="AR235" t="s">
        <v>4796</v>
      </c>
      <c r="AS235" t="s">
        <v>4797</v>
      </c>
      <c r="AT235" t="s">
        <v>74</v>
      </c>
      <c r="AU235">
        <v>2018</v>
      </c>
      <c r="AV235">
        <v>53</v>
      </c>
      <c r="AW235">
        <v>3</v>
      </c>
      <c r="AX235" t="s">
        <v>74</v>
      </c>
      <c r="AY235" t="s">
        <v>74</v>
      </c>
      <c r="AZ235" t="s">
        <v>74</v>
      </c>
      <c r="BA235" t="s">
        <v>74</v>
      </c>
      <c r="BB235">
        <v>278</v>
      </c>
      <c r="BC235">
        <v>293</v>
      </c>
      <c r="BD235" t="s">
        <v>74</v>
      </c>
      <c r="BE235" t="s">
        <v>4798</v>
      </c>
      <c r="BF235" t="str">
        <f>HYPERLINK("http://dx.doi.org/10.1080/10934529.2017.1397443","http://dx.doi.org/10.1080/10934529.2017.1397443")</f>
        <v>http://dx.doi.org/10.1080/10934529.2017.1397443</v>
      </c>
      <c r="BG235" t="s">
        <v>74</v>
      </c>
      <c r="BH235" t="s">
        <v>74</v>
      </c>
      <c r="BI235">
        <v>16</v>
      </c>
      <c r="BJ235" t="s">
        <v>4799</v>
      </c>
      <c r="BK235" t="s">
        <v>101</v>
      </c>
      <c r="BL235" t="s">
        <v>2206</v>
      </c>
      <c r="BM235" t="s">
        <v>4800</v>
      </c>
      <c r="BN235">
        <v>29172965</v>
      </c>
      <c r="BO235" t="s">
        <v>74</v>
      </c>
      <c r="BP235" t="s">
        <v>74</v>
      </c>
      <c r="BQ235" t="s">
        <v>74</v>
      </c>
      <c r="BR235" t="s">
        <v>105</v>
      </c>
      <c r="BS235" t="s">
        <v>4801</v>
      </c>
      <c r="BT235" t="str">
        <f>HYPERLINK("https%3A%2F%2Fwww.webofscience.com%2Fwos%2Fwoscc%2Ffull-record%2FWOS:000424258600010","View Full Record in Web of Science")</f>
        <v>View Full Record in Web of Science</v>
      </c>
    </row>
    <row r="236" spans="1:72" x14ac:dyDescent="0.15">
      <c r="A236" t="s">
        <v>72</v>
      </c>
      <c r="B236" t="s">
        <v>4802</v>
      </c>
      <c r="C236" t="s">
        <v>74</v>
      </c>
      <c r="D236" t="s">
        <v>74</v>
      </c>
      <c r="E236" t="s">
        <v>74</v>
      </c>
      <c r="F236" t="s">
        <v>4803</v>
      </c>
      <c r="G236" t="s">
        <v>74</v>
      </c>
      <c r="H236" t="s">
        <v>74</v>
      </c>
      <c r="I236" t="s">
        <v>4804</v>
      </c>
      <c r="J236" t="s">
        <v>4805</v>
      </c>
      <c r="K236" t="s">
        <v>74</v>
      </c>
      <c r="L236" t="s">
        <v>74</v>
      </c>
      <c r="M236" t="s">
        <v>78</v>
      </c>
      <c r="N236" t="s">
        <v>79</v>
      </c>
      <c r="O236" t="s">
        <v>74</v>
      </c>
      <c r="P236" t="s">
        <v>74</v>
      </c>
      <c r="Q236" t="s">
        <v>74</v>
      </c>
      <c r="R236" t="s">
        <v>74</v>
      </c>
      <c r="S236" t="s">
        <v>74</v>
      </c>
      <c r="T236" t="s">
        <v>4806</v>
      </c>
      <c r="U236" t="s">
        <v>4807</v>
      </c>
      <c r="V236" t="s">
        <v>4808</v>
      </c>
      <c r="W236" t="s">
        <v>4809</v>
      </c>
      <c r="X236" t="s">
        <v>4810</v>
      </c>
      <c r="Y236" t="s">
        <v>4811</v>
      </c>
      <c r="Z236" t="s">
        <v>4812</v>
      </c>
      <c r="AA236" t="s">
        <v>4813</v>
      </c>
      <c r="AB236" t="s">
        <v>4814</v>
      </c>
      <c r="AC236" t="s">
        <v>4815</v>
      </c>
      <c r="AD236" t="s">
        <v>4816</v>
      </c>
      <c r="AE236" t="s">
        <v>4817</v>
      </c>
      <c r="AF236" t="s">
        <v>74</v>
      </c>
      <c r="AG236">
        <v>156</v>
      </c>
      <c r="AH236">
        <v>20</v>
      </c>
      <c r="AI236">
        <v>27</v>
      </c>
      <c r="AJ236">
        <v>0</v>
      </c>
      <c r="AK236">
        <v>21</v>
      </c>
      <c r="AL236" t="s">
        <v>271</v>
      </c>
      <c r="AM236" t="s">
        <v>272</v>
      </c>
      <c r="AN236" t="s">
        <v>273</v>
      </c>
      <c r="AO236" t="s">
        <v>4818</v>
      </c>
      <c r="AP236" t="s">
        <v>4819</v>
      </c>
      <c r="AQ236" t="s">
        <v>74</v>
      </c>
      <c r="AR236" t="s">
        <v>4820</v>
      </c>
      <c r="AS236" t="s">
        <v>4821</v>
      </c>
      <c r="AT236" t="s">
        <v>2468</v>
      </c>
      <c r="AU236">
        <v>2018</v>
      </c>
      <c r="AV236">
        <v>123</v>
      </c>
      <c r="AW236">
        <v>1</v>
      </c>
      <c r="AX236" t="s">
        <v>74</v>
      </c>
      <c r="AY236" t="s">
        <v>74</v>
      </c>
      <c r="AZ236" t="s">
        <v>74</v>
      </c>
      <c r="BA236" t="s">
        <v>74</v>
      </c>
      <c r="BB236">
        <v>4</v>
      </c>
      <c r="BC236">
        <v>30</v>
      </c>
      <c r="BD236" t="s">
        <v>74</v>
      </c>
      <c r="BE236" t="s">
        <v>4822</v>
      </c>
      <c r="BF236" t="str">
        <f>HYPERLINK("http://dx.doi.org/10.1002/2017JB014677","http://dx.doi.org/10.1002/2017JB014677")</f>
        <v>http://dx.doi.org/10.1002/2017JB014677</v>
      </c>
      <c r="BG236" t="s">
        <v>74</v>
      </c>
      <c r="BH236" t="s">
        <v>74</v>
      </c>
      <c r="BI236">
        <v>27</v>
      </c>
      <c r="BJ236" t="s">
        <v>1148</v>
      </c>
      <c r="BK236" t="s">
        <v>101</v>
      </c>
      <c r="BL236" t="s">
        <v>1148</v>
      </c>
      <c r="BM236" t="s">
        <v>4823</v>
      </c>
      <c r="BN236" t="s">
        <v>74</v>
      </c>
      <c r="BO236" t="s">
        <v>74</v>
      </c>
      <c r="BP236" t="s">
        <v>74</v>
      </c>
      <c r="BQ236" t="s">
        <v>74</v>
      </c>
      <c r="BR236" t="s">
        <v>105</v>
      </c>
      <c r="BS236" t="s">
        <v>4824</v>
      </c>
      <c r="BT236" t="str">
        <f>HYPERLINK("https%3A%2F%2Fwww.webofscience.com%2Fwos%2Fwoscc%2Ffull-record%2FWOS:000426132600001","View Full Record in Web of Science")</f>
        <v>View Full Record in Web of Science</v>
      </c>
    </row>
    <row r="237" spans="1:72" x14ac:dyDescent="0.15">
      <c r="A237" t="s">
        <v>72</v>
      </c>
      <c r="B237" t="s">
        <v>4825</v>
      </c>
      <c r="C237" t="s">
        <v>74</v>
      </c>
      <c r="D237" t="s">
        <v>74</v>
      </c>
      <c r="E237" t="s">
        <v>74</v>
      </c>
      <c r="F237" t="s">
        <v>4826</v>
      </c>
      <c r="G237" t="s">
        <v>74</v>
      </c>
      <c r="H237" t="s">
        <v>74</v>
      </c>
      <c r="I237" t="s">
        <v>4827</v>
      </c>
      <c r="J237" t="s">
        <v>4828</v>
      </c>
      <c r="K237" t="s">
        <v>74</v>
      </c>
      <c r="L237" t="s">
        <v>74</v>
      </c>
      <c r="M237" t="s">
        <v>78</v>
      </c>
      <c r="N237" t="s">
        <v>79</v>
      </c>
      <c r="O237" t="s">
        <v>74</v>
      </c>
      <c r="P237" t="s">
        <v>74</v>
      </c>
      <c r="Q237" t="s">
        <v>74</v>
      </c>
      <c r="R237" t="s">
        <v>74</v>
      </c>
      <c r="S237" t="s">
        <v>74</v>
      </c>
      <c r="T237" t="s">
        <v>4829</v>
      </c>
      <c r="U237" t="s">
        <v>4830</v>
      </c>
      <c r="V237" t="s">
        <v>4831</v>
      </c>
      <c r="W237" t="s">
        <v>4832</v>
      </c>
      <c r="X237" t="s">
        <v>4833</v>
      </c>
      <c r="Y237" t="s">
        <v>4834</v>
      </c>
      <c r="Z237" t="s">
        <v>4835</v>
      </c>
      <c r="AA237" t="s">
        <v>4836</v>
      </c>
      <c r="AB237" t="s">
        <v>4837</v>
      </c>
      <c r="AC237" t="s">
        <v>4838</v>
      </c>
      <c r="AD237" t="s">
        <v>4839</v>
      </c>
      <c r="AE237" t="s">
        <v>4840</v>
      </c>
      <c r="AF237" t="s">
        <v>74</v>
      </c>
      <c r="AG237">
        <v>60</v>
      </c>
      <c r="AH237">
        <v>15</v>
      </c>
      <c r="AI237">
        <v>15</v>
      </c>
      <c r="AJ237">
        <v>1</v>
      </c>
      <c r="AK237">
        <v>13</v>
      </c>
      <c r="AL237" t="s">
        <v>4841</v>
      </c>
      <c r="AM237" t="s">
        <v>3107</v>
      </c>
      <c r="AN237" t="s">
        <v>4842</v>
      </c>
      <c r="AO237" t="s">
        <v>4843</v>
      </c>
      <c r="AP237" t="s">
        <v>4844</v>
      </c>
      <c r="AQ237" t="s">
        <v>74</v>
      </c>
      <c r="AR237" t="s">
        <v>4845</v>
      </c>
      <c r="AS237" t="s">
        <v>4846</v>
      </c>
      <c r="AT237" t="s">
        <v>2468</v>
      </c>
      <c r="AU237">
        <v>2018</v>
      </c>
      <c r="AV237">
        <v>80</v>
      </c>
      <c r="AW237">
        <v>1</v>
      </c>
      <c r="AX237" t="s">
        <v>74</v>
      </c>
      <c r="AY237" t="s">
        <v>74</v>
      </c>
      <c r="AZ237" t="s">
        <v>74</v>
      </c>
      <c r="BA237" t="s">
        <v>74</v>
      </c>
      <c r="BB237">
        <v>138</v>
      </c>
      <c r="BC237">
        <v>146</v>
      </c>
      <c r="BD237" t="s">
        <v>74</v>
      </c>
      <c r="BE237" t="s">
        <v>4847</v>
      </c>
      <c r="BF237" t="str">
        <f>HYPERLINK("http://dx.doi.org/10.1292/jvms.17-0492","http://dx.doi.org/10.1292/jvms.17-0492")</f>
        <v>http://dx.doi.org/10.1292/jvms.17-0492</v>
      </c>
      <c r="BG237" t="s">
        <v>74</v>
      </c>
      <c r="BH237" t="s">
        <v>74</v>
      </c>
      <c r="BI237">
        <v>9</v>
      </c>
      <c r="BJ237" t="s">
        <v>3964</v>
      </c>
      <c r="BK237" t="s">
        <v>101</v>
      </c>
      <c r="BL237" t="s">
        <v>3964</v>
      </c>
      <c r="BM237" t="s">
        <v>4848</v>
      </c>
      <c r="BN237">
        <v>29249728</v>
      </c>
      <c r="BO237" t="s">
        <v>186</v>
      </c>
      <c r="BP237" t="s">
        <v>74</v>
      </c>
      <c r="BQ237" t="s">
        <v>74</v>
      </c>
      <c r="BR237" t="s">
        <v>105</v>
      </c>
      <c r="BS237" t="s">
        <v>4849</v>
      </c>
      <c r="BT237" t="str">
        <f>HYPERLINK("https%3A%2F%2Fwww.webofscience.com%2Fwos%2Fwoscc%2Ffull-record%2FWOS:000425785000023","View Full Record in Web of Science")</f>
        <v>View Full Record in Web of Science</v>
      </c>
    </row>
    <row r="238" spans="1:72" x14ac:dyDescent="0.15">
      <c r="A238" t="s">
        <v>72</v>
      </c>
      <c r="B238" t="s">
        <v>4850</v>
      </c>
      <c r="C238" t="s">
        <v>74</v>
      </c>
      <c r="D238" t="s">
        <v>74</v>
      </c>
      <c r="E238" t="s">
        <v>74</v>
      </c>
      <c r="F238" t="s">
        <v>4851</v>
      </c>
      <c r="G238" t="s">
        <v>74</v>
      </c>
      <c r="H238" t="s">
        <v>74</v>
      </c>
      <c r="I238" t="s">
        <v>4852</v>
      </c>
      <c r="J238" t="s">
        <v>4853</v>
      </c>
      <c r="K238" t="s">
        <v>74</v>
      </c>
      <c r="L238" t="s">
        <v>74</v>
      </c>
      <c r="M238" t="s">
        <v>2986</v>
      </c>
      <c r="N238" t="s">
        <v>79</v>
      </c>
      <c r="O238" t="s">
        <v>74</v>
      </c>
      <c r="P238" t="s">
        <v>74</v>
      </c>
      <c r="Q238" t="s">
        <v>74</v>
      </c>
      <c r="R238" t="s">
        <v>74</v>
      </c>
      <c r="S238" t="s">
        <v>74</v>
      </c>
      <c r="T238" t="s">
        <v>4854</v>
      </c>
      <c r="U238" t="s">
        <v>74</v>
      </c>
      <c r="V238" t="s">
        <v>4855</v>
      </c>
      <c r="W238" t="s">
        <v>4856</v>
      </c>
      <c r="X238" t="s">
        <v>4857</v>
      </c>
      <c r="Y238" t="s">
        <v>4858</v>
      </c>
      <c r="Z238" t="s">
        <v>4859</v>
      </c>
      <c r="AA238" t="s">
        <v>4860</v>
      </c>
      <c r="AB238" t="s">
        <v>4861</v>
      </c>
      <c r="AC238" t="s">
        <v>4862</v>
      </c>
      <c r="AD238" t="s">
        <v>4863</v>
      </c>
      <c r="AE238" t="s">
        <v>4864</v>
      </c>
      <c r="AF238" t="s">
        <v>74</v>
      </c>
      <c r="AG238">
        <v>11</v>
      </c>
      <c r="AH238">
        <v>1</v>
      </c>
      <c r="AI238">
        <v>1</v>
      </c>
      <c r="AJ238">
        <v>0</v>
      </c>
      <c r="AK238">
        <v>2</v>
      </c>
      <c r="AL238" t="s">
        <v>4865</v>
      </c>
      <c r="AM238" t="s">
        <v>2992</v>
      </c>
      <c r="AN238" t="s">
        <v>4866</v>
      </c>
      <c r="AO238" t="s">
        <v>4867</v>
      </c>
      <c r="AP238" t="s">
        <v>4868</v>
      </c>
      <c r="AQ238" t="s">
        <v>74</v>
      </c>
      <c r="AR238" t="s">
        <v>4869</v>
      </c>
      <c r="AS238" t="s">
        <v>4870</v>
      </c>
      <c r="AT238" t="s">
        <v>74</v>
      </c>
      <c r="AU238">
        <v>2018</v>
      </c>
      <c r="AV238">
        <v>58</v>
      </c>
      <c r="AW238">
        <v>1</v>
      </c>
      <c r="AX238" t="s">
        <v>74</v>
      </c>
      <c r="AY238" t="s">
        <v>74</v>
      </c>
      <c r="AZ238" t="s">
        <v>74</v>
      </c>
      <c r="BA238" t="s">
        <v>74</v>
      </c>
      <c r="BB238">
        <v>127</v>
      </c>
      <c r="BC238">
        <v>134</v>
      </c>
      <c r="BD238" t="s">
        <v>74</v>
      </c>
      <c r="BE238" t="s">
        <v>4871</v>
      </c>
      <c r="BF238" t="str">
        <f>HYPERLINK("http://dx.doi.org/10.15356/2076-6734-2018-1-127-134","http://dx.doi.org/10.15356/2076-6734-2018-1-127-134")</f>
        <v>http://dx.doi.org/10.15356/2076-6734-2018-1-127-134</v>
      </c>
      <c r="BG238" t="s">
        <v>74</v>
      </c>
      <c r="BH238" t="s">
        <v>74</v>
      </c>
      <c r="BI238">
        <v>8</v>
      </c>
      <c r="BJ238" t="s">
        <v>280</v>
      </c>
      <c r="BK238" t="s">
        <v>2081</v>
      </c>
      <c r="BL238" t="s">
        <v>281</v>
      </c>
      <c r="BM238" t="s">
        <v>4872</v>
      </c>
      <c r="BN238" t="s">
        <v>74</v>
      </c>
      <c r="BO238" t="s">
        <v>236</v>
      </c>
      <c r="BP238" t="s">
        <v>74</v>
      </c>
      <c r="BQ238" t="s">
        <v>74</v>
      </c>
      <c r="BR238" t="s">
        <v>105</v>
      </c>
      <c r="BS238" t="s">
        <v>4873</v>
      </c>
      <c r="BT238" t="str">
        <f>HYPERLINK("https%3A%2F%2Fwww.webofscience.com%2Fwos%2Fwoscc%2Ffull-record%2FWOS:000430885200010","View Full Record in Web of Science")</f>
        <v>View Full Record in Web of Science</v>
      </c>
    </row>
    <row r="239" spans="1:72" x14ac:dyDescent="0.15">
      <c r="A239" t="s">
        <v>72</v>
      </c>
      <c r="B239" t="s">
        <v>4874</v>
      </c>
      <c r="C239" t="s">
        <v>74</v>
      </c>
      <c r="D239" t="s">
        <v>74</v>
      </c>
      <c r="E239" t="s">
        <v>74</v>
      </c>
      <c r="F239" t="s">
        <v>4875</v>
      </c>
      <c r="G239" t="s">
        <v>74</v>
      </c>
      <c r="H239" t="s">
        <v>74</v>
      </c>
      <c r="I239" t="s">
        <v>4876</v>
      </c>
      <c r="J239" t="s">
        <v>4853</v>
      </c>
      <c r="K239" t="s">
        <v>74</v>
      </c>
      <c r="L239" t="s">
        <v>74</v>
      </c>
      <c r="M239" t="s">
        <v>2986</v>
      </c>
      <c r="N239" t="s">
        <v>79</v>
      </c>
      <c r="O239" t="s">
        <v>74</v>
      </c>
      <c r="P239" t="s">
        <v>74</v>
      </c>
      <c r="Q239" t="s">
        <v>74</v>
      </c>
      <c r="R239" t="s">
        <v>74</v>
      </c>
      <c r="S239" t="s">
        <v>74</v>
      </c>
      <c r="T239" t="s">
        <v>4877</v>
      </c>
      <c r="U239" t="s">
        <v>4878</v>
      </c>
      <c r="V239" t="s">
        <v>4879</v>
      </c>
      <c r="W239" t="s">
        <v>4880</v>
      </c>
      <c r="X239" t="s">
        <v>4881</v>
      </c>
      <c r="Y239" t="s">
        <v>4882</v>
      </c>
      <c r="Z239" t="s">
        <v>4883</v>
      </c>
      <c r="AA239" t="s">
        <v>4884</v>
      </c>
      <c r="AB239" t="s">
        <v>4885</v>
      </c>
      <c r="AC239" t="s">
        <v>4886</v>
      </c>
      <c r="AD239" t="s">
        <v>2846</v>
      </c>
      <c r="AE239" t="s">
        <v>4887</v>
      </c>
      <c r="AF239" t="s">
        <v>74</v>
      </c>
      <c r="AG239">
        <v>22</v>
      </c>
      <c r="AH239">
        <v>2</v>
      </c>
      <c r="AI239">
        <v>2</v>
      </c>
      <c r="AJ239">
        <v>0</v>
      </c>
      <c r="AK239">
        <v>18</v>
      </c>
      <c r="AL239" t="s">
        <v>4865</v>
      </c>
      <c r="AM239" t="s">
        <v>2992</v>
      </c>
      <c r="AN239" t="s">
        <v>4866</v>
      </c>
      <c r="AO239" t="s">
        <v>4867</v>
      </c>
      <c r="AP239" t="s">
        <v>4868</v>
      </c>
      <c r="AQ239" t="s">
        <v>74</v>
      </c>
      <c r="AR239" t="s">
        <v>4869</v>
      </c>
      <c r="AS239" t="s">
        <v>4870</v>
      </c>
      <c r="AT239" t="s">
        <v>74</v>
      </c>
      <c r="AU239">
        <v>2018</v>
      </c>
      <c r="AV239">
        <v>58</v>
      </c>
      <c r="AW239">
        <v>2</v>
      </c>
      <c r="AX239" t="s">
        <v>74</v>
      </c>
      <c r="AY239" t="s">
        <v>74</v>
      </c>
      <c r="AZ239" t="s">
        <v>74</v>
      </c>
      <c r="BA239" t="s">
        <v>74</v>
      </c>
      <c r="BB239">
        <v>149</v>
      </c>
      <c r="BC239">
        <v>158</v>
      </c>
      <c r="BD239" t="s">
        <v>74</v>
      </c>
      <c r="BE239" t="s">
        <v>4888</v>
      </c>
      <c r="BF239" t="str">
        <f>HYPERLINK("http://dx.doi.org/10.15356/2076-6734-2018-2-149-158","http://dx.doi.org/10.15356/2076-6734-2018-2-149-158")</f>
        <v>http://dx.doi.org/10.15356/2076-6734-2018-2-149-158</v>
      </c>
      <c r="BG239" t="s">
        <v>74</v>
      </c>
      <c r="BH239" t="s">
        <v>74</v>
      </c>
      <c r="BI239">
        <v>10</v>
      </c>
      <c r="BJ239" t="s">
        <v>280</v>
      </c>
      <c r="BK239" t="s">
        <v>2081</v>
      </c>
      <c r="BL239" t="s">
        <v>281</v>
      </c>
      <c r="BM239" t="s">
        <v>4889</v>
      </c>
      <c r="BN239" t="s">
        <v>74</v>
      </c>
      <c r="BO239" t="s">
        <v>681</v>
      </c>
      <c r="BP239" t="s">
        <v>74</v>
      </c>
      <c r="BQ239" t="s">
        <v>74</v>
      </c>
      <c r="BR239" t="s">
        <v>105</v>
      </c>
      <c r="BS239" t="s">
        <v>4890</v>
      </c>
      <c r="BT239" t="str">
        <f>HYPERLINK("https%3A%2F%2Fwww.webofscience.com%2Fwos%2Fwoscc%2Ffull-record%2FWOS:000433024900001","View Full Record in Web of Science")</f>
        <v>View Full Record in Web of Science</v>
      </c>
    </row>
    <row r="240" spans="1:72" x14ac:dyDescent="0.15">
      <c r="A240" t="s">
        <v>72</v>
      </c>
      <c r="B240" t="s">
        <v>4891</v>
      </c>
      <c r="C240" t="s">
        <v>74</v>
      </c>
      <c r="D240" t="s">
        <v>74</v>
      </c>
      <c r="E240" t="s">
        <v>74</v>
      </c>
      <c r="F240" t="s">
        <v>4892</v>
      </c>
      <c r="G240" t="s">
        <v>74</v>
      </c>
      <c r="H240" t="s">
        <v>74</v>
      </c>
      <c r="I240" t="s">
        <v>4893</v>
      </c>
      <c r="J240" t="s">
        <v>4853</v>
      </c>
      <c r="K240" t="s">
        <v>74</v>
      </c>
      <c r="L240" t="s">
        <v>74</v>
      </c>
      <c r="M240" t="s">
        <v>2986</v>
      </c>
      <c r="N240" t="s">
        <v>79</v>
      </c>
      <c r="O240" t="s">
        <v>74</v>
      </c>
      <c r="P240" t="s">
        <v>74</v>
      </c>
      <c r="Q240" t="s">
        <v>74</v>
      </c>
      <c r="R240" t="s">
        <v>74</v>
      </c>
      <c r="S240" t="s">
        <v>74</v>
      </c>
      <c r="T240" t="s">
        <v>4894</v>
      </c>
      <c r="U240" t="s">
        <v>4895</v>
      </c>
      <c r="V240" t="s">
        <v>4896</v>
      </c>
      <c r="W240" t="s">
        <v>4897</v>
      </c>
      <c r="X240" t="s">
        <v>4898</v>
      </c>
      <c r="Y240" t="s">
        <v>1946</v>
      </c>
      <c r="Z240" t="s">
        <v>1947</v>
      </c>
      <c r="AA240" t="s">
        <v>4899</v>
      </c>
      <c r="AB240" t="s">
        <v>74</v>
      </c>
      <c r="AC240" t="s">
        <v>4900</v>
      </c>
      <c r="AD240" t="s">
        <v>4901</v>
      </c>
      <c r="AE240" t="s">
        <v>4902</v>
      </c>
      <c r="AF240" t="s">
        <v>74</v>
      </c>
      <c r="AG240">
        <v>21</v>
      </c>
      <c r="AH240">
        <v>2</v>
      </c>
      <c r="AI240">
        <v>2</v>
      </c>
      <c r="AJ240">
        <v>0</v>
      </c>
      <c r="AK240">
        <v>3</v>
      </c>
      <c r="AL240" t="s">
        <v>4865</v>
      </c>
      <c r="AM240" t="s">
        <v>2992</v>
      </c>
      <c r="AN240" t="s">
        <v>4866</v>
      </c>
      <c r="AO240" t="s">
        <v>4867</v>
      </c>
      <c r="AP240" t="s">
        <v>4868</v>
      </c>
      <c r="AQ240" t="s">
        <v>74</v>
      </c>
      <c r="AR240" t="s">
        <v>4869</v>
      </c>
      <c r="AS240" t="s">
        <v>4870</v>
      </c>
      <c r="AT240" t="s">
        <v>74</v>
      </c>
      <c r="AU240">
        <v>2018</v>
      </c>
      <c r="AV240">
        <v>58</v>
      </c>
      <c r="AW240">
        <v>2</v>
      </c>
      <c r="AX240" t="s">
        <v>74</v>
      </c>
      <c r="AY240" t="s">
        <v>74</v>
      </c>
      <c r="AZ240" t="s">
        <v>74</v>
      </c>
      <c r="BA240" t="s">
        <v>74</v>
      </c>
      <c r="BB240">
        <v>213</v>
      </c>
      <c r="BC240">
        <v>224</v>
      </c>
      <c r="BD240" t="s">
        <v>74</v>
      </c>
      <c r="BE240" t="s">
        <v>4903</v>
      </c>
      <c r="BF240" t="str">
        <f>HYPERLINK("http://dx.doi.org/10.15356/2076-6734-2018-2-213-224","http://dx.doi.org/10.15356/2076-6734-2018-2-213-224")</f>
        <v>http://dx.doi.org/10.15356/2076-6734-2018-2-213-224</v>
      </c>
      <c r="BG240" t="s">
        <v>74</v>
      </c>
      <c r="BH240" t="s">
        <v>74</v>
      </c>
      <c r="BI240">
        <v>12</v>
      </c>
      <c r="BJ240" t="s">
        <v>280</v>
      </c>
      <c r="BK240" t="s">
        <v>2081</v>
      </c>
      <c r="BL240" t="s">
        <v>281</v>
      </c>
      <c r="BM240" t="s">
        <v>4889</v>
      </c>
      <c r="BN240" t="s">
        <v>74</v>
      </c>
      <c r="BO240" t="s">
        <v>236</v>
      </c>
      <c r="BP240" t="s">
        <v>74</v>
      </c>
      <c r="BQ240" t="s">
        <v>74</v>
      </c>
      <c r="BR240" t="s">
        <v>105</v>
      </c>
      <c r="BS240" t="s">
        <v>4904</v>
      </c>
      <c r="BT240" t="str">
        <f>HYPERLINK("https%3A%2F%2Fwww.webofscience.com%2Fwos%2Fwoscc%2Ffull-record%2FWOS:000433024900007","View Full Record in Web of Science")</f>
        <v>View Full Record in Web of Science</v>
      </c>
    </row>
    <row r="241" spans="1:72" x14ac:dyDescent="0.15">
      <c r="A241" t="s">
        <v>72</v>
      </c>
      <c r="B241" t="s">
        <v>4905</v>
      </c>
      <c r="C241" t="s">
        <v>74</v>
      </c>
      <c r="D241" t="s">
        <v>74</v>
      </c>
      <c r="E241" t="s">
        <v>74</v>
      </c>
      <c r="F241" t="s">
        <v>4906</v>
      </c>
      <c r="G241" t="s">
        <v>74</v>
      </c>
      <c r="H241" t="s">
        <v>74</v>
      </c>
      <c r="I241" t="s">
        <v>4907</v>
      </c>
      <c r="J241" t="s">
        <v>4853</v>
      </c>
      <c r="K241" t="s">
        <v>74</v>
      </c>
      <c r="L241" t="s">
        <v>74</v>
      </c>
      <c r="M241" t="s">
        <v>2986</v>
      </c>
      <c r="N241" t="s">
        <v>79</v>
      </c>
      <c r="O241" t="s">
        <v>74</v>
      </c>
      <c r="P241" t="s">
        <v>74</v>
      </c>
      <c r="Q241" t="s">
        <v>74</v>
      </c>
      <c r="R241" t="s">
        <v>74</v>
      </c>
      <c r="S241" t="s">
        <v>74</v>
      </c>
      <c r="T241" t="s">
        <v>4908</v>
      </c>
      <c r="U241" t="s">
        <v>4909</v>
      </c>
      <c r="V241" t="s">
        <v>4910</v>
      </c>
      <c r="W241" t="s">
        <v>4911</v>
      </c>
      <c r="X241" t="s">
        <v>4456</v>
      </c>
      <c r="Y241" t="s">
        <v>4912</v>
      </c>
      <c r="Z241" t="s">
        <v>4913</v>
      </c>
      <c r="AA241" t="s">
        <v>4914</v>
      </c>
      <c r="AB241" t="s">
        <v>74</v>
      </c>
      <c r="AC241" t="s">
        <v>4915</v>
      </c>
      <c r="AD241" t="s">
        <v>2846</v>
      </c>
      <c r="AE241" t="s">
        <v>4916</v>
      </c>
      <c r="AF241" t="s">
        <v>74</v>
      </c>
      <c r="AG241">
        <v>12</v>
      </c>
      <c r="AH241">
        <v>8</v>
      </c>
      <c r="AI241">
        <v>10</v>
      </c>
      <c r="AJ241">
        <v>0</v>
      </c>
      <c r="AK241">
        <v>8</v>
      </c>
      <c r="AL241" t="s">
        <v>4865</v>
      </c>
      <c r="AM241" t="s">
        <v>2992</v>
      </c>
      <c r="AN241" t="s">
        <v>4866</v>
      </c>
      <c r="AO241" t="s">
        <v>4867</v>
      </c>
      <c r="AP241" t="s">
        <v>4868</v>
      </c>
      <c r="AQ241" t="s">
        <v>74</v>
      </c>
      <c r="AR241" t="s">
        <v>4869</v>
      </c>
      <c r="AS241" t="s">
        <v>4870</v>
      </c>
      <c r="AT241" t="s">
        <v>74</v>
      </c>
      <c r="AU241">
        <v>2018</v>
      </c>
      <c r="AV241">
        <v>58</v>
      </c>
      <c r="AW241">
        <v>2</v>
      </c>
      <c r="AX241" t="s">
        <v>74</v>
      </c>
      <c r="AY241" t="s">
        <v>74</v>
      </c>
      <c r="AZ241" t="s">
        <v>74</v>
      </c>
      <c r="BA241" t="s">
        <v>74</v>
      </c>
      <c r="BB241">
        <v>255</v>
      </c>
      <c r="BC241">
        <v>260</v>
      </c>
      <c r="BD241" t="s">
        <v>74</v>
      </c>
      <c r="BE241" t="s">
        <v>4917</v>
      </c>
      <c r="BF241" t="str">
        <f>HYPERLINK("http://dx.doi.org/10.15356/2076-6734-2018-2-255-260","http://dx.doi.org/10.15356/2076-6734-2018-2-255-260")</f>
        <v>http://dx.doi.org/10.15356/2076-6734-2018-2-255-260</v>
      </c>
      <c r="BG241" t="s">
        <v>74</v>
      </c>
      <c r="BH241" t="s">
        <v>74</v>
      </c>
      <c r="BI241">
        <v>6</v>
      </c>
      <c r="BJ241" t="s">
        <v>280</v>
      </c>
      <c r="BK241" t="s">
        <v>2081</v>
      </c>
      <c r="BL241" t="s">
        <v>281</v>
      </c>
      <c r="BM241" t="s">
        <v>4889</v>
      </c>
      <c r="BN241" t="s">
        <v>74</v>
      </c>
      <c r="BO241" t="s">
        <v>160</v>
      </c>
      <c r="BP241" t="s">
        <v>74</v>
      </c>
      <c r="BQ241" t="s">
        <v>74</v>
      </c>
      <c r="BR241" t="s">
        <v>105</v>
      </c>
      <c r="BS241" t="s">
        <v>4918</v>
      </c>
      <c r="BT241" t="str">
        <f>HYPERLINK("https%3A%2F%2Fwww.webofscience.com%2Fwos%2Fwoscc%2Ffull-record%2FWOS:000433024900011","View Full Record in Web of Science")</f>
        <v>View Full Record in Web of Science</v>
      </c>
    </row>
    <row r="242" spans="1:72" x14ac:dyDescent="0.15">
      <c r="A242" t="s">
        <v>72</v>
      </c>
      <c r="B242" t="s">
        <v>4919</v>
      </c>
      <c r="C242" t="s">
        <v>74</v>
      </c>
      <c r="D242" t="s">
        <v>74</v>
      </c>
      <c r="E242" t="s">
        <v>74</v>
      </c>
      <c r="F242" t="s">
        <v>4920</v>
      </c>
      <c r="G242" t="s">
        <v>74</v>
      </c>
      <c r="H242" t="s">
        <v>74</v>
      </c>
      <c r="I242" t="s">
        <v>4921</v>
      </c>
      <c r="J242" t="s">
        <v>4853</v>
      </c>
      <c r="K242" t="s">
        <v>74</v>
      </c>
      <c r="L242" t="s">
        <v>74</v>
      </c>
      <c r="M242" t="s">
        <v>2986</v>
      </c>
      <c r="N242" t="s">
        <v>79</v>
      </c>
      <c r="O242" t="s">
        <v>74</v>
      </c>
      <c r="P242" t="s">
        <v>74</v>
      </c>
      <c r="Q242" t="s">
        <v>74</v>
      </c>
      <c r="R242" t="s">
        <v>74</v>
      </c>
      <c r="S242" t="s">
        <v>74</v>
      </c>
      <c r="T242" t="s">
        <v>4922</v>
      </c>
      <c r="U242" t="s">
        <v>74</v>
      </c>
      <c r="V242" t="s">
        <v>4923</v>
      </c>
      <c r="W242" t="s">
        <v>4924</v>
      </c>
      <c r="X242" t="s">
        <v>4925</v>
      </c>
      <c r="Y242" t="s">
        <v>4926</v>
      </c>
      <c r="Z242" t="s">
        <v>4927</v>
      </c>
      <c r="AA242" t="s">
        <v>4928</v>
      </c>
      <c r="AB242" t="s">
        <v>4929</v>
      </c>
      <c r="AC242" t="s">
        <v>4930</v>
      </c>
      <c r="AD242" t="s">
        <v>4931</v>
      </c>
      <c r="AE242" t="s">
        <v>4932</v>
      </c>
      <c r="AF242" t="s">
        <v>74</v>
      </c>
      <c r="AG242">
        <v>15</v>
      </c>
      <c r="AH242">
        <v>4</v>
      </c>
      <c r="AI242">
        <v>4</v>
      </c>
      <c r="AJ242">
        <v>0</v>
      </c>
      <c r="AK242">
        <v>7</v>
      </c>
      <c r="AL242" t="s">
        <v>4865</v>
      </c>
      <c r="AM242" t="s">
        <v>2992</v>
      </c>
      <c r="AN242" t="s">
        <v>4866</v>
      </c>
      <c r="AO242" t="s">
        <v>4867</v>
      </c>
      <c r="AP242" t="s">
        <v>4868</v>
      </c>
      <c r="AQ242" t="s">
        <v>74</v>
      </c>
      <c r="AR242" t="s">
        <v>4869</v>
      </c>
      <c r="AS242" t="s">
        <v>4870</v>
      </c>
      <c r="AT242" t="s">
        <v>74</v>
      </c>
      <c r="AU242">
        <v>2018</v>
      </c>
      <c r="AV242">
        <v>58</v>
      </c>
      <c r="AW242">
        <v>3</v>
      </c>
      <c r="AX242" t="s">
        <v>74</v>
      </c>
      <c r="AY242" t="s">
        <v>74</v>
      </c>
      <c r="AZ242" t="s">
        <v>74</v>
      </c>
      <c r="BA242" t="s">
        <v>74</v>
      </c>
      <c r="BB242">
        <v>333</v>
      </c>
      <c r="BC242">
        <v>342</v>
      </c>
      <c r="BD242" t="s">
        <v>74</v>
      </c>
      <c r="BE242" t="s">
        <v>4933</v>
      </c>
      <c r="BF242" t="str">
        <f>HYPERLINK("http://dx.doi.org/10.15356/2076-6734-2018-3-333-342","http://dx.doi.org/10.15356/2076-6734-2018-3-333-342")</f>
        <v>http://dx.doi.org/10.15356/2076-6734-2018-3-333-342</v>
      </c>
      <c r="BG242" t="s">
        <v>74</v>
      </c>
      <c r="BH242" t="s">
        <v>74</v>
      </c>
      <c r="BI242">
        <v>10</v>
      </c>
      <c r="BJ242" t="s">
        <v>280</v>
      </c>
      <c r="BK242" t="s">
        <v>2081</v>
      </c>
      <c r="BL242" t="s">
        <v>281</v>
      </c>
      <c r="BM242" t="s">
        <v>4934</v>
      </c>
      <c r="BN242" t="s">
        <v>74</v>
      </c>
      <c r="BO242" t="s">
        <v>236</v>
      </c>
      <c r="BP242" t="s">
        <v>74</v>
      </c>
      <c r="BQ242" t="s">
        <v>74</v>
      </c>
      <c r="BR242" t="s">
        <v>105</v>
      </c>
      <c r="BS242" t="s">
        <v>4935</v>
      </c>
      <c r="BT242" t="str">
        <f>HYPERLINK("https%3A%2F%2Fwww.webofscience.com%2Fwos%2Fwoscc%2Ffull-record%2FWOS:000445738100004","View Full Record in Web of Science")</f>
        <v>View Full Record in Web of Science</v>
      </c>
    </row>
    <row r="243" spans="1:72" x14ac:dyDescent="0.15">
      <c r="A243" t="s">
        <v>72</v>
      </c>
      <c r="B243" t="s">
        <v>4936</v>
      </c>
      <c r="C243" t="s">
        <v>74</v>
      </c>
      <c r="D243" t="s">
        <v>74</v>
      </c>
      <c r="E243" t="s">
        <v>74</v>
      </c>
      <c r="F243" t="s">
        <v>4937</v>
      </c>
      <c r="G243" t="s">
        <v>74</v>
      </c>
      <c r="H243" t="s">
        <v>74</v>
      </c>
      <c r="I243" t="s">
        <v>4938</v>
      </c>
      <c r="J243" t="s">
        <v>4853</v>
      </c>
      <c r="K243" t="s">
        <v>74</v>
      </c>
      <c r="L243" t="s">
        <v>74</v>
      </c>
      <c r="M243" t="s">
        <v>2986</v>
      </c>
      <c r="N243" t="s">
        <v>79</v>
      </c>
      <c r="O243" t="s">
        <v>74</v>
      </c>
      <c r="P243" t="s">
        <v>74</v>
      </c>
      <c r="Q243" t="s">
        <v>74</v>
      </c>
      <c r="R243" t="s">
        <v>74</v>
      </c>
      <c r="S243" t="s">
        <v>74</v>
      </c>
      <c r="T243" t="s">
        <v>4939</v>
      </c>
      <c r="U243" t="s">
        <v>74</v>
      </c>
      <c r="V243" t="s">
        <v>4940</v>
      </c>
      <c r="W243" t="s">
        <v>4941</v>
      </c>
      <c r="X243" t="s">
        <v>4857</v>
      </c>
      <c r="Y243" t="s">
        <v>4942</v>
      </c>
      <c r="Z243" t="s">
        <v>4943</v>
      </c>
      <c r="AA243" t="s">
        <v>74</v>
      </c>
      <c r="AB243" t="s">
        <v>74</v>
      </c>
      <c r="AC243" t="s">
        <v>4944</v>
      </c>
      <c r="AD243" t="s">
        <v>4863</v>
      </c>
      <c r="AE243" t="s">
        <v>4945</v>
      </c>
      <c r="AF243" t="s">
        <v>74</v>
      </c>
      <c r="AG243">
        <v>10</v>
      </c>
      <c r="AH243">
        <v>1</v>
      </c>
      <c r="AI243">
        <v>1</v>
      </c>
      <c r="AJ243">
        <v>0</v>
      </c>
      <c r="AK243">
        <v>5</v>
      </c>
      <c r="AL243" t="s">
        <v>4865</v>
      </c>
      <c r="AM243" t="s">
        <v>2992</v>
      </c>
      <c r="AN243" t="s">
        <v>4866</v>
      </c>
      <c r="AO243" t="s">
        <v>4867</v>
      </c>
      <c r="AP243" t="s">
        <v>4868</v>
      </c>
      <c r="AQ243" t="s">
        <v>74</v>
      </c>
      <c r="AR243" t="s">
        <v>4869</v>
      </c>
      <c r="AS243" t="s">
        <v>4870</v>
      </c>
      <c r="AT243" t="s">
        <v>74</v>
      </c>
      <c r="AU243">
        <v>2018</v>
      </c>
      <c r="AV243">
        <v>58</v>
      </c>
      <c r="AW243">
        <v>3</v>
      </c>
      <c r="AX243" t="s">
        <v>74</v>
      </c>
      <c r="AY243" t="s">
        <v>74</v>
      </c>
      <c r="AZ243" t="s">
        <v>74</v>
      </c>
      <c r="BA243" t="s">
        <v>74</v>
      </c>
      <c r="BB243">
        <v>387</v>
      </c>
      <c r="BC243">
        <v>395</v>
      </c>
      <c r="BD243" t="s">
        <v>74</v>
      </c>
      <c r="BE243" t="s">
        <v>4946</v>
      </c>
      <c r="BF243" t="str">
        <f>HYPERLINK("http://dx.doi.org/10.15356/2076-6734-2018-3-387-395","http://dx.doi.org/10.15356/2076-6734-2018-3-387-395")</f>
        <v>http://dx.doi.org/10.15356/2076-6734-2018-3-387-395</v>
      </c>
      <c r="BG243" t="s">
        <v>74</v>
      </c>
      <c r="BH243" t="s">
        <v>74</v>
      </c>
      <c r="BI243">
        <v>9</v>
      </c>
      <c r="BJ243" t="s">
        <v>280</v>
      </c>
      <c r="BK243" t="s">
        <v>2081</v>
      </c>
      <c r="BL243" t="s">
        <v>281</v>
      </c>
      <c r="BM243" t="s">
        <v>4934</v>
      </c>
      <c r="BN243" t="s">
        <v>74</v>
      </c>
      <c r="BO243" t="s">
        <v>160</v>
      </c>
      <c r="BP243" t="s">
        <v>74</v>
      </c>
      <c r="BQ243" t="s">
        <v>74</v>
      </c>
      <c r="BR243" t="s">
        <v>105</v>
      </c>
      <c r="BS243" t="s">
        <v>4947</v>
      </c>
      <c r="BT243" t="str">
        <f>HYPERLINK("https%3A%2F%2Fwww.webofscience.com%2Fwos%2Fwoscc%2Ffull-record%2FWOS:000445738100009","View Full Record in Web of Science")</f>
        <v>View Full Record in Web of Science</v>
      </c>
    </row>
    <row r="244" spans="1:72" x14ac:dyDescent="0.15">
      <c r="A244" t="s">
        <v>72</v>
      </c>
      <c r="B244" t="s">
        <v>4948</v>
      </c>
      <c r="C244" t="s">
        <v>74</v>
      </c>
      <c r="D244" t="s">
        <v>74</v>
      </c>
      <c r="E244" t="s">
        <v>74</v>
      </c>
      <c r="F244" t="s">
        <v>4949</v>
      </c>
      <c r="G244" t="s">
        <v>74</v>
      </c>
      <c r="H244" t="s">
        <v>74</v>
      </c>
      <c r="I244" t="s">
        <v>4950</v>
      </c>
      <c r="J244" t="s">
        <v>4853</v>
      </c>
      <c r="K244" t="s">
        <v>74</v>
      </c>
      <c r="L244" t="s">
        <v>74</v>
      </c>
      <c r="M244" t="s">
        <v>2986</v>
      </c>
      <c r="N244" t="s">
        <v>79</v>
      </c>
      <c r="O244" t="s">
        <v>74</v>
      </c>
      <c r="P244" t="s">
        <v>74</v>
      </c>
      <c r="Q244" t="s">
        <v>74</v>
      </c>
      <c r="R244" t="s">
        <v>74</v>
      </c>
      <c r="S244" t="s">
        <v>74</v>
      </c>
      <c r="T244" t="s">
        <v>4951</v>
      </c>
      <c r="U244" t="s">
        <v>74</v>
      </c>
      <c r="V244" t="s">
        <v>4952</v>
      </c>
      <c r="W244" t="s">
        <v>4953</v>
      </c>
      <c r="X244" t="s">
        <v>4954</v>
      </c>
      <c r="Y244" t="s">
        <v>4955</v>
      </c>
      <c r="Z244" t="s">
        <v>4956</v>
      </c>
      <c r="AA244" t="s">
        <v>74</v>
      </c>
      <c r="AB244" t="s">
        <v>74</v>
      </c>
      <c r="AC244" t="s">
        <v>4957</v>
      </c>
      <c r="AD244" t="s">
        <v>2846</v>
      </c>
      <c r="AE244" t="s">
        <v>4958</v>
      </c>
      <c r="AF244" t="s">
        <v>74</v>
      </c>
      <c r="AG244">
        <v>18</v>
      </c>
      <c r="AH244">
        <v>4</v>
      </c>
      <c r="AI244">
        <v>6</v>
      </c>
      <c r="AJ244">
        <v>0</v>
      </c>
      <c r="AK244">
        <v>2</v>
      </c>
      <c r="AL244" t="s">
        <v>4865</v>
      </c>
      <c r="AM244" t="s">
        <v>2992</v>
      </c>
      <c r="AN244" t="s">
        <v>4866</v>
      </c>
      <c r="AO244" t="s">
        <v>4867</v>
      </c>
      <c r="AP244" t="s">
        <v>4868</v>
      </c>
      <c r="AQ244" t="s">
        <v>74</v>
      </c>
      <c r="AR244" t="s">
        <v>4869</v>
      </c>
      <c r="AS244" t="s">
        <v>4870</v>
      </c>
      <c r="AT244" t="s">
        <v>74</v>
      </c>
      <c r="AU244">
        <v>2018</v>
      </c>
      <c r="AV244">
        <v>58</v>
      </c>
      <c r="AW244">
        <v>4</v>
      </c>
      <c r="AX244" t="s">
        <v>74</v>
      </c>
      <c r="AY244" t="s">
        <v>74</v>
      </c>
      <c r="AZ244" t="s">
        <v>74</v>
      </c>
      <c r="BA244" t="s">
        <v>74</v>
      </c>
      <c r="BB244">
        <v>537</v>
      </c>
      <c r="BC244">
        <v>551</v>
      </c>
      <c r="BD244" t="s">
        <v>74</v>
      </c>
      <c r="BE244" t="s">
        <v>4959</v>
      </c>
      <c r="BF244" t="str">
        <f>HYPERLINK("http://dx.doi.org/10.15356/2076-6734-2018-4-537-551","http://dx.doi.org/10.15356/2076-6734-2018-4-537-551")</f>
        <v>http://dx.doi.org/10.15356/2076-6734-2018-4-537-551</v>
      </c>
      <c r="BG244" t="s">
        <v>74</v>
      </c>
      <c r="BH244" t="s">
        <v>74</v>
      </c>
      <c r="BI244">
        <v>15</v>
      </c>
      <c r="BJ244" t="s">
        <v>280</v>
      </c>
      <c r="BK244" t="s">
        <v>2081</v>
      </c>
      <c r="BL244" t="s">
        <v>281</v>
      </c>
      <c r="BM244" t="s">
        <v>4960</v>
      </c>
      <c r="BN244" t="s">
        <v>74</v>
      </c>
      <c r="BO244" t="s">
        <v>160</v>
      </c>
      <c r="BP244" t="s">
        <v>74</v>
      </c>
      <c r="BQ244" t="s">
        <v>74</v>
      </c>
      <c r="BR244" t="s">
        <v>105</v>
      </c>
      <c r="BS244" t="s">
        <v>4961</v>
      </c>
      <c r="BT244" t="str">
        <f>HYPERLINK("https%3A%2F%2Fwww.webofscience.com%2Fwos%2Fwoscc%2Ffull-record%2FWOS:000452796600009","View Full Record in Web of Science")</f>
        <v>View Full Record in Web of Science</v>
      </c>
    </row>
    <row r="245" spans="1:72" x14ac:dyDescent="0.15">
      <c r="A245" t="s">
        <v>72</v>
      </c>
      <c r="B245" t="s">
        <v>4962</v>
      </c>
      <c r="C245" t="s">
        <v>74</v>
      </c>
      <c r="D245" t="s">
        <v>74</v>
      </c>
      <c r="E245" t="s">
        <v>74</v>
      </c>
      <c r="F245" t="s">
        <v>4963</v>
      </c>
      <c r="G245" t="s">
        <v>74</v>
      </c>
      <c r="H245" t="s">
        <v>74</v>
      </c>
      <c r="I245" t="s">
        <v>4964</v>
      </c>
      <c r="J245" t="s">
        <v>4965</v>
      </c>
      <c r="K245" t="s">
        <v>74</v>
      </c>
      <c r="L245" t="s">
        <v>74</v>
      </c>
      <c r="M245" t="s">
        <v>78</v>
      </c>
      <c r="N245" t="s">
        <v>79</v>
      </c>
      <c r="O245" t="s">
        <v>74</v>
      </c>
      <c r="P245" t="s">
        <v>74</v>
      </c>
      <c r="Q245" t="s">
        <v>74</v>
      </c>
      <c r="R245" t="s">
        <v>74</v>
      </c>
      <c r="S245" t="s">
        <v>74</v>
      </c>
      <c r="T245" t="s">
        <v>4966</v>
      </c>
      <c r="U245" t="s">
        <v>4967</v>
      </c>
      <c r="V245" t="s">
        <v>4968</v>
      </c>
      <c r="W245" t="s">
        <v>4969</v>
      </c>
      <c r="X245" t="s">
        <v>4970</v>
      </c>
      <c r="Y245" t="s">
        <v>4971</v>
      </c>
      <c r="Z245" t="s">
        <v>4972</v>
      </c>
      <c r="AA245" t="s">
        <v>4973</v>
      </c>
      <c r="AB245" t="s">
        <v>4974</v>
      </c>
      <c r="AC245" t="s">
        <v>4975</v>
      </c>
      <c r="AD245" t="s">
        <v>4976</v>
      </c>
      <c r="AE245" t="s">
        <v>4977</v>
      </c>
      <c r="AF245" t="s">
        <v>74</v>
      </c>
      <c r="AG245">
        <v>64</v>
      </c>
      <c r="AH245">
        <v>27</v>
      </c>
      <c r="AI245">
        <v>28</v>
      </c>
      <c r="AJ245">
        <v>1</v>
      </c>
      <c r="AK245">
        <v>22</v>
      </c>
      <c r="AL245" t="s">
        <v>4978</v>
      </c>
      <c r="AM245" t="s">
        <v>3107</v>
      </c>
      <c r="AN245" t="s">
        <v>4979</v>
      </c>
      <c r="AO245" t="s">
        <v>4980</v>
      </c>
      <c r="AP245" t="s">
        <v>4981</v>
      </c>
      <c r="AQ245" t="s">
        <v>74</v>
      </c>
      <c r="AR245" t="s">
        <v>4965</v>
      </c>
      <c r="AS245" t="s">
        <v>4982</v>
      </c>
      <c r="AT245" t="s">
        <v>2468</v>
      </c>
      <c r="AU245">
        <v>2018</v>
      </c>
      <c r="AV245">
        <v>19</v>
      </c>
      <c r="AW245">
        <v>1</v>
      </c>
      <c r="AX245" t="s">
        <v>74</v>
      </c>
      <c r="AY245" t="s">
        <v>74</v>
      </c>
      <c r="AZ245" t="s">
        <v>74</v>
      </c>
      <c r="BA245" t="s">
        <v>74</v>
      </c>
      <c r="BB245">
        <v>141</v>
      </c>
      <c r="BC245">
        <v>150</v>
      </c>
      <c r="BD245" t="s">
        <v>74</v>
      </c>
      <c r="BE245" t="s">
        <v>4983</v>
      </c>
      <c r="BF245" t="str">
        <f>HYPERLINK("http://dx.doi.org/10.1007/s10201-017-0528-9","http://dx.doi.org/10.1007/s10201-017-0528-9")</f>
        <v>http://dx.doi.org/10.1007/s10201-017-0528-9</v>
      </c>
      <c r="BG245" t="s">
        <v>74</v>
      </c>
      <c r="BH245" t="s">
        <v>74</v>
      </c>
      <c r="BI245">
        <v>10</v>
      </c>
      <c r="BJ245" t="s">
        <v>4982</v>
      </c>
      <c r="BK245" t="s">
        <v>101</v>
      </c>
      <c r="BL245" t="s">
        <v>3180</v>
      </c>
      <c r="BM245" t="s">
        <v>4984</v>
      </c>
      <c r="BN245" t="s">
        <v>74</v>
      </c>
      <c r="BO245" t="s">
        <v>74</v>
      </c>
      <c r="BP245" t="s">
        <v>74</v>
      </c>
      <c r="BQ245" t="s">
        <v>74</v>
      </c>
      <c r="BR245" t="s">
        <v>105</v>
      </c>
      <c r="BS245" t="s">
        <v>4985</v>
      </c>
      <c r="BT245" t="str">
        <f>HYPERLINK("https%3A%2F%2Fwww.webofscience.com%2Fwos%2Fwoscc%2Ffull-record%2FWOS:000418965400013","View Full Record in Web of Science")</f>
        <v>View Full Record in Web of Science</v>
      </c>
    </row>
    <row r="246" spans="1:72" x14ac:dyDescent="0.15">
      <c r="A246" t="s">
        <v>72</v>
      </c>
      <c r="B246" t="s">
        <v>4986</v>
      </c>
      <c r="C246" t="s">
        <v>74</v>
      </c>
      <c r="D246" t="s">
        <v>74</v>
      </c>
      <c r="E246" t="s">
        <v>74</v>
      </c>
      <c r="F246" t="s">
        <v>4987</v>
      </c>
      <c r="G246" t="s">
        <v>74</v>
      </c>
      <c r="H246" t="s">
        <v>74</v>
      </c>
      <c r="I246" t="s">
        <v>4988</v>
      </c>
      <c r="J246" t="s">
        <v>4989</v>
      </c>
      <c r="K246" t="s">
        <v>74</v>
      </c>
      <c r="L246" t="s">
        <v>74</v>
      </c>
      <c r="M246" t="s">
        <v>78</v>
      </c>
      <c r="N246" t="s">
        <v>79</v>
      </c>
      <c r="O246" t="s">
        <v>74</v>
      </c>
      <c r="P246" t="s">
        <v>74</v>
      </c>
      <c r="Q246" t="s">
        <v>74</v>
      </c>
      <c r="R246" t="s">
        <v>74</v>
      </c>
      <c r="S246" t="s">
        <v>74</v>
      </c>
      <c r="T246" t="s">
        <v>4990</v>
      </c>
      <c r="U246" t="s">
        <v>4991</v>
      </c>
      <c r="V246" t="s">
        <v>4992</v>
      </c>
      <c r="W246" t="s">
        <v>4993</v>
      </c>
      <c r="X246" t="s">
        <v>4994</v>
      </c>
      <c r="Y246" t="s">
        <v>4995</v>
      </c>
      <c r="Z246" t="s">
        <v>4996</v>
      </c>
      <c r="AA246" t="s">
        <v>74</v>
      </c>
      <c r="AB246" t="s">
        <v>4997</v>
      </c>
      <c r="AC246" t="s">
        <v>4998</v>
      </c>
      <c r="AD246" t="s">
        <v>4999</v>
      </c>
      <c r="AE246" t="s">
        <v>5000</v>
      </c>
      <c r="AF246" t="s">
        <v>74</v>
      </c>
      <c r="AG246">
        <v>82</v>
      </c>
      <c r="AH246">
        <v>8</v>
      </c>
      <c r="AI246">
        <v>8</v>
      </c>
      <c r="AJ246">
        <v>0</v>
      </c>
      <c r="AK246">
        <v>6</v>
      </c>
      <c r="AL246" t="s">
        <v>807</v>
      </c>
      <c r="AM246" t="s">
        <v>808</v>
      </c>
      <c r="AN246" t="s">
        <v>809</v>
      </c>
      <c r="AO246" t="s">
        <v>5001</v>
      </c>
      <c r="AP246" t="s">
        <v>5002</v>
      </c>
      <c r="AQ246" t="s">
        <v>74</v>
      </c>
      <c r="AR246" t="s">
        <v>4989</v>
      </c>
      <c r="AS246" t="s">
        <v>5003</v>
      </c>
      <c r="AT246" t="s">
        <v>2468</v>
      </c>
      <c r="AU246">
        <v>2018</v>
      </c>
      <c r="AV246">
        <v>296</v>
      </c>
      <c r="AW246" t="s">
        <v>74</v>
      </c>
      <c r="AX246" t="s">
        <v>74</v>
      </c>
      <c r="AY246" t="s">
        <v>74</v>
      </c>
      <c r="AZ246" t="s">
        <v>74</v>
      </c>
      <c r="BA246" t="s">
        <v>74</v>
      </c>
      <c r="BB246">
        <v>142</v>
      </c>
      <c r="BC246">
        <v>162</v>
      </c>
      <c r="BD246" t="s">
        <v>74</v>
      </c>
      <c r="BE246" t="s">
        <v>5004</v>
      </c>
      <c r="BF246" t="str">
        <f>HYPERLINK("http://dx.doi.org/10.1016/j.lithos.2017.10.014","http://dx.doi.org/10.1016/j.lithos.2017.10.014")</f>
        <v>http://dx.doi.org/10.1016/j.lithos.2017.10.014</v>
      </c>
      <c r="BG246" t="s">
        <v>74</v>
      </c>
      <c r="BH246" t="s">
        <v>74</v>
      </c>
      <c r="BI246">
        <v>21</v>
      </c>
      <c r="BJ246" t="s">
        <v>5005</v>
      </c>
      <c r="BK246" t="s">
        <v>101</v>
      </c>
      <c r="BL246" t="s">
        <v>5005</v>
      </c>
      <c r="BM246" t="s">
        <v>5006</v>
      </c>
      <c r="BN246" t="s">
        <v>74</v>
      </c>
      <c r="BO246" t="s">
        <v>1150</v>
      </c>
      <c r="BP246" t="s">
        <v>74</v>
      </c>
      <c r="BQ246" t="s">
        <v>74</v>
      </c>
      <c r="BR246" t="s">
        <v>105</v>
      </c>
      <c r="BS246" t="s">
        <v>5007</v>
      </c>
      <c r="BT246" t="str">
        <f>HYPERLINK("https%3A%2F%2Fwww.webofscience.com%2Fwos%2Fwoscc%2Ffull-record%2FWOS:000423890600011","View Full Record in Web of Science")</f>
        <v>View Full Record in Web of Science</v>
      </c>
    </row>
    <row r="247" spans="1:72" x14ac:dyDescent="0.15">
      <c r="A247" t="s">
        <v>72</v>
      </c>
      <c r="B247" t="s">
        <v>5008</v>
      </c>
      <c r="C247" t="s">
        <v>74</v>
      </c>
      <c r="D247" t="s">
        <v>74</v>
      </c>
      <c r="E247" t="s">
        <v>74</v>
      </c>
      <c r="F247" t="s">
        <v>5009</v>
      </c>
      <c r="G247" t="s">
        <v>74</v>
      </c>
      <c r="H247" t="s">
        <v>74</v>
      </c>
      <c r="I247" t="s">
        <v>5010</v>
      </c>
      <c r="J247" t="s">
        <v>5011</v>
      </c>
      <c r="K247" t="s">
        <v>74</v>
      </c>
      <c r="L247" t="s">
        <v>74</v>
      </c>
      <c r="M247" t="s">
        <v>3120</v>
      </c>
      <c r="N247" t="s">
        <v>79</v>
      </c>
      <c r="O247" t="s">
        <v>74</v>
      </c>
      <c r="P247" t="s">
        <v>74</v>
      </c>
      <c r="Q247" t="s">
        <v>74</v>
      </c>
      <c r="R247" t="s">
        <v>74</v>
      </c>
      <c r="S247" t="s">
        <v>74</v>
      </c>
      <c r="T247" t="s">
        <v>5012</v>
      </c>
      <c r="U247" t="s">
        <v>74</v>
      </c>
      <c r="V247" t="s">
        <v>5013</v>
      </c>
      <c r="W247" t="s">
        <v>5014</v>
      </c>
      <c r="X247" t="s">
        <v>5015</v>
      </c>
      <c r="Y247" t="s">
        <v>5016</v>
      </c>
      <c r="Z247" t="s">
        <v>5017</v>
      </c>
      <c r="AA247" t="s">
        <v>5018</v>
      </c>
      <c r="AB247" t="s">
        <v>74</v>
      </c>
      <c r="AC247" t="s">
        <v>74</v>
      </c>
      <c r="AD247" t="s">
        <v>74</v>
      </c>
      <c r="AE247" t="s">
        <v>74</v>
      </c>
      <c r="AF247" t="s">
        <v>74</v>
      </c>
      <c r="AG247">
        <v>37</v>
      </c>
      <c r="AH247">
        <v>0</v>
      </c>
      <c r="AI247">
        <v>0</v>
      </c>
      <c r="AJ247">
        <v>0</v>
      </c>
      <c r="AK247">
        <v>1</v>
      </c>
      <c r="AL247" t="s">
        <v>5019</v>
      </c>
      <c r="AM247" t="s">
        <v>5020</v>
      </c>
      <c r="AN247" t="s">
        <v>5021</v>
      </c>
      <c r="AO247" t="s">
        <v>5022</v>
      </c>
      <c r="AP247" t="s">
        <v>5023</v>
      </c>
      <c r="AQ247" t="s">
        <v>74</v>
      </c>
      <c r="AR247" t="s">
        <v>5024</v>
      </c>
      <c r="AS247" t="s">
        <v>5025</v>
      </c>
      <c r="AT247" t="s">
        <v>74</v>
      </c>
      <c r="AU247">
        <v>2018</v>
      </c>
      <c r="AV247">
        <v>28</v>
      </c>
      <c r="AW247">
        <v>2</v>
      </c>
      <c r="AX247" t="s">
        <v>74</v>
      </c>
      <c r="AY247" t="s">
        <v>74</v>
      </c>
      <c r="AZ247" t="s">
        <v>74</v>
      </c>
      <c r="BA247" t="s">
        <v>74</v>
      </c>
      <c r="BB247">
        <v>471</v>
      </c>
      <c r="BC247">
        <v>482</v>
      </c>
      <c r="BD247" t="s">
        <v>74</v>
      </c>
      <c r="BE247" t="s">
        <v>5026</v>
      </c>
      <c r="BF247" t="str">
        <f>HYPERLINK("http://dx.doi.org/10.15443/RL2834","http://dx.doi.org/10.15443/RL2834")</f>
        <v>http://dx.doi.org/10.15443/RL2834</v>
      </c>
      <c r="BG247" t="s">
        <v>74</v>
      </c>
      <c r="BH247" t="s">
        <v>74</v>
      </c>
      <c r="BI247">
        <v>12</v>
      </c>
      <c r="BJ247" t="s">
        <v>5027</v>
      </c>
      <c r="BK247" t="s">
        <v>2081</v>
      </c>
      <c r="BL247" t="s">
        <v>5028</v>
      </c>
      <c r="BM247" t="s">
        <v>5029</v>
      </c>
      <c r="BN247" t="s">
        <v>74</v>
      </c>
      <c r="BO247" t="s">
        <v>494</v>
      </c>
      <c r="BP247" t="s">
        <v>74</v>
      </c>
      <c r="BQ247" t="s">
        <v>74</v>
      </c>
      <c r="BR247" t="s">
        <v>105</v>
      </c>
      <c r="BS247" t="s">
        <v>5030</v>
      </c>
      <c r="BT247" t="str">
        <f>HYPERLINK("https%3A%2F%2Fwww.webofscience.com%2Fwos%2Fwoscc%2Ffull-record%2FWOS:000451482800018","View Full Record in Web of Science")</f>
        <v>View Full Record in Web of Science</v>
      </c>
    </row>
    <row r="248" spans="1:72" x14ac:dyDescent="0.15">
      <c r="A248" t="s">
        <v>72</v>
      </c>
      <c r="B248" t="s">
        <v>5031</v>
      </c>
      <c r="C248" t="s">
        <v>74</v>
      </c>
      <c r="D248" t="s">
        <v>74</v>
      </c>
      <c r="E248" t="s">
        <v>74</v>
      </c>
      <c r="F248" t="s">
        <v>5032</v>
      </c>
      <c r="G248" t="s">
        <v>74</v>
      </c>
      <c r="H248" t="s">
        <v>74</v>
      </c>
      <c r="I248" t="s">
        <v>5033</v>
      </c>
      <c r="J248" t="s">
        <v>3119</v>
      </c>
      <c r="K248" t="s">
        <v>74</v>
      </c>
      <c r="L248" t="s">
        <v>74</v>
      </c>
      <c r="M248" t="s">
        <v>3120</v>
      </c>
      <c r="N248" t="s">
        <v>79</v>
      </c>
      <c r="O248" t="s">
        <v>74</v>
      </c>
      <c r="P248" t="s">
        <v>74</v>
      </c>
      <c r="Q248" t="s">
        <v>74</v>
      </c>
      <c r="R248" t="s">
        <v>74</v>
      </c>
      <c r="S248" t="s">
        <v>74</v>
      </c>
      <c r="T248" t="s">
        <v>5034</v>
      </c>
      <c r="U248" t="s">
        <v>5035</v>
      </c>
      <c r="V248" t="s">
        <v>5036</v>
      </c>
      <c r="W248" t="s">
        <v>5037</v>
      </c>
      <c r="X248" t="s">
        <v>5038</v>
      </c>
      <c r="Y248" t="s">
        <v>5039</v>
      </c>
      <c r="Z248" t="s">
        <v>5040</v>
      </c>
      <c r="AA248" t="s">
        <v>5041</v>
      </c>
      <c r="AB248" t="s">
        <v>5042</v>
      </c>
      <c r="AC248" t="s">
        <v>74</v>
      </c>
      <c r="AD248" t="s">
        <v>74</v>
      </c>
      <c r="AE248" t="s">
        <v>74</v>
      </c>
      <c r="AF248" t="s">
        <v>74</v>
      </c>
      <c r="AG248">
        <v>37</v>
      </c>
      <c r="AH248">
        <v>2</v>
      </c>
      <c r="AI248">
        <v>2</v>
      </c>
      <c r="AJ248">
        <v>0</v>
      </c>
      <c r="AK248">
        <v>43</v>
      </c>
      <c r="AL248" t="s">
        <v>3129</v>
      </c>
      <c r="AM248" t="s">
        <v>3130</v>
      </c>
      <c r="AN248" t="s">
        <v>3131</v>
      </c>
      <c r="AO248" t="s">
        <v>3132</v>
      </c>
      <c r="AP248" t="s">
        <v>74</v>
      </c>
      <c r="AQ248" t="s">
        <v>74</v>
      </c>
      <c r="AR248" t="s">
        <v>3119</v>
      </c>
      <c r="AS248" t="s">
        <v>3133</v>
      </c>
      <c r="AT248" t="s">
        <v>74</v>
      </c>
      <c r="AU248">
        <v>2018</v>
      </c>
      <c r="AV248">
        <v>46</v>
      </c>
      <c r="AW248">
        <v>1</v>
      </c>
      <c r="AX248" t="s">
        <v>74</v>
      </c>
      <c r="AY248" t="s">
        <v>74</v>
      </c>
      <c r="AZ248" t="s">
        <v>74</v>
      </c>
      <c r="BA248" t="s">
        <v>74</v>
      </c>
      <c r="BB248">
        <v>65</v>
      </c>
      <c r="BC248">
        <v>78</v>
      </c>
      <c r="BD248" t="s">
        <v>74</v>
      </c>
      <c r="BE248" t="s">
        <v>5043</v>
      </c>
      <c r="BF248" t="str">
        <f>HYPERLINK("http://dx.doi.org/10.4067/S0718-22442018000100065","http://dx.doi.org/10.4067/S0718-22442018000100065")</f>
        <v>http://dx.doi.org/10.4067/S0718-22442018000100065</v>
      </c>
      <c r="BG248" t="s">
        <v>74</v>
      </c>
      <c r="BH248" t="s">
        <v>74</v>
      </c>
      <c r="BI248">
        <v>14</v>
      </c>
      <c r="BJ248" t="s">
        <v>3135</v>
      </c>
      <c r="BK248" t="s">
        <v>3136</v>
      </c>
      <c r="BL248" t="s">
        <v>3135</v>
      </c>
      <c r="BM248" t="s">
        <v>5044</v>
      </c>
      <c r="BN248" t="s">
        <v>74</v>
      </c>
      <c r="BO248" t="s">
        <v>630</v>
      </c>
      <c r="BP248" t="s">
        <v>74</v>
      </c>
      <c r="BQ248" t="s">
        <v>74</v>
      </c>
      <c r="BR248" t="s">
        <v>105</v>
      </c>
      <c r="BS248" t="s">
        <v>5045</v>
      </c>
      <c r="BT248" t="str">
        <f>HYPERLINK("https%3A%2F%2Fwww.webofscience.com%2Fwos%2Fwoscc%2Ffull-record%2FWOS:000444030100005","View Full Record in Web of Science")</f>
        <v>View Full Record in Web of Science</v>
      </c>
    </row>
    <row r="249" spans="1:72" x14ac:dyDescent="0.15">
      <c r="A249" t="s">
        <v>72</v>
      </c>
      <c r="B249" t="s">
        <v>5046</v>
      </c>
      <c r="C249" t="s">
        <v>74</v>
      </c>
      <c r="D249" t="s">
        <v>74</v>
      </c>
      <c r="E249" t="s">
        <v>74</v>
      </c>
      <c r="F249" t="s">
        <v>5047</v>
      </c>
      <c r="G249" t="s">
        <v>74</v>
      </c>
      <c r="H249" t="s">
        <v>74</v>
      </c>
      <c r="I249" t="s">
        <v>5048</v>
      </c>
      <c r="J249" t="s">
        <v>3119</v>
      </c>
      <c r="K249" t="s">
        <v>74</v>
      </c>
      <c r="L249" t="s">
        <v>74</v>
      </c>
      <c r="M249" t="s">
        <v>3120</v>
      </c>
      <c r="N249" t="s">
        <v>79</v>
      </c>
      <c r="O249" t="s">
        <v>74</v>
      </c>
      <c r="P249" t="s">
        <v>74</v>
      </c>
      <c r="Q249" t="s">
        <v>74</v>
      </c>
      <c r="R249" t="s">
        <v>74</v>
      </c>
      <c r="S249" t="s">
        <v>74</v>
      </c>
      <c r="T249" t="s">
        <v>5049</v>
      </c>
      <c r="U249" t="s">
        <v>5050</v>
      </c>
      <c r="V249" t="s">
        <v>5051</v>
      </c>
      <c r="W249" t="s">
        <v>5052</v>
      </c>
      <c r="X249" t="s">
        <v>1594</v>
      </c>
      <c r="Y249" t="s">
        <v>5053</v>
      </c>
      <c r="Z249" t="s">
        <v>5054</v>
      </c>
      <c r="AA249" t="s">
        <v>5041</v>
      </c>
      <c r="AB249" t="s">
        <v>5042</v>
      </c>
      <c r="AC249" t="s">
        <v>74</v>
      </c>
      <c r="AD249" t="s">
        <v>74</v>
      </c>
      <c r="AE249" t="s">
        <v>74</v>
      </c>
      <c r="AF249" t="s">
        <v>74</v>
      </c>
      <c r="AG249">
        <v>44</v>
      </c>
      <c r="AH249">
        <v>0</v>
      </c>
      <c r="AI249">
        <v>2</v>
      </c>
      <c r="AJ249">
        <v>4</v>
      </c>
      <c r="AK249">
        <v>69</v>
      </c>
      <c r="AL249" t="s">
        <v>3129</v>
      </c>
      <c r="AM249" t="s">
        <v>3130</v>
      </c>
      <c r="AN249" t="s">
        <v>3131</v>
      </c>
      <c r="AO249" t="s">
        <v>3132</v>
      </c>
      <c r="AP249" t="s">
        <v>74</v>
      </c>
      <c r="AQ249" t="s">
        <v>74</v>
      </c>
      <c r="AR249" t="s">
        <v>3119</v>
      </c>
      <c r="AS249" t="s">
        <v>3133</v>
      </c>
      <c r="AT249" t="s">
        <v>74</v>
      </c>
      <c r="AU249">
        <v>2018</v>
      </c>
      <c r="AV249">
        <v>46</v>
      </c>
      <c r="AW249">
        <v>1</v>
      </c>
      <c r="AX249" t="s">
        <v>74</v>
      </c>
      <c r="AY249" t="s">
        <v>74</v>
      </c>
      <c r="AZ249" t="s">
        <v>74</v>
      </c>
      <c r="BA249" t="s">
        <v>74</v>
      </c>
      <c r="BB249">
        <v>79</v>
      </c>
      <c r="BC249">
        <v>101</v>
      </c>
      <c r="BD249" t="s">
        <v>74</v>
      </c>
      <c r="BE249" t="s">
        <v>5055</v>
      </c>
      <c r="BF249" t="str">
        <f>HYPERLINK("http://dx.doi.org/10.4067/S0718-22442018000100079","http://dx.doi.org/10.4067/S0718-22442018000100079")</f>
        <v>http://dx.doi.org/10.4067/S0718-22442018000100079</v>
      </c>
      <c r="BG249" t="s">
        <v>74</v>
      </c>
      <c r="BH249" t="s">
        <v>74</v>
      </c>
      <c r="BI249">
        <v>23</v>
      </c>
      <c r="BJ249" t="s">
        <v>3135</v>
      </c>
      <c r="BK249" t="s">
        <v>3136</v>
      </c>
      <c r="BL249" t="s">
        <v>3135</v>
      </c>
      <c r="BM249" t="s">
        <v>5044</v>
      </c>
      <c r="BN249" t="s">
        <v>74</v>
      </c>
      <c r="BO249" t="s">
        <v>186</v>
      </c>
      <c r="BP249" t="s">
        <v>74</v>
      </c>
      <c r="BQ249" t="s">
        <v>74</v>
      </c>
      <c r="BR249" t="s">
        <v>105</v>
      </c>
      <c r="BS249" t="s">
        <v>5056</v>
      </c>
      <c r="BT249" t="str">
        <f>HYPERLINK("https%3A%2F%2Fwww.webofscience.com%2Fwos%2Fwoscc%2Ffull-record%2FWOS:000444030100006","View Full Record in Web of Science")</f>
        <v>View Full Record in Web of Science</v>
      </c>
    </row>
    <row r="250" spans="1:72" x14ac:dyDescent="0.15">
      <c r="A250" t="s">
        <v>72</v>
      </c>
      <c r="B250" t="s">
        <v>5057</v>
      </c>
      <c r="C250" t="s">
        <v>74</v>
      </c>
      <c r="D250" t="s">
        <v>74</v>
      </c>
      <c r="E250" t="s">
        <v>74</v>
      </c>
      <c r="F250" t="s">
        <v>5058</v>
      </c>
      <c r="G250" t="s">
        <v>74</v>
      </c>
      <c r="H250" t="s">
        <v>74</v>
      </c>
      <c r="I250" t="s">
        <v>5059</v>
      </c>
      <c r="J250" t="s">
        <v>3119</v>
      </c>
      <c r="K250" t="s">
        <v>74</v>
      </c>
      <c r="L250" t="s">
        <v>74</v>
      </c>
      <c r="M250" t="s">
        <v>3120</v>
      </c>
      <c r="N250" t="s">
        <v>79</v>
      </c>
      <c r="O250" t="s">
        <v>74</v>
      </c>
      <c r="P250" t="s">
        <v>74</v>
      </c>
      <c r="Q250" t="s">
        <v>74</v>
      </c>
      <c r="R250" t="s">
        <v>74</v>
      </c>
      <c r="S250" t="s">
        <v>74</v>
      </c>
      <c r="T250" t="s">
        <v>5060</v>
      </c>
      <c r="U250" t="s">
        <v>5061</v>
      </c>
      <c r="V250" t="s">
        <v>5062</v>
      </c>
      <c r="W250" t="s">
        <v>5063</v>
      </c>
      <c r="X250" t="s">
        <v>5064</v>
      </c>
      <c r="Y250" t="s">
        <v>5065</v>
      </c>
      <c r="Z250" t="s">
        <v>5066</v>
      </c>
      <c r="AA250" t="s">
        <v>5067</v>
      </c>
      <c r="AB250" t="s">
        <v>5068</v>
      </c>
      <c r="AC250" t="s">
        <v>74</v>
      </c>
      <c r="AD250" t="s">
        <v>74</v>
      </c>
      <c r="AE250" t="s">
        <v>74</v>
      </c>
      <c r="AF250" t="s">
        <v>74</v>
      </c>
      <c r="AG250">
        <v>39</v>
      </c>
      <c r="AH250">
        <v>1</v>
      </c>
      <c r="AI250">
        <v>2</v>
      </c>
      <c r="AJ250">
        <v>0</v>
      </c>
      <c r="AK250">
        <v>8</v>
      </c>
      <c r="AL250" t="s">
        <v>3129</v>
      </c>
      <c r="AM250" t="s">
        <v>3130</v>
      </c>
      <c r="AN250" t="s">
        <v>3131</v>
      </c>
      <c r="AO250" t="s">
        <v>3132</v>
      </c>
      <c r="AP250" t="s">
        <v>74</v>
      </c>
      <c r="AQ250" t="s">
        <v>74</v>
      </c>
      <c r="AR250" t="s">
        <v>3119</v>
      </c>
      <c r="AS250" t="s">
        <v>3133</v>
      </c>
      <c r="AT250" t="s">
        <v>74</v>
      </c>
      <c r="AU250">
        <v>2018</v>
      </c>
      <c r="AV250">
        <v>46</v>
      </c>
      <c r="AW250">
        <v>1</v>
      </c>
      <c r="AX250" t="s">
        <v>74</v>
      </c>
      <c r="AY250" t="s">
        <v>74</v>
      </c>
      <c r="AZ250" t="s">
        <v>74</v>
      </c>
      <c r="BA250" t="s">
        <v>74</v>
      </c>
      <c r="BB250">
        <v>125</v>
      </c>
      <c r="BC250">
        <v>135</v>
      </c>
      <c r="BD250" t="s">
        <v>74</v>
      </c>
      <c r="BE250" t="s">
        <v>5069</v>
      </c>
      <c r="BF250" t="str">
        <f>HYPERLINK("http://dx.doi.org/10.4067/S0718-22442018000100125","http://dx.doi.org/10.4067/S0718-22442018000100125")</f>
        <v>http://dx.doi.org/10.4067/S0718-22442018000100125</v>
      </c>
      <c r="BG250" t="s">
        <v>74</v>
      </c>
      <c r="BH250" t="s">
        <v>74</v>
      </c>
      <c r="BI250">
        <v>11</v>
      </c>
      <c r="BJ250" t="s">
        <v>3135</v>
      </c>
      <c r="BK250" t="s">
        <v>3136</v>
      </c>
      <c r="BL250" t="s">
        <v>3135</v>
      </c>
      <c r="BM250" t="s">
        <v>5044</v>
      </c>
      <c r="BN250" t="s">
        <v>74</v>
      </c>
      <c r="BO250" t="s">
        <v>920</v>
      </c>
      <c r="BP250" t="s">
        <v>74</v>
      </c>
      <c r="BQ250" t="s">
        <v>74</v>
      </c>
      <c r="BR250" t="s">
        <v>105</v>
      </c>
      <c r="BS250" t="s">
        <v>5070</v>
      </c>
      <c r="BT250" t="str">
        <f>HYPERLINK("https%3A%2F%2Fwww.webofscience.com%2Fwos%2Fwoscc%2Ffull-record%2FWOS:000444030100008","View Full Record in Web of Science")</f>
        <v>View Full Record in Web of Science</v>
      </c>
    </row>
    <row r="251" spans="1:72" x14ac:dyDescent="0.15">
      <c r="A251" t="s">
        <v>72</v>
      </c>
      <c r="B251" t="s">
        <v>5071</v>
      </c>
      <c r="C251" t="s">
        <v>74</v>
      </c>
      <c r="D251" t="s">
        <v>74</v>
      </c>
      <c r="E251" t="s">
        <v>74</v>
      </c>
      <c r="F251" t="s">
        <v>5072</v>
      </c>
      <c r="G251" t="s">
        <v>74</v>
      </c>
      <c r="H251" t="s">
        <v>74</v>
      </c>
      <c r="I251" t="s">
        <v>5073</v>
      </c>
      <c r="J251" t="s">
        <v>3119</v>
      </c>
      <c r="K251" t="s">
        <v>74</v>
      </c>
      <c r="L251" t="s">
        <v>74</v>
      </c>
      <c r="M251" t="s">
        <v>3120</v>
      </c>
      <c r="N251" t="s">
        <v>79</v>
      </c>
      <c r="O251" t="s">
        <v>74</v>
      </c>
      <c r="P251" t="s">
        <v>74</v>
      </c>
      <c r="Q251" t="s">
        <v>74</v>
      </c>
      <c r="R251" t="s">
        <v>74</v>
      </c>
      <c r="S251" t="s">
        <v>74</v>
      </c>
      <c r="T251" t="s">
        <v>5074</v>
      </c>
      <c r="U251" t="s">
        <v>5075</v>
      </c>
      <c r="V251" t="s">
        <v>5076</v>
      </c>
      <c r="W251" t="s">
        <v>5077</v>
      </c>
      <c r="X251" t="s">
        <v>5078</v>
      </c>
      <c r="Y251" t="s">
        <v>5079</v>
      </c>
      <c r="Z251" t="s">
        <v>5080</v>
      </c>
      <c r="AA251" t="s">
        <v>5081</v>
      </c>
      <c r="AB251" t="s">
        <v>5082</v>
      </c>
      <c r="AC251" t="s">
        <v>74</v>
      </c>
      <c r="AD251" t="s">
        <v>74</v>
      </c>
      <c r="AE251" t="s">
        <v>74</v>
      </c>
      <c r="AF251" t="s">
        <v>74</v>
      </c>
      <c r="AG251">
        <v>62</v>
      </c>
      <c r="AH251">
        <v>10</v>
      </c>
      <c r="AI251">
        <v>13</v>
      </c>
      <c r="AJ251">
        <v>14</v>
      </c>
      <c r="AK251">
        <v>116</v>
      </c>
      <c r="AL251" t="s">
        <v>3129</v>
      </c>
      <c r="AM251" t="s">
        <v>3130</v>
      </c>
      <c r="AN251" t="s">
        <v>3131</v>
      </c>
      <c r="AO251" t="s">
        <v>3132</v>
      </c>
      <c r="AP251" t="s">
        <v>74</v>
      </c>
      <c r="AQ251" t="s">
        <v>74</v>
      </c>
      <c r="AR251" t="s">
        <v>3119</v>
      </c>
      <c r="AS251" t="s">
        <v>3133</v>
      </c>
      <c r="AT251" t="s">
        <v>74</v>
      </c>
      <c r="AU251">
        <v>2018</v>
      </c>
      <c r="AV251">
        <v>46</v>
      </c>
      <c r="AW251">
        <v>1</v>
      </c>
      <c r="AX251" t="s">
        <v>74</v>
      </c>
      <c r="AY251" t="s">
        <v>74</v>
      </c>
      <c r="AZ251" t="s">
        <v>74</v>
      </c>
      <c r="BA251" t="s">
        <v>74</v>
      </c>
      <c r="BB251">
        <v>183</v>
      </c>
      <c r="BC251">
        <v>206</v>
      </c>
      <c r="BD251" t="s">
        <v>74</v>
      </c>
      <c r="BE251" t="s">
        <v>5083</v>
      </c>
      <c r="BF251" t="str">
        <f>HYPERLINK("http://dx.doi.org/10.4067/S0718-22442018000100183","http://dx.doi.org/10.4067/S0718-22442018000100183")</f>
        <v>http://dx.doi.org/10.4067/S0718-22442018000100183</v>
      </c>
      <c r="BG251" t="s">
        <v>74</v>
      </c>
      <c r="BH251" t="s">
        <v>74</v>
      </c>
      <c r="BI251">
        <v>24</v>
      </c>
      <c r="BJ251" t="s">
        <v>3135</v>
      </c>
      <c r="BK251" t="s">
        <v>3136</v>
      </c>
      <c r="BL251" t="s">
        <v>3135</v>
      </c>
      <c r="BM251" t="s">
        <v>5044</v>
      </c>
      <c r="BN251" t="s">
        <v>74</v>
      </c>
      <c r="BO251" t="s">
        <v>560</v>
      </c>
      <c r="BP251" t="s">
        <v>74</v>
      </c>
      <c r="BQ251" t="s">
        <v>74</v>
      </c>
      <c r="BR251" t="s">
        <v>105</v>
      </c>
      <c r="BS251" t="s">
        <v>5084</v>
      </c>
      <c r="BT251" t="str">
        <f>HYPERLINK("https%3A%2F%2Fwww.webofscience.com%2Fwos%2Fwoscc%2Ffull-record%2FWOS:000444030100011","View Full Record in Web of Science")</f>
        <v>View Full Record in Web of Science</v>
      </c>
    </row>
    <row r="252" spans="1:72" x14ac:dyDescent="0.15">
      <c r="A252" t="s">
        <v>72</v>
      </c>
      <c r="B252" t="s">
        <v>5085</v>
      </c>
      <c r="C252" t="s">
        <v>74</v>
      </c>
      <c r="D252" t="s">
        <v>74</v>
      </c>
      <c r="E252" t="s">
        <v>74</v>
      </c>
      <c r="F252" t="s">
        <v>5086</v>
      </c>
      <c r="G252" t="s">
        <v>74</v>
      </c>
      <c r="H252" t="s">
        <v>74</v>
      </c>
      <c r="I252" t="s">
        <v>5087</v>
      </c>
      <c r="J252" t="s">
        <v>3119</v>
      </c>
      <c r="K252" t="s">
        <v>74</v>
      </c>
      <c r="L252" t="s">
        <v>74</v>
      </c>
      <c r="M252" t="s">
        <v>3120</v>
      </c>
      <c r="N252" t="s">
        <v>79</v>
      </c>
      <c r="O252" t="s">
        <v>74</v>
      </c>
      <c r="P252" t="s">
        <v>74</v>
      </c>
      <c r="Q252" t="s">
        <v>74</v>
      </c>
      <c r="R252" t="s">
        <v>74</v>
      </c>
      <c r="S252" t="s">
        <v>74</v>
      </c>
      <c r="T252" t="s">
        <v>5088</v>
      </c>
      <c r="U252" t="s">
        <v>74</v>
      </c>
      <c r="V252" t="s">
        <v>5089</v>
      </c>
      <c r="W252" t="s">
        <v>5090</v>
      </c>
      <c r="X252" t="s">
        <v>74</v>
      </c>
      <c r="Y252" t="s">
        <v>5091</v>
      </c>
      <c r="Z252" t="s">
        <v>5092</v>
      </c>
      <c r="AA252" t="s">
        <v>74</v>
      </c>
      <c r="AB252" t="s">
        <v>74</v>
      </c>
      <c r="AC252" t="s">
        <v>74</v>
      </c>
      <c r="AD252" t="s">
        <v>74</v>
      </c>
      <c r="AE252" t="s">
        <v>74</v>
      </c>
      <c r="AF252" t="s">
        <v>74</v>
      </c>
      <c r="AG252">
        <v>15</v>
      </c>
      <c r="AH252">
        <v>1</v>
      </c>
      <c r="AI252">
        <v>1</v>
      </c>
      <c r="AJ252">
        <v>0</v>
      </c>
      <c r="AK252">
        <v>2</v>
      </c>
      <c r="AL252" t="s">
        <v>3129</v>
      </c>
      <c r="AM252" t="s">
        <v>3130</v>
      </c>
      <c r="AN252" t="s">
        <v>3131</v>
      </c>
      <c r="AO252" t="s">
        <v>3132</v>
      </c>
      <c r="AP252" t="s">
        <v>74</v>
      </c>
      <c r="AQ252" t="s">
        <v>74</v>
      </c>
      <c r="AR252" t="s">
        <v>3119</v>
      </c>
      <c r="AS252" t="s">
        <v>3133</v>
      </c>
      <c r="AT252" t="s">
        <v>74</v>
      </c>
      <c r="AU252">
        <v>2018</v>
      </c>
      <c r="AV252">
        <v>46</v>
      </c>
      <c r="AW252">
        <v>1</v>
      </c>
      <c r="AX252" t="s">
        <v>74</v>
      </c>
      <c r="AY252" t="s">
        <v>74</v>
      </c>
      <c r="AZ252" t="s">
        <v>74</v>
      </c>
      <c r="BA252" t="s">
        <v>74</v>
      </c>
      <c r="BB252">
        <v>227</v>
      </c>
      <c r="BC252">
        <v>235</v>
      </c>
      <c r="BD252" t="s">
        <v>74</v>
      </c>
      <c r="BE252" t="s">
        <v>5093</v>
      </c>
      <c r="BF252" t="str">
        <f>HYPERLINK("http://dx.doi.org/10.4067/S0718-22442018000100227","http://dx.doi.org/10.4067/S0718-22442018000100227")</f>
        <v>http://dx.doi.org/10.4067/S0718-22442018000100227</v>
      </c>
      <c r="BG252" t="s">
        <v>74</v>
      </c>
      <c r="BH252" t="s">
        <v>74</v>
      </c>
      <c r="BI252">
        <v>9</v>
      </c>
      <c r="BJ252" t="s">
        <v>3135</v>
      </c>
      <c r="BK252" t="s">
        <v>3136</v>
      </c>
      <c r="BL252" t="s">
        <v>3135</v>
      </c>
      <c r="BM252" t="s">
        <v>5044</v>
      </c>
      <c r="BN252" t="s">
        <v>74</v>
      </c>
      <c r="BO252" t="s">
        <v>494</v>
      </c>
      <c r="BP252" t="s">
        <v>74</v>
      </c>
      <c r="BQ252" t="s">
        <v>74</v>
      </c>
      <c r="BR252" t="s">
        <v>105</v>
      </c>
      <c r="BS252" t="s">
        <v>5094</v>
      </c>
      <c r="BT252" t="str">
        <f>HYPERLINK("https%3A%2F%2Fwww.webofscience.com%2Fwos%2Fwoscc%2Ffull-record%2FWOS:000444030100013","View Full Record in Web of Science")</f>
        <v>View Full Record in Web of Science</v>
      </c>
    </row>
    <row r="253" spans="1:72" x14ac:dyDescent="0.15">
      <c r="A253" t="s">
        <v>72</v>
      </c>
      <c r="B253" t="s">
        <v>5095</v>
      </c>
      <c r="C253" t="s">
        <v>74</v>
      </c>
      <c r="D253" t="s">
        <v>74</v>
      </c>
      <c r="E253" t="s">
        <v>74</v>
      </c>
      <c r="F253" t="s">
        <v>5096</v>
      </c>
      <c r="G253" t="s">
        <v>74</v>
      </c>
      <c r="H253" t="s">
        <v>74</v>
      </c>
      <c r="I253" t="s">
        <v>5097</v>
      </c>
      <c r="J253" t="s">
        <v>5098</v>
      </c>
      <c r="K253" t="s">
        <v>74</v>
      </c>
      <c r="L253" t="s">
        <v>74</v>
      </c>
      <c r="M253" t="s">
        <v>78</v>
      </c>
      <c r="N253" t="s">
        <v>79</v>
      </c>
      <c r="O253" t="s">
        <v>74</v>
      </c>
      <c r="P253" t="s">
        <v>74</v>
      </c>
      <c r="Q253" t="s">
        <v>74</v>
      </c>
      <c r="R253" t="s">
        <v>74</v>
      </c>
      <c r="S253" t="s">
        <v>74</v>
      </c>
      <c r="T253" t="s">
        <v>5099</v>
      </c>
      <c r="U253" t="s">
        <v>5100</v>
      </c>
      <c r="V253" t="s">
        <v>5101</v>
      </c>
      <c r="W253" t="s">
        <v>5102</v>
      </c>
      <c r="X253" t="s">
        <v>5103</v>
      </c>
      <c r="Y253" t="s">
        <v>5104</v>
      </c>
      <c r="Z253" t="s">
        <v>5105</v>
      </c>
      <c r="AA253" t="s">
        <v>5106</v>
      </c>
      <c r="AB253" t="s">
        <v>5107</v>
      </c>
      <c r="AC253" t="s">
        <v>5108</v>
      </c>
      <c r="AD253" t="s">
        <v>5108</v>
      </c>
      <c r="AE253" t="s">
        <v>5109</v>
      </c>
      <c r="AF253" t="s">
        <v>74</v>
      </c>
      <c r="AG253">
        <v>65</v>
      </c>
      <c r="AH253">
        <v>14</v>
      </c>
      <c r="AI253">
        <v>15</v>
      </c>
      <c r="AJ253">
        <v>0</v>
      </c>
      <c r="AK253">
        <v>16</v>
      </c>
      <c r="AL253" t="s">
        <v>5110</v>
      </c>
      <c r="AM253" t="s">
        <v>5111</v>
      </c>
      <c r="AN253" t="s">
        <v>5112</v>
      </c>
      <c r="AO253" t="s">
        <v>5113</v>
      </c>
      <c r="AP253" t="s">
        <v>5114</v>
      </c>
      <c r="AQ253" t="s">
        <v>74</v>
      </c>
      <c r="AR253" t="s">
        <v>5115</v>
      </c>
      <c r="AS253" t="s">
        <v>5116</v>
      </c>
      <c r="AT253" t="s">
        <v>74</v>
      </c>
      <c r="AU253">
        <v>2018</v>
      </c>
      <c r="AV253">
        <v>69</v>
      </c>
      <c r="AW253">
        <v>8</v>
      </c>
      <c r="AX253" t="s">
        <v>74</v>
      </c>
      <c r="AY253" t="s">
        <v>74</v>
      </c>
      <c r="AZ253" t="s">
        <v>74</v>
      </c>
      <c r="BA253" t="s">
        <v>74</v>
      </c>
      <c r="BB253">
        <v>1238</v>
      </c>
      <c r="BC253">
        <v>1247</v>
      </c>
      <c r="BD253" t="s">
        <v>74</v>
      </c>
      <c r="BE253" t="s">
        <v>5117</v>
      </c>
      <c r="BF253" t="str">
        <f>HYPERLINK("http://dx.doi.org/10.1071/MF17327","http://dx.doi.org/10.1071/MF17327")</f>
        <v>http://dx.doi.org/10.1071/MF17327</v>
      </c>
      <c r="BG253" t="s">
        <v>74</v>
      </c>
      <c r="BH253" t="s">
        <v>74</v>
      </c>
      <c r="BI253">
        <v>10</v>
      </c>
      <c r="BJ253" t="s">
        <v>5118</v>
      </c>
      <c r="BK253" t="s">
        <v>101</v>
      </c>
      <c r="BL253" t="s">
        <v>5119</v>
      </c>
      <c r="BM253" t="s">
        <v>5120</v>
      </c>
      <c r="BN253" t="s">
        <v>74</v>
      </c>
      <c r="BO253" t="s">
        <v>74</v>
      </c>
      <c r="BP253" t="s">
        <v>74</v>
      </c>
      <c r="BQ253" t="s">
        <v>74</v>
      </c>
      <c r="BR253" t="s">
        <v>105</v>
      </c>
      <c r="BS253" t="s">
        <v>5121</v>
      </c>
      <c r="BT253" t="str">
        <f>HYPERLINK("https%3A%2F%2Fwww.webofscience.com%2Fwos%2Fwoscc%2Ffull-record%2FWOS:000439446300006","View Full Record in Web of Science")</f>
        <v>View Full Record in Web of Science</v>
      </c>
    </row>
    <row r="254" spans="1:72" x14ac:dyDescent="0.15">
      <c r="A254" t="s">
        <v>72</v>
      </c>
      <c r="B254" t="s">
        <v>5122</v>
      </c>
      <c r="C254" t="s">
        <v>74</v>
      </c>
      <c r="D254" t="s">
        <v>74</v>
      </c>
      <c r="E254" t="s">
        <v>74</v>
      </c>
      <c r="F254" t="s">
        <v>5123</v>
      </c>
      <c r="G254" t="s">
        <v>74</v>
      </c>
      <c r="H254" t="s">
        <v>74</v>
      </c>
      <c r="I254" t="s">
        <v>5124</v>
      </c>
      <c r="J254" t="s">
        <v>5125</v>
      </c>
      <c r="K254" t="s">
        <v>74</v>
      </c>
      <c r="L254" t="s">
        <v>74</v>
      </c>
      <c r="M254" t="s">
        <v>78</v>
      </c>
      <c r="N254" t="s">
        <v>79</v>
      </c>
      <c r="O254" t="s">
        <v>74</v>
      </c>
      <c r="P254" t="s">
        <v>74</v>
      </c>
      <c r="Q254" t="s">
        <v>74</v>
      </c>
      <c r="R254" t="s">
        <v>74</v>
      </c>
      <c r="S254" t="s">
        <v>74</v>
      </c>
      <c r="T254" t="s">
        <v>74</v>
      </c>
      <c r="U254" t="s">
        <v>5126</v>
      </c>
      <c r="V254" t="s">
        <v>5127</v>
      </c>
      <c r="W254" t="s">
        <v>5128</v>
      </c>
      <c r="X254" t="s">
        <v>5129</v>
      </c>
      <c r="Y254" t="s">
        <v>5130</v>
      </c>
      <c r="Z254" t="s">
        <v>5131</v>
      </c>
      <c r="AA254" t="s">
        <v>5132</v>
      </c>
      <c r="AB254" t="s">
        <v>5133</v>
      </c>
      <c r="AC254" t="s">
        <v>5134</v>
      </c>
      <c r="AD254" t="s">
        <v>5135</v>
      </c>
      <c r="AE254" t="s">
        <v>5136</v>
      </c>
      <c r="AF254" t="s">
        <v>74</v>
      </c>
      <c r="AG254">
        <v>73</v>
      </c>
      <c r="AH254">
        <v>13</v>
      </c>
      <c r="AI254">
        <v>15</v>
      </c>
      <c r="AJ254">
        <v>2</v>
      </c>
      <c r="AK254">
        <v>23</v>
      </c>
      <c r="AL254" t="s">
        <v>3906</v>
      </c>
      <c r="AM254" t="s">
        <v>3907</v>
      </c>
      <c r="AN254" t="s">
        <v>3908</v>
      </c>
      <c r="AO254" t="s">
        <v>5137</v>
      </c>
      <c r="AP254" t="s">
        <v>5138</v>
      </c>
      <c r="AQ254" t="s">
        <v>74</v>
      </c>
      <c r="AR254" t="s">
        <v>5139</v>
      </c>
      <c r="AS254" t="s">
        <v>5140</v>
      </c>
      <c r="AT254" t="s">
        <v>2468</v>
      </c>
      <c r="AU254">
        <v>2018</v>
      </c>
      <c r="AV254">
        <v>165</v>
      </c>
      <c r="AW254">
        <v>1</v>
      </c>
      <c r="AX254" t="s">
        <v>74</v>
      </c>
      <c r="AY254" t="s">
        <v>74</v>
      </c>
      <c r="AZ254" t="s">
        <v>74</v>
      </c>
      <c r="BA254" t="s">
        <v>74</v>
      </c>
      <c r="BB254" t="s">
        <v>74</v>
      </c>
      <c r="BC254" t="s">
        <v>74</v>
      </c>
      <c r="BD254" t="s">
        <v>74</v>
      </c>
      <c r="BE254" t="s">
        <v>5141</v>
      </c>
      <c r="BF254" t="str">
        <f>HYPERLINK("http://dx.doi.org/10.1007/s00227-017-3264-0","http://dx.doi.org/10.1007/s00227-017-3264-0")</f>
        <v>http://dx.doi.org/10.1007/s00227-017-3264-0</v>
      </c>
      <c r="BG254" t="s">
        <v>74</v>
      </c>
      <c r="BH254" t="s">
        <v>74</v>
      </c>
      <c r="BI254">
        <v>10</v>
      </c>
      <c r="BJ254" t="s">
        <v>3180</v>
      </c>
      <c r="BK254" t="s">
        <v>101</v>
      </c>
      <c r="BL254" t="s">
        <v>3180</v>
      </c>
      <c r="BM254" t="s">
        <v>5142</v>
      </c>
      <c r="BN254" t="s">
        <v>74</v>
      </c>
      <c r="BO254" t="s">
        <v>74</v>
      </c>
      <c r="BP254" t="s">
        <v>74</v>
      </c>
      <c r="BQ254" t="s">
        <v>74</v>
      </c>
      <c r="BR254" t="s">
        <v>105</v>
      </c>
      <c r="BS254" t="s">
        <v>5143</v>
      </c>
      <c r="BT254" t="str">
        <f>HYPERLINK("https%3A%2F%2Fwww.webofscience.com%2Fwos%2Fwoscc%2Ffull-record%2FWOS:000424325900009","View Full Record in Web of Science")</f>
        <v>View Full Record in Web of Science</v>
      </c>
    </row>
    <row r="255" spans="1:72" x14ac:dyDescent="0.15">
      <c r="A255" t="s">
        <v>72</v>
      </c>
      <c r="B255" t="s">
        <v>5144</v>
      </c>
      <c r="C255" t="s">
        <v>74</v>
      </c>
      <c r="D255" t="s">
        <v>74</v>
      </c>
      <c r="E255" t="s">
        <v>74</v>
      </c>
      <c r="F255" t="s">
        <v>5145</v>
      </c>
      <c r="G255" t="s">
        <v>74</v>
      </c>
      <c r="H255" t="s">
        <v>74</v>
      </c>
      <c r="I255" t="s">
        <v>5146</v>
      </c>
      <c r="J255" t="s">
        <v>5147</v>
      </c>
      <c r="K255" t="s">
        <v>74</v>
      </c>
      <c r="L255" t="s">
        <v>74</v>
      </c>
      <c r="M255" t="s">
        <v>78</v>
      </c>
      <c r="N255" t="s">
        <v>79</v>
      </c>
      <c r="O255" t="s">
        <v>74</v>
      </c>
      <c r="P255" t="s">
        <v>74</v>
      </c>
      <c r="Q255" t="s">
        <v>74</v>
      </c>
      <c r="R255" t="s">
        <v>74</v>
      </c>
      <c r="S255" t="s">
        <v>74</v>
      </c>
      <c r="T255" t="s">
        <v>5148</v>
      </c>
      <c r="U255" t="s">
        <v>5149</v>
      </c>
      <c r="V255" t="s">
        <v>5150</v>
      </c>
      <c r="W255" t="s">
        <v>5151</v>
      </c>
      <c r="X255" t="s">
        <v>5152</v>
      </c>
      <c r="Y255" t="s">
        <v>5153</v>
      </c>
      <c r="Z255" t="s">
        <v>5154</v>
      </c>
      <c r="AA255" t="s">
        <v>5155</v>
      </c>
      <c r="AB255" t="s">
        <v>5156</v>
      </c>
      <c r="AC255" t="s">
        <v>5157</v>
      </c>
      <c r="AD255" t="s">
        <v>5158</v>
      </c>
      <c r="AE255" t="s">
        <v>5159</v>
      </c>
      <c r="AF255" t="s">
        <v>74</v>
      </c>
      <c r="AG255">
        <v>35</v>
      </c>
      <c r="AH255">
        <v>2</v>
      </c>
      <c r="AI255">
        <v>2</v>
      </c>
      <c r="AJ255">
        <v>0</v>
      </c>
      <c r="AK255">
        <v>4</v>
      </c>
      <c r="AL255" t="s">
        <v>5160</v>
      </c>
      <c r="AM255" t="s">
        <v>5161</v>
      </c>
      <c r="AN255" t="s">
        <v>5162</v>
      </c>
      <c r="AO255" t="s">
        <v>5163</v>
      </c>
      <c r="AP255" t="s">
        <v>5164</v>
      </c>
      <c r="AQ255" t="s">
        <v>74</v>
      </c>
      <c r="AR255" t="s">
        <v>5165</v>
      </c>
      <c r="AS255" t="s">
        <v>5166</v>
      </c>
      <c r="AT255" t="s">
        <v>74</v>
      </c>
      <c r="AU255">
        <v>2018</v>
      </c>
      <c r="AV255">
        <v>14</v>
      </c>
      <c r="AW255">
        <v>8</v>
      </c>
      <c r="AX255" t="s">
        <v>74</v>
      </c>
      <c r="AY255" t="s">
        <v>74</v>
      </c>
      <c r="AZ255" t="s">
        <v>74</v>
      </c>
      <c r="BA255" t="s">
        <v>74</v>
      </c>
      <c r="BB255">
        <v>769</v>
      </c>
      <c r="BC255">
        <v>777</v>
      </c>
      <c r="BD255" t="s">
        <v>74</v>
      </c>
      <c r="BE255" t="s">
        <v>5167</v>
      </c>
      <c r="BF255" t="str">
        <f>HYPERLINK("http://dx.doi.org/10.1080/17451000.2018.1521524","http://dx.doi.org/10.1080/17451000.2018.1521524")</f>
        <v>http://dx.doi.org/10.1080/17451000.2018.1521524</v>
      </c>
      <c r="BG255" t="s">
        <v>74</v>
      </c>
      <c r="BH255" t="s">
        <v>74</v>
      </c>
      <c r="BI255">
        <v>9</v>
      </c>
      <c r="BJ255" t="s">
        <v>5168</v>
      </c>
      <c r="BK255" t="s">
        <v>101</v>
      </c>
      <c r="BL255" t="s">
        <v>610</v>
      </c>
      <c r="BM255" t="s">
        <v>5169</v>
      </c>
      <c r="BN255" t="s">
        <v>74</v>
      </c>
      <c r="BO255" t="s">
        <v>74</v>
      </c>
      <c r="BP255" t="s">
        <v>74</v>
      </c>
      <c r="BQ255" t="s">
        <v>74</v>
      </c>
      <c r="BR255" t="s">
        <v>105</v>
      </c>
      <c r="BS255" t="s">
        <v>5170</v>
      </c>
      <c r="BT255" t="str">
        <f>HYPERLINK("https%3A%2F%2Fwww.webofscience.com%2Fwos%2Fwoscc%2Ffull-record%2FWOS:000452851900001","View Full Record in Web of Science")</f>
        <v>View Full Record in Web of Science</v>
      </c>
    </row>
    <row r="256" spans="1:72" x14ac:dyDescent="0.15">
      <c r="A256" t="s">
        <v>72</v>
      </c>
      <c r="B256" t="s">
        <v>5171</v>
      </c>
      <c r="C256" t="s">
        <v>74</v>
      </c>
      <c r="D256" t="s">
        <v>74</v>
      </c>
      <c r="E256" t="s">
        <v>74</v>
      </c>
      <c r="F256" t="s">
        <v>5172</v>
      </c>
      <c r="G256" t="s">
        <v>74</v>
      </c>
      <c r="H256" t="s">
        <v>74</v>
      </c>
      <c r="I256" t="s">
        <v>5173</v>
      </c>
      <c r="J256" t="s">
        <v>5174</v>
      </c>
      <c r="K256" t="s">
        <v>74</v>
      </c>
      <c r="L256" t="s">
        <v>74</v>
      </c>
      <c r="M256" t="s">
        <v>78</v>
      </c>
      <c r="N256" t="s">
        <v>79</v>
      </c>
      <c r="O256" t="s">
        <v>74</v>
      </c>
      <c r="P256" t="s">
        <v>74</v>
      </c>
      <c r="Q256" t="s">
        <v>74</v>
      </c>
      <c r="R256" t="s">
        <v>74</v>
      </c>
      <c r="S256" t="s">
        <v>74</v>
      </c>
      <c r="T256" t="s">
        <v>5175</v>
      </c>
      <c r="U256" t="s">
        <v>5176</v>
      </c>
      <c r="V256" t="s">
        <v>5177</v>
      </c>
      <c r="W256" t="s">
        <v>5178</v>
      </c>
      <c r="X256" t="s">
        <v>5179</v>
      </c>
      <c r="Y256" t="s">
        <v>5180</v>
      </c>
      <c r="Z256" t="s">
        <v>5181</v>
      </c>
      <c r="AA256" t="s">
        <v>5182</v>
      </c>
      <c r="AB256" t="s">
        <v>5183</v>
      </c>
      <c r="AC256" t="s">
        <v>5184</v>
      </c>
      <c r="AD256" t="s">
        <v>5185</v>
      </c>
      <c r="AE256" t="s">
        <v>5186</v>
      </c>
      <c r="AF256" t="s">
        <v>74</v>
      </c>
      <c r="AG256">
        <v>101</v>
      </c>
      <c r="AH256">
        <v>21</v>
      </c>
      <c r="AI256">
        <v>21</v>
      </c>
      <c r="AJ256">
        <v>2</v>
      </c>
      <c r="AK256">
        <v>22</v>
      </c>
      <c r="AL256" t="s">
        <v>1186</v>
      </c>
      <c r="AM256" t="s">
        <v>808</v>
      </c>
      <c r="AN256" t="s">
        <v>1187</v>
      </c>
      <c r="AO256" t="s">
        <v>5187</v>
      </c>
      <c r="AP256" t="s">
        <v>5188</v>
      </c>
      <c r="AQ256" t="s">
        <v>74</v>
      </c>
      <c r="AR256" t="s">
        <v>5189</v>
      </c>
      <c r="AS256" t="s">
        <v>5190</v>
      </c>
      <c r="AT256" t="s">
        <v>4251</v>
      </c>
      <c r="AU256">
        <v>2018</v>
      </c>
      <c r="AV256">
        <v>395</v>
      </c>
      <c r="AW256" t="s">
        <v>74</v>
      </c>
      <c r="AX256" t="s">
        <v>74</v>
      </c>
      <c r="AY256" t="s">
        <v>74</v>
      </c>
      <c r="AZ256" t="s">
        <v>74</v>
      </c>
      <c r="BA256" t="s">
        <v>74</v>
      </c>
      <c r="BB256">
        <v>363</v>
      </c>
      <c r="BC256">
        <v>379</v>
      </c>
      <c r="BD256" t="s">
        <v>74</v>
      </c>
      <c r="BE256" t="s">
        <v>5191</v>
      </c>
      <c r="BF256" t="str">
        <f>HYPERLINK("http://dx.doi.org/10.1016/j.margeo.2017.10.013","http://dx.doi.org/10.1016/j.margeo.2017.10.013")</f>
        <v>http://dx.doi.org/10.1016/j.margeo.2017.10.013</v>
      </c>
      <c r="BG256" t="s">
        <v>74</v>
      </c>
      <c r="BH256" t="s">
        <v>74</v>
      </c>
      <c r="BI256">
        <v>17</v>
      </c>
      <c r="BJ256" t="s">
        <v>5192</v>
      </c>
      <c r="BK256" t="s">
        <v>101</v>
      </c>
      <c r="BL256" t="s">
        <v>5193</v>
      </c>
      <c r="BM256" t="s">
        <v>5194</v>
      </c>
      <c r="BN256" t="s">
        <v>74</v>
      </c>
      <c r="BO256" t="s">
        <v>74</v>
      </c>
      <c r="BP256" t="s">
        <v>74</v>
      </c>
      <c r="BQ256" t="s">
        <v>74</v>
      </c>
      <c r="BR256" t="s">
        <v>105</v>
      </c>
      <c r="BS256" t="s">
        <v>5195</v>
      </c>
      <c r="BT256" t="str">
        <f>HYPERLINK("https%3A%2F%2Fwww.webofscience.com%2Fwos%2Fwoscc%2Ffull-record%2FWOS:000423645300027","View Full Record in Web of Science")</f>
        <v>View Full Record in Web of Science</v>
      </c>
    </row>
    <row r="257" spans="1:72" x14ac:dyDescent="0.15">
      <c r="A257" t="s">
        <v>72</v>
      </c>
      <c r="B257" t="s">
        <v>5196</v>
      </c>
      <c r="C257" t="s">
        <v>74</v>
      </c>
      <c r="D257" t="s">
        <v>74</v>
      </c>
      <c r="E257" t="s">
        <v>74</v>
      </c>
      <c r="F257" t="s">
        <v>5197</v>
      </c>
      <c r="G257" t="s">
        <v>74</v>
      </c>
      <c r="H257" t="s">
        <v>74</v>
      </c>
      <c r="I257" t="s">
        <v>5198</v>
      </c>
      <c r="J257" t="s">
        <v>5199</v>
      </c>
      <c r="K257" t="s">
        <v>74</v>
      </c>
      <c r="L257" t="s">
        <v>74</v>
      </c>
      <c r="M257" t="s">
        <v>78</v>
      </c>
      <c r="N257" t="s">
        <v>79</v>
      </c>
      <c r="O257" t="s">
        <v>74</v>
      </c>
      <c r="P257" t="s">
        <v>74</v>
      </c>
      <c r="Q257" t="s">
        <v>74</v>
      </c>
      <c r="R257" t="s">
        <v>74</v>
      </c>
      <c r="S257" t="s">
        <v>74</v>
      </c>
      <c r="T257" t="s">
        <v>5200</v>
      </c>
      <c r="U257" t="s">
        <v>5201</v>
      </c>
      <c r="V257" t="s">
        <v>5202</v>
      </c>
      <c r="W257" t="s">
        <v>5203</v>
      </c>
      <c r="X257" t="s">
        <v>5204</v>
      </c>
      <c r="Y257" t="s">
        <v>5205</v>
      </c>
      <c r="Z257" t="s">
        <v>5206</v>
      </c>
      <c r="AA257" t="s">
        <v>5207</v>
      </c>
      <c r="AB257" t="s">
        <v>5208</v>
      </c>
      <c r="AC257" t="s">
        <v>5209</v>
      </c>
      <c r="AD257" t="s">
        <v>5210</v>
      </c>
      <c r="AE257" t="s">
        <v>5211</v>
      </c>
      <c r="AF257" t="s">
        <v>74</v>
      </c>
      <c r="AG257">
        <v>89</v>
      </c>
      <c r="AH257">
        <v>24</v>
      </c>
      <c r="AI257">
        <v>25</v>
      </c>
      <c r="AJ257">
        <v>4</v>
      </c>
      <c r="AK257">
        <v>52</v>
      </c>
      <c r="AL257" t="s">
        <v>1973</v>
      </c>
      <c r="AM257" t="s">
        <v>1797</v>
      </c>
      <c r="AN257" t="s">
        <v>4066</v>
      </c>
      <c r="AO257" t="s">
        <v>5212</v>
      </c>
      <c r="AP257" t="s">
        <v>5213</v>
      </c>
      <c r="AQ257" t="s">
        <v>74</v>
      </c>
      <c r="AR257" t="s">
        <v>5214</v>
      </c>
      <c r="AS257" t="s">
        <v>5215</v>
      </c>
      <c r="AT257" t="s">
        <v>2468</v>
      </c>
      <c r="AU257">
        <v>2018</v>
      </c>
      <c r="AV257">
        <v>75</v>
      </c>
      <c r="AW257">
        <v>1</v>
      </c>
      <c r="AX257" t="s">
        <v>74</v>
      </c>
      <c r="AY257" t="s">
        <v>74</v>
      </c>
      <c r="AZ257" t="s">
        <v>74</v>
      </c>
      <c r="BA257" t="s">
        <v>74</v>
      </c>
      <c r="BB257">
        <v>123</v>
      </c>
      <c r="BC257">
        <v>139</v>
      </c>
      <c r="BD257" t="s">
        <v>74</v>
      </c>
      <c r="BE257" t="s">
        <v>5216</v>
      </c>
      <c r="BF257" t="str">
        <f>HYPERLINK("http://dx.doi.org/10.1007/s00248-017-1028-5","http://dx.doi.org/10.1007/s00248-017-1028-5")</f>
        <v>http://dx.doi.org/10.1007/s00248-017-1028-5</v>
      </c>
      <c r="BG257" t="s">
        <v>74</v>
      </c>
      <c r="BH257" t="s">
        <v>74</v>
      </c>
      <c r="BI257">
        <v>17</v>
      </c>
      <c r="BJ257" t="s">
        <v>5217</v>
      </c>
      <c r="BK257" t="s">
        <v>101</v>
      </c>
      <c r="BL257" t="s">
        <v>5218</v>
      </c>
      <c r="BM257" t="s">
        <v>5219</v>
      </c>
      <c r="BN257">
        <v>28702706</v>
      </c>
      <c r="BO257" t="s">
        <v>74</v>
      </c>
      <c r="BP257" t="s">
        <v>74</v>
      </c>
      <c r="BQ257" t="s">
        <v>74</v>
      </c>
      <c r="BR257" t="s">
        <v>105</v>
      </c>
      <c r="BS257" t="s">
        <v>5220</v>
      </c>
      <c r="BT257" t="str">
        <f>HYPERLINK("https%3A%2F%2Fwww.webofscience.com%2Fwos%2Fwoscc%2Ffull-record%2FWOS:000418740100012","View Full Record in Web of Science")</f>
        <v>View Full Record in Web of Science</v>
      </c>
    </row>
    <row r="258" spans="1:72" x14ac:dyDescent="0.15">
      <c r="A258" t="s">
        <v>1831</v>
      </c>
      <c r="B258" t="s">
        <v>5221</v>
      </c>
      <c r="C258" t="s">
        <v>74</v>
      </c>
      <c r="D258" t="s">
        <v>5222</v>
      </c>
      <c r="E258" t="s">
        <v>74</v>
      </c>
      <c r="F258" t="s">
        <v>5223</v>
      </c>
      <c r="G258" t="s">
        <v>74</v>
      </c>
      <c r="H258" t="s">
        <v>74</v>
      </c>
      <c r="I258" t="s">
        <v>5224</v>
      </c>
      <c r="J258" t="s">
        <v>5225</v>
      </c>
      <c r="K258" t="s">
        <v>5226</v>
      </c>
      <c r="L258" t="s">
        <v>74</v>
      </c>
      <c r="M258" t="s">
        <v>78</v>
      </c>
      <c r="N258" t="s">
        <v>1838</v>
      </c>
      <c r="O258" t="s">
        <v>74</v>
      </c>
      <c r="P258" t="s">
        <v>74</v>
      </c>
      <c r="Q258" t="s">
        <v>74</v>
      </c>
      <c r="R258" t="s">
        <v>74</v>
      </c>
      <c r="S258" t="s">
        <v>74</v>
      </c>
      <c r="T258" t="s">
        <v>74</v>
      </c>
      <c r="U258" t="s">
        <v>5227</v>
      </c>
      <c r="V258" t="s">
        <v>74</v>
      </c>
      <c r="W258" t="s">
        <v>5228</v>
      </c>
      <c r="X258" t="s">
        <v>5229</v>
      </c>
      <c r="Y258" t="s">
        <v>5230</v>
      </c>
      <c r="Z258" t="s">
        <v>5231</v>
      </c>
      <c r="AA258" t="s">
        <v>74</v>
      </c>
      <c r="AB258" t="s">
        <v>5232</v>
      </c>
      <c r="AC258" t="s">
        <v>74</v>
      </c>
      <c r="AD258" t="s">
        <v>74</v>
      </c>
      <c r="AE258" t="s">
        <v>74</v>
      </c>
      <c r="AF258" t="s">
        <v>74</v>
      </c>
      <c r="AG258">
        <v>196</v>
      </c>
      <c r="AH258">
        <v>3</v>
      </c>
      <c r="AI258">
        <v>4</v>
      </c>
      <c r="AJ258">
        <v>0</v>
      </c>
      <c r="AK258">
        <v>12</v>
      </c>
      <c r="AL258" t="s">
        <v>4294</v>
      </c>
      <c r="AM258" t="s">
        <v>1267</v>
      </c>
      <c r="AN258" t="s">
        <v>4295</v>
      </c>
      <c r="AO258" t="s">
        <v>5233</v>
      </c>
      <c r="AP258" t="s">
        <v>74</v>
      </c>
      <c r="AQ258" t="s">
        <v>5234</v>
      </c>
      <c r="AR258" t="s">
        <v>5235</v>
      </c>
      <c r="AS258" t="s">
        <v>5236</v>
      </c>
      <c r="AT258" t="s">
        <v>74</v>
      </c>
      <c r="AU258">
        <v>2018</v>
      </c>
      <c r="AV258">
        <v>45</v>
      </c>
      <c r="AW258" t="s">
        <v>74</v>
      </c>
      <c r="AX258" t="s">
        <v>74</v>
      </c>
      <c r="AY258" t="s">
        <v>74</v>
      </c>
      <c r="AZ258" t="s">
        <v>74</v>
      </c>
      <c r="BA258" t="s">
        <v>74</v>
      </c>
      <c r="BB258">
        <v>243</v>
      </c>
      <c r="BC258">
        <v>290</v>
      </c>
      <c r="BD258" t="s">
        <v>74</v>
      </c>
      <c r="BE258" t="s">
        <v>5237</v>
      </c>
      <c r="BF258" t="str">
        <f>HYPERLINK("http://dx.doi.org/10.1016/bs.mim.2018.06.002","http://dx.doi.org/10.1016/bs.mim.2018.06.002")</f>
        <v>http://dx.doi.org/10.1016/bs.mim.2018.06.002</v>
      </c>
      <c r="BG258" t="s">
        <v>74</v>
      </c>
      <c r="BH258" t="s">
        <v>74</v>
      </c>
      <c r="BI258">
        <v>48</v>
      </c>
      <c r="BJ258" t="s">
        <v>5238</v>
      </c>
      <c r="BK258" t="s">
        <v>3859</v>
      </c>
      <c r="BL258" t="s">
        <v>5239</v>
      </c>
      <c r="BM258" t="s">
        <v>5240</v>
      </c>
      <c r="BN258" t="s">
        <v>74</v>
      </c>
      <c r="BO258" t="s">
        <v>74</v>
      </c>
      <c r="BP258" t="s">
        <v>74</v>
      </c>
      <c r="BQ258" t="s">
        <v>74</v>
      </c>
      <c r="BR258" t="s">
        <v>105</v>
      </c>
      <c r="BS258" t="s">
        <v>5241</v>
      </c>
      <c r="BT258" t="str">
        <f>HYPERLINK("https%3A%2F%2Fwww.webofscience.com%2Fwos%2Fwoscc%2Ffull-record%2FWOS:000452413500010","View Full Record in Web of Science")</f>
        <v>View Full Record in Web of Science</v>
      </c>
    </row>
    <row r="259" spans="1:72" x14ac:dyDescent="0.15">
      <c r="A259" t="s">
        <v>72</v>
      </c>
      <c r="B259" t="s">
        <v>5242</v>
      </c>
      <c r="C259" t="s">
        <v>74</v>
      </c>
      <c r="D259" t="s">
        <v>74</v>
      </c>
      <c r="E259" t="s">
        <v>74</v>
      </c>
      <c r="F259" t="s">
        <v>5243</v>
      </c>
      <c r="G259" t="s">
        <v>74</v>
      </c>
      <c r="H259" t="s">
        <v>74</v>
      </c>
      <c r="I259" t="s">
        <v>5244</v>
      </c>
      <c r="J259" t="s">
        <v>5245</v>
      </c>
      <c r="K259" t="s">
        <v>74</v>
      </c>
      <c r="L259" t="s">
        <v>74</v>
      </c>
      <c r="M259" t="s">
        <v>78</v>
      </c>
      <c r="N259" t="s">
        <v>2311</v>
      </c>
      <c r="O259" t="s">
        <v>5246</v>
      </c>
      <c r="P259" t="s">
        <v>5247</v>
      </c>
      <c r="Q259" t="s">
        <v>5248</v>
      </c>
      <c r="R259" t="s">
        <v>74</v>
      </c>
      <c r="S259" t="s">
        <v>74</v>
      </c>
      <c r="T259" t="s">
        <v>5249</v>
      </c>
      <c r="U259" t="s">
        <v>5250</v>
      </c>
      <c r="V259" t="s">
        <v>5251</v>
      </c>
      <c r="W259" t="s">
        <v>5252</v>
      </c>
      <c r="X259" t="s">
        <v>5253</v>
      </c>
      <c r="Y259" t="s">
        <v>5254</v>
      </c>
      <c r="Z259" t="s">
        <v>5255</v>
      </c>
      <c r="AA259" t="s">
        <v>5256</v>
      </c>
      <c r="AB259" t="s">
        <v>5257</v>
      </c>
      <c r="AC259" t="s">
        <v>5258</v>
      </c>
      <c r="AD259" t="s">
        <v>5259</v>
      </c>
      <c r="AE259" t="s">
        <v>5260</v>
      </c>
      <c r="AF259" t="s">
        <v>74</v>
      </c>
      <c r="AG259">
        <v>44</v>
      </c>
      <c r="AH259">
        <v>32</v>
      </c>
      <c r="AI259">
        <v>35</v>
      </c>
      <c r="AJ259">
        <v>8</v>
      </c>
      <c r="AK259">
        <v>166</v>
      </c>
      <c r="AL259" t="s">
        <v>807</v>
      </c>
      <c r="AM259" t="s">
        <v>808</v>
      </c>
      <c r="AN259" t="s">
        <v>809</v>
      </c>
      <c r="AO259" t="s">
        <v>5261</v>
      </c>
      <c r="AP259" t="s">
        <v>5262</v>
      </c>
      <c r="AQ259" t="s">
        <v>74</v>
      </c>
      <c r="AR259" t="s">
        <v>5263</v>
      </c>
      <c r="AS259" t="s">
        <v>5264</v>
      </c>
      <c r="AT259" t="s">
        <v>2468</v>
      </c>
      <c r="AU259">
        <v>2018</v>
      </c>
      <c r="AV259">
        <v>136</v>
      </c>
      <c r="AW259" t="s">
        <v>74</v>
      </c>
      <c r="AX259" t="s">
        <v>74</v>
      </c>
      <c r="AY259" t="s">
        <v>74</v>
      </c>
      <c r="AZ259" t="s">
        <v>1146</v>
      </c>
      <c r="BA259" t="s">
        <v>74</v>
      </c>
      <c r="BB259">
        <v>106</v>
      </c>
      <c r="BC259">
        <v>112</v>
      </c>
      <c r="BD259" t="s">
        <v>74</v>
      </c>
      <c r="BE259" t="s">
        <v>5265</v>
      </c>
      <c r="BF259" t="str">
        <f>HYPERLINK("http://dx.doi.org/10.1016/j.microc.2016.11.009","http://dx.doi.org/10.1016/j.microc.2016.11.009")</f>
        <v>http://dx.doi.org/10.1016/j.microc.2016.11.009</v>
      </c>
      <c r="BG259" t="s">
        <v>74</v>
      </c>
      <c r="BH259" t="s">
        <v>74</v>
      </c>
      <c r="BI259">
        <v>7</v>
      </c>
      <c r="BJ259" t="s">
        <v>5266</v>
      </c>
      <c r="BK259" t="s">
        <v>2330</v>
      </c>
      <c r="BL259" t="s">
        <v>4185</v>
      </c>
      <c r="BM259" t="s">
        <v>5267</v>
      </c>
      <c r="BN259" t="s">
        <v>74</v>
      </c>
      <c r="BO259" t="s">
        <v>74</v>
      </c>
      <c r="BP259" t="s">
        <v>74</v>
      </c>
      <c r="BQ259" t="s">
        <v>74</v>
      </c>
      <c r="BR259" t="s">
        <v>105</v>
      </c>
      <c r="BS259" t="s">
        <v>5268</v>
      </c>
      <c r="BT259" t="str">
        <f>HYPERLINK("https%3A%2F%2Fwww.webofscience.com%2Fwos%2Fwoscc%2Ffull-record%2FWOS:000412958200015","View Full Record in Web of Science")</f>
        <v>View Full Record in Web of Science</v>
      </c>
    </row>
    <row r="260" spans="1:72" x14ac:dyDescent="0.15">
      <c r="A260" t="s">
        <v>1776</v>
      </c>
      <c r="B260" t="s">
        <v>5269</v>
      </c>
      <c r="C260" t="s">
        <v>74</v>
      </c>
      <c r="D260" t="s">
        <v>5270</v>
      </c>
      <c r="E260" t="s">
        <v>74</v>
      </c>
      <c r="F260" t="s">
        <v>5271</v>
      </c>
      <c r="G260" t="s">
        <v>74</v>
      </c>
      <c r="H260" t="s">
        <v>74</v>
      </c>
      <c r="I260" t="s">
        <v>5272</v>
      </c>
      <c r="J260" t="s">
        <v>5273</v>
      </c>
      <c r="K260" t="s">
        <v>2808</v>
      </c>
      <c r="L260" t="s">
        <v>74</v>
      </c>
      <c r="M260" t="s">
        <v>78</v>
      </c>
      <c r="N260" t="s">
        <v>1782</v>
      </c>
      <c r="O260" t="s">
        <v>5274</v>
      </c>
      <c r="P260" t="s">
        <v>5275</v>
      </c>
      <c r="Q260" t="s">
        <v>4599</v>
      </c>
      <c r="R260" t="s">
        <v>74</v>
      </c>
      <c r="S260" t="s">
        <v>74</v>
      </c>
      <c r="T260" t="s">
        <v>5276</v>
      </c>
      <c r="U260" t="s">
        <v>74</v>
      </c>
      <c r="V260" t="s">
        <v>5277</v>
      </c>
      <c r="W260" t="s">
        <v>5278</v>
      </c>
      <c r="X260" t="s">
        <v>5279</v>
      </c>
      <c r="Y260" t="s">
        <v>5280</v>
      </c>
      <c r="Z260" t="s">
        <v>5281</v>
      </c>
      <c r="AA260" t="s">
        <v>5282</v>
      </c>
      <c r="AB260" t="s">
        <v>5283</v>
      </c>
      <c r="AC260" t="s">
        <v>5284</v>
      </c>
      <c r="AD260" t="s">
        <v>5285</v>
      </c>
      <c r="AE260" t="s">
        <v>5286</v>
      </c>
      <c r="AF260" t="s">
        <v>74</v>
      </c>
      <c r="AG260">
        <v>12</v>
      </c>
      <c r="AH260">
        <v>9</v>
      </c>
      <c r="AI260">
        <v>11</v>
      </c>
      <c r="AJ260">
        <v>0</v>
      </c>
      <c r="AK260">
        <v>0</v>
      </c>
      <c r="AL260" t="s">
        <v>2821</v>
      </c>
      <c r="AM260" t="s">
        <v>2822</v>
      </c>
      <c r="AN260" t="s">
        <v>2823</v>
      </c>
      <c r="AO260" t="s">
        <v>2824</v>
      </c>
      <c r="AP260" t="s">
        <v>2825</v>
      </c>
      <c r="AQ260" t="s">
        <v>5287</v>
      </c>
      <c r="AR260" t="s">
        <v>2827</v>
      </c>
      <c r="AS260" t="s">
        <v>74</v>
      </c>
      <c r="AT260" t="s">
        <v>74</v>
      </c>
      <c r="AU260">
        <v>2018</v>
      </c>
      <c r="AV260">
        <v>10708</v>
      </c>
      <c r="AW260" t="s">
        <v>74</v>
      </c>
      <c r="AX260" t="s">
        <v>74</v>
      </c>
      <c r="AY260" t="s">
        <v>74</v>
      </c>
      <c r="AZ260" t="s">
        <v>74</v>
      </c>
      <c r="BA260" t="s">
        <v>74</v>
      </c>
      <c r="BB260" t="s">
        <v>74</v>
      </c>
      <c r="BC260" t="s">
        <v>74</v>
      </c>
      <c r="BD260" t="s">
        <v>5288</v>
      </c>
      <c r="BE260" t="s">
        <v>5289</v>
      </c>
      <c r="BF260" t="str">
        <f>HYPERLINK("http://dx.doi.org/10.1117/12.2312829","http://dx.doi.org/10.1117/12.2312829")</f>
        <v>http://dx.doi.org/10.1117/12.2312829</v>
      </c>
      <c r="BG260" t="s">
        <v>74</v>
      </c>
      <c r="BH260" t="s">
        <v>74</v>
      </c>
      <c r="BI260">
        <v>10</v>
      </c>
      <c r="BJ260" t="s">
        <v>5290</v>
      </c>
      <c r="BK260" t="s">
        <v>1801</v>
      </c>
      <c r="BL260" t="s">
        <v>5290</v>
      </c>
      <c r="BM260" t="s">
        <v>5291</v>
      </c>
      <c r="BN260" t="s">
        <v>74</v>
      </c>
      <c r="BO260" t="s">
        <v>524</v>
      </c>
      <c r="BP260" t="s">
        <v>74</v>
      </c>
      <c r="BQ260" t="s">
        <v>74</v>
      </c>
      <c r="BR260" t="s">
        <v>105</v>
      </c>
      <c r="BS260" t="s">
        <v>5292</v>
      </c>
      <c r="BT260" t="str">
        <f>HYPERLINK("https%3A%2F%2Fwww.webofscience.com%2Fwos%2Fwoscc%2Ffull-record%2FWOS:000451719300039","View Full Record in Web of Science")</f>
        <v>View Full Record in Web of Science</v>
      </c>
    </row>
    <row r="261" spans="1:72" x14ac:dyDescent="0.15">
      <c r="A261" t="s">
        <v>1776</v>
      </c>
      <c r="B261" t="s">
        <v>5293</v>
      </c>
      <c r="C261" t="s">
        <v>74</v>
      </c>
      <c r="D261" t="s">
        <v>5270</v>
      </c>
      <c r="E261" t="s">
        <v>74</v>
      </c>
      <c r="F261" t="s">
        <v>5294</v>
      </c>
      <c r="G261" t="s">
        <v>74</v>
      </c>
      <c r="H261" t="s">
        <v>74</v>
      </c>
      <c r="I261" t="s">
        <v>5295</v>
      </c>
      <c r="J261" t="s">
        <v>5273</v>
      </c>
      <c r="K261" t="s">
        <v>2808</v>
      </c>
      <c r="L261" t="s">
        <v>74</v>
      </c>
      <c r="M261" t="s">
        <v>78</v>
      </c>
      <c r="N261" t="s">
        <v>1782</v>
      </c>
      <c r="O261" t="s">
        <v>5274</v>
      </c>
      <c r="P261" t="s">
        <v>5275</v>
      </c>
      <c r="Q261" t="s">
        <v>4599</v>
      </c>
      <c r="R261" t="s">
        <v>74</v>
      </c>
      <c r="S261" t="s">
        <v>74</v>
      </c>
      <c r="T261" t="s">
        <v>5296</v>
      </c>
      <c r="U261" t="s">
        <v>5297</v>
      </c>
      <c r="V261" t="s">
        <v>5298</v>
      </c>
      <c r="W261" t="s">
        <v>5299</v>
      </c>
      <c r="X261" t="s">
        <v>5300</v>
      </c>
      <c r="Y261" t="s">
        <v>5301</v>
      </c>
      <c r="Z261" t="s">
        <v>5302</v>
      </c>
      <c r="AA261" t="s">
        <v>5303</v>
      </c>
      <c r="AB261" t="s">
        <v>5304</v>
      </c>
      <c r="AC261" t="s">
        <v>5305</v>
      </c>
      <c r="AD261" t="s">
        <v>5306</v>
      </c>
      <c r="AE261" t="s">
        <v>5307</v>
      </c>
      <c r="AF261" t="s">
        <v>74</v>
      </c>
      <c r="AG261">
        <v>18</v>
      </c>
      <c r="AH261">
        <v>60</v>
      </c>
      <c r="AI261">
        <v>73</v>
      </c>
      <c r="AJ261">
        <v>0</v>
      </c>
      <c r="AK261">
        <v>2</v>
      </c>
      <c r="AL261" t="s">
        <v>2821</v>
      </c>
      <c r="AM261" t="s">
        <v>2822</v>
      </c>
      <c r="AN261" t="s">
        <v>2823</v>
      </c>
      <c r="AO261" t="s">
        <v>2824</v>
      </c>
      <c r="AP261" t="s">
        <v>2825</v>
      </c>
      <c r="AQ261" t="s">
        <v>5287</v>
      </c>
      <c r="AR261" t="s">
        <v>2827</v>
      </c>
      <c r="AS261" t="s">
        <v>74</v>
      </c>
      <c r="AT261" t="s">
        <v>74</v>
      </c>
      <c r="AU261">
        <v>2018</v>
      </c>
      <c r="AV261">
        <v>10708</v>
      </c>
      <c r="AW261" t="s">
        <v>74</v>
      </c>
      <c r="AX261" t="s">
        <v>74</v>
      </c>
      <c r="AY261" t="s">
        <v>74</v>
      </c>
      <c r="AZ261" t="s">
        <v>74</v>
      </c>
      <c r="BA261" t="s">
        <v>74</v>
      </c>
      <c r="BB261" t="s">
        <v>74</v>
      </c>
      <c r="BC261" t="s">
        <v>74</v>
      </c>
      <c r="BD261">
        <v>1070807</v>
      </c>
      <c r="BE261" t="s">
        <v>5308</v>
      </c>
      <c r="BF261" t="str">
        <f>HYPERLINK("http://dx.doi.org/10.1117/12.2311725","http://dx.doi.org/10.1117/12.2311725")</f>
        <v>http://dx.doi.org/10.1117/12.2311725</v>
      </c>
      <c r="BG261" t="s">
        <v>74</v>
      </c>
      <c r="BH261" t="s">
        <v>74</v>
      </c>
      <c r="BI261">
        <v>15</v>
      </c>
      <c r="BJ261" t="s">
        <v>5290</v>
      </c>
      <c r="BK261" t="s">
        <v>1801</v>
      </c>
      <c r="BL261" t="s">
        <v>5290</v>
      </c>
      <c r="BM261" t="s">
        <v>5291</v>
      </c>
      <c r="BN261" t="s">
        <v>74</v>
      </c>
      <c r="BO261" t="s">
        <v>524</v>
      </c>
      <c r="BP261" t="s">
        <v>74</v>
      </c>
      <c r="BQ261" t="s">
        <v>74</v>
      </c>
      <c r="BR261" t="s">
        <v>105</v>
      </c>
      <c r="BS261" t="s">
        <v>5309</v>
      </c>
      <c r="BT261" t="str">
        <f>HYPERLINK("https%3A%2F%2Fwww.webofscience.com%2Fwos%2Fwoscc%2Ffull-record%2FWOS:000451719300005","View Full Record in Web of Science")</f>
        <v>View Full Record in Web of Science</v>
      </c>
    </row>
    <row r="262" spans="1:72" x14ac:dyDescent="0.15">
      <c r="A262" t="s">
        <v>1776</v>
      </c>
      <c r="B262" t="s">
        <v>5310</v>
      </c>
      <c r="C262" t="s">
        <v>74</v>
      </c>
      <c r="D262" t="s">
        <v>5270</v>
      </c>
      <c r="E262" t="s">
        <v>74</v>
      </c>
      <c r="F262" t="s">
        <v>5311</v>
      </c>
      <c r="G262" t="s">
        <v>74</v>
      </c>
      <c r="H262" t="s">
        <v>74</v>
      </c>
      <c r="I262" t="s">
        <v>5312</v>
      </c>
      <c r="J262" t="s">
        <v>5273</v>
      </c>
      <c r="K262" t="s">
        <v>2808</v>
      </c>
      <c r="L262" t="s">
        <v>74</v>
      </c>
      <c r="M262" t="s">
        <v>78</v>
      </c>
      <c r="N262" t="s">
        <v>1782</v>
      </c>
      <c r="O262" t="s">
        <v>5274</v>
      </c>
      <c r="P262" t="s">
        <v>5275</v>
      </c>
      <c r="Q262" t="s">
        <v>4599</v>
      </c>
      <c r="R262" t="s">
        <v>74</v>
      </c>
      <c r="S262" t="s">
        <v>74</v>
      </c>
      <c r="T262" t="s">
        <v>5313</v>
      </c>
      <c r="U262" t="s">
        <v>74</v>
      </c>
      <c r="V262" t="s">
        <v>5314</v>
      </c>
      <c r="W262" t="s">
        <v>5315</v>
      </c>
      <c r="X262" t="s">
        <v>5316</v>
      </c>
      <c r="Y262" t="s">
        <v>5317</v>
      </c>
      <c r="Z262" t="s">
        <v>5318</v>
      </c>
      <c r="AA262" t="s">
        <v>5319</v>
      </c>
      <c r="AB262" t="s">
        <v>5320</v>
      </c>
      <c r="AC262" t="s">
        <v>5321</v>
      </c>
      <c r="AD262" t="s">
        <v>5322</v>
      </c>
      <c r="AE262" t="s">
        <v>5323</v>
      </c>
      <c r="AF262" t="s">
        <v>74</v>
      </c>
      <c r="AG262">
        <v>14</v>
      </c>
      <c r="AH262">
        <v>16</v>
      </c>
      <c r="AI262">
        <v>18</v>
      </c>
      <c r="AJ262">
        <v>0</v>
      </c>
      <c r="AK262">
        <v>0</v>
      </c>
      <c r="AL262" t="s">
        <v>2821</v>
      </c>
      <c r="AM262" t="s">
        <v>2822</v>
      </c>
      <c r="AN262" t="s">
        <v>2823</v>
      </c>
      <c r="AO262" t="s">
        <v>2824</v>
      </c>
      <c r="AP262" t="s">
        <v>2825</v>
      </c>
      <c r="AQ262" t="s">
        <v>5287</v>
      </c>
      <c r="AR262" t="s">
        <v>2827</v>
      </c>
      <c r="AS262" t="s">
        <v>74</v>
      </c>
      <c r="AT262" t="s">
        <v>74</v>
      </c>
      <c r="AU262">
        <v>2018</v>
      </c>
      <c r="AV262">
        <v>10708</v>
      </c>
      <c r="AW262" t="s">
        <v>74</v>
      </c>
      <c r="AX262" t="s">
        <v>74</v>
      </c>
      <c r="AY262" t="s">
        <v>74</v>
      </c>
      <c r="AZ262" t="s">
        <v>74</v>
      </c>
      <c r="BA262" t="s">
        <v>74</v>
      </c>
      <c r="BB262" t="s">
        <v>74</v>
      </c>
      <c r="BC262" t="s">
        <v>74</v>
      </c>
      <c r="BD262" t="s">
        <v>5324</v>
      </c>
      <c r="BE262" t="s">
        <v>5325</v>
      </c>
      <c r="BF262" t="str">
        <f>HYPERLINK("http://dx.doi.org/10.1117/12.2313854","http://dx.doi.org/10.1117/12.2313854")</f>
        <v>http://dx.doi.org/10.1117/12.2313854</v>
      </c>
      <c r="BG262" t="s">
        <v>74</v>
      </c>
      <c r="BH262" t="s">
        <v>74</v>
      </c>
      <c r="BI262">
        <v>11</v>
      </c>
      <c r="BJ262" t="s">
        <v>5290</v>
      </c>
      <c r="BK262" t="s">
        <v>1801</v>
      </c>
      <c r="BL262" t="s">
        <v>5290</v>
      </c>
      <c r="BM262" t="s">
        <v>5291</v>
      </c>
      <c r="BN262" t="s">
        <v>74</v>
      </c>
      <c r="BO262" t="s">
        <v>524</v>
      </c>
      <c r="BP262" t="s">
        <v>74</v>
      </c>
      <c r="BQ262" t="s">
        <v>74</v>
      </c>
      <c r="BR262" t="s">
        <v>105</v>
      </c>
      <c r="BS262" t="s">
        <v>5326</v>
      </c>
      <c r="BT262" t="str">
        <f>HYPERLINK("https%3A%2F%2Fwww.webofscience.com%2Fwos%2Fwoscc%2Ffull-record%2FWOS:000451719300047","View Full Record in Web of Science")</f>
        <v>View Full Record in Web of Science</v>
      </c>
    </row>
    <row r="263" spans="1:72" x14ac:dyDescent="0.15">
      <c r="A263" t="s">
        <v>1776</v>
      </c>
      <c r="B263" t="s">
        <v>5327</v>
      </c>
      <c r="C263" t="s">
        <v>74</v>
      </c>
      <c r="D263" t="s">
        <v>5270</v>
      </c>
      <c r="E263" t="s">
        <v>74</v>
      </c>
      <c r="F263" t="s">
        <v>5328</v>
      </c>
      <c r="G263" t="s">
        <v>74</v>
      </c>
      <c r="H263" t="s">
        <v>74</v>
      </c>
      <c r="I263" t="s">
        <v>5329</v>
      </c>
      <c r="J263" t="s">
        <v>5273</v>
      </c>
      <c r="K263" t="s">
        <v>2808</v>
      </c>
      <c r="L263" t="s">
        <v>74</v>
      </c>
      <c r="M263" t="s">
        <v>78</v>
      </c>
      <c r="N263" t="s">
        <v>1782</v>
      </c>
      <c r="O263" t="s">
        <v>5274</v>
      </c>
      <c r="P263" t="s">
        <v>5275</v>
      </c>
      <c r="Q263" t="s">
        <v>4599</v>
      </c>
      <c r="R263" t="s">
        <v>74</v>
      </c>
      <c r="S263" t="s">
        <v>74</v>
      </c>
      <c r="T263" t="s">
        <v>5330</v>
      </c>
      <c r="U263" t="s">
        <v>74</v>
      </c>
      <c r="V263" t="s">
        <v>5331</v>
      </c>
      <c r="W263" t="s">
        <v>5332</v>
      </c>
      <c r="X263" t="s">
        <v>5333</v>
      </c>
      <c r="Y263" t="s">
        <v>5334</v>
      </c>
      <c r="Z263" t="s">
        <v>74</v>
      </c>
      <c r="AA263" t="s">
        <v>5335</v>
      </c>
      <c r="AB263" t="s">
        <v>5336</v>
      </c>
      <c r="AC263" t="s">
        <v>5337</v>
      </c>
      <c r="AD263" t="s">
        <v>5338</v>
      </c>
      <c r="AE263" t="s">
        <v>5339</v>
      </c>
      <c r="AF263" t="s">
        <v>74</v>
      </c>
      <c r="AG263">
        <v>10</v>
      </c>
      <c r="AH263">
        <v>7</v>
      </c>
      <c r="AI263">
        <v>10</v>
      </c>
      <c r="AJ263">
        <v>0</v>
      </c>
      <c r="AK263">
        <v>0</v>
      </c>
      <c r="AL263" t="s">
        <v>2821</v>
      </c>
      <c r="AM263" t="s">
        <v>2822</v>
      </c>
      <c r="AN263" t="s">
        <v>2823</v>
      </c>
      <c r="AO263" t="s">
        <v>2824</v>
      </c>
      <c r="AP263" t="s">
        <v>2825</v>
      </c>
      <c r="AQ263" t="s">
        <v>5287</v>
      </c>
      <c r="AR263" t="s">
        <v>2827</v>
      </c>
      <c r="AS263" t="s">
        <v>74</v>
      </c>
      <c r="AT263" t="s">
        <v>74</v>
      </c>
      <c r="AU263">
        <v>2018</v>
      </c>
      <c r="AV263">
        <v>10708</v>
      </c>
      <c r="AW263" t="s">
        <v>74</v>
      </c>
      <c r="AX263" t="s">
        <v>74</v>
      </c>
      <c r="AY263" t="s">
        <v>74</v>
      </c>
      <c r="AZ263" t="s">
        <v>74</v>
      </c>
      <c r="BA263" t="s">
        <v>74</v>
      </c>
      <c r="BB263" t="s">
        <v>74</v>
      </c>
      <c r="BC263" t="s">
        <v>74</v>
      </c>
      <c r="BD263" t="s">
        <v>5340</v>
      </c>
      <c r="BE263" t="s">
        <v>5341</v>
      </c>
      <c r="BF263" t="str">
        <f>HYPERLINK("http://dx.doi.org/10.1117/12.2312942","http://dx.doi.org/10.1117/12.2312942")</f>
        <v>http://dx.doi.org/10.1117/12.2312942</v>
      </c>
      <c r="BG263" t="s">
        <v>74</v>
      </c>
      <c r="BH263" t="s">
        <v>74</v>
      </c>
      <c r="BI263">
        <v>12</v>
      </c>
      <c r="BJ263" t="s">
        <v>5290</v>
      </c>
      <c r="BK263" t="s">
        <v>1801</v>
      </c>
      <c r="BL263" t="s">
        <v>5290</v>
      </c>
      <c r="BM263" t="s">
        <v>5291</v>
      </c>
      <c r="BN263" t="s">
        <v>74</v>
      </c>
      <c r="BO263" t="s">
        <v>542</v>
      </c>
      <c r="BP263" t="s">
        <v>74</v>
      </c>
      <c r="BQ263" t="s">
        <v>74</v>
      </c>
      <c r="BR263" t="s">
        <v>105</v>
      </c>
      <c r="BS263" t="s">
        <v>5342</v>
      </c>
      <c r="BT263" t="str">
        <f>HYPERLINK("https%3A%2F%2Fwww.webofscience.com%2Fwos%2Fwoscc%2Ffull-record%2FWOS:000451719300042","View Full Record in Web of Science")</f>
        <v>View Full Record in Web of Science</v>
      </c>
    </row>
    <row r="264" spans="1:72" x14ac:dyDescent="0.15">
      <c r="A264" t="s">
        <v>72</v>
      </c>
      <c r="B264" t="s">
        <v>5343</v>
      </c>
      <c r="C264" t="s">
        <v>74</v>
      </c>
      <c r="D264" t="s">
        <v>74</v>
      </c>
      <c r="E264" t="s">
        <v>74</v>
      </c>
      <c r="F264" t="s">
        <v>5344</v>
      </c>
      <c r="G264" t="s">
        <v>74</v>
      </c>
      <c r="H264" t="s">
        <v>74</v>
      </c>
      <c r="I264" t="s">
        <v>5345</v>
      </c>
      <c r="J264" t="s">
        <v>5346</v>
      </c>
      <c r="K264" t="s">
        <v>74</v>
      </c>
      <c r="L264" t="s">
        <v>74</v>
      </c>
      <c r="M264" t="s">
        <v>78</v>
      </c>
      <c r="N264" t="s">
        <v>79</v>
      </c>
      <c r="O264" t="s">
        <v>74</v>
      </c>
      <c r="P264" t="s">
        <v>74</v>
      </c>
      <c r="Q264" t="s">
        <v>74</v>
      </c>
      <c r="R264" t="s">
        <v>74</v>
      </c>
      <c r="S264" t="s">
        <v>74</v>
      </c>
      <c r="T264" t="s">
        <v>5347</v>
      </c>
      <c r="U264" t="s">
        <v>5348</v>
      </c>
      <c r="V264" t="s">
        <v>5349</v>
      </c>
      <c r="W264" t="s">
        <v>5350</v>
      </c>
      <c r="X264" t="s">
        <v>5351</v>
      </c>
      <c r="Y264" t="s">
        <v>5352</v>
      </c>
      <c r="Z264" t="s">
        <v>5353</v>
      </c>
      <c r="AA264" t="s">
        <v>5354</v>
      </c>
      <c r="AB264" t="s">
        <v>5355</v>
      </c>
      <c r="AC264" t="s">
        <v>5356</v>
      </c>
      <c r="AD264" t="s">
        <v>5357</v>
      </c>
      <c r="AE264" t="s">
        <v>5358</v>
      </c>
      <c r="AF264" t="s">
        <v>74</v>
      </c>
      <c r="AG264">
        <v>125</v>
      </c>
      <c r="AH264">
        <v>59</v>
      </c>
      <c r="AI264">
        <v>64</v>
      </c>
      <c r="AJ264">
        <v>3</v>
      </c>
      <c r="AK264">
        <v>74</v>
      </c>
      <c r="AL264" t="s">
        <v>1700</v>
      </c>
      <c r="AM264" t="s">
        <v>1701</v>
      </c>
      <c r="AN264" t="s">
        <v>1702</v>
      </c>
      <c r="AO264" t="s">
        <v>5359</v>
      </c>
      <c r="AP264" t="s">
        <v>5360</v>
      </c>
      <c r="AQ264" t="s">
        <v>74</v>
      </c>
      <c r="AR264" t="s">
        <v>5346</v>
      </c>
      <c r="AS264" t="s">
        <v>5361</v>
      </c>
      <c r="AT264" t="s">
        <v>74</v>
      </c>
      <c r="AU264">
        <v>2018</v>
      </c>
      <c r="AV264">
        <v>12</v>
      </c>
      <c r="AW264">
        <v>8</v>
      </c>
      <c r="AX264" t="s">
        <v>74</v>
      </c>
      <c r="AY264" t="s">
        <v>74</v>
      </c>
      <c r="AZ264" t="s">
        <v>74</v>
      </c>
      <c r="BA264" t="s">
        <v>74</v>
      </c>
      <c r="BB264">
        <v>847</v>
      </c>
      <c r="BC264">
        <v>867</v>
      </c>
      <c r="BD264" t="s">
        <v>74</v>
      </c>
      <c r="BE264" t="s">
        <v>5362</v>
      </c>
      <c r="BF264" t="str">
        <f>HYPERLINK("http://dx.doi.org/10.1080/17435390.2018.1482378","http://dx.doi.org/10.1080/17435390.2018.1482378")</f>
        <v>http://dx.doi.org/10.1080/17435390.2018.1482378</v>
      </c>
      <c r="BG264" t="s">
        <v>74</v>
      </c>
      <c r="BH264" t="s">
        <v>74</v>
      </c>
      <c r="BI264">
        <v>21</v>
      </c>
      <c r="BJ264" t="s">
        <v>5363</v>
      </c>
      <c r="BK264" t="s">
        <v>101</v>
      </c>
      <c r="BL264" t="s">
        <v>5364</v>
      </c>
      <c r="BM264" t="s">
        <v>5365</v>
      </c>
      <c r="BN264">
        <v>29947277</v>
      </c>
      <c r="BO264" t="s">
        <v>74</v>
      </c>
      <c r="BP264" t="s">
        <v>74</v>
      </c>
      <c r="BQ264" t="s">
        <v>74</v>
      </c>
      <c r="BR264" t="s">
        <v>105</v>
      </c>
      <c r="BS264" t="s">
        <v>5366</v>
      </c>
      <c r="BT264" t="str">
        <f>HYPERLINK("https%3A%2F%2Fwww.webofscience.com%2Fwos%2Fwoscc%2Ffull-record%2FWOS:000452281100004","View Full Record in Web of Science")</f>
        <v>View Full Record in Web of Science</v>
      </c>
    </row>
    <row r="265" spans="1:72" x14ac:dyDescent="0.15">
      <c r="A265" t="s">
        <v>72</v>
      </c>
      <c r="B265" t="s">
        <v>5367</v>
      </c>
      <c r="C265" t="s">
        <v>74</v>
      </c>
      <c r="D265" t="s">
        <v>74</v>
      </c>
      <c r="E265" t="s">
        <v>74</v>
      </c>
      <c r="F265" t="s">
        <v>5368</v>
      </c>
      <c r="G265" t="s">
        <v>74</v>
      </c>
      <c r="H265" t="s">
        <v>74</v>
      </c>
      <c r="I265" t="s">
        <v>5369</v>
      </c>
      <c r="J265" t="s">
        <v>5370</v>
      </c>
      <c r="K265" t="s">
        <v>74</v>
      </c>
      <c r="L265" t="s">
        <v>74</v>
      </c>
      <c r="M265" t="s">
        <v>78</v>
      </c>
      <c r="N265" t="s">
        <v>79</v>
      </c>
      <c r="O265" t="s">
        <v>74</v>
      </c>
      <c r="P265" t="s">
        <v>74</v>
      </c>
      <c r="Q265" t="s">
        <v>74</v>
      </c>
      <c r="R265" t="s">
        <v>74</v>
      </c>
      <c r="S265" t="s">
        <v>74</v>
      </c>
      <c r="T265" t="s">
        <v>74</v>
      </c>
      <c r="U265" t="s">
        <v>5371</v>
      </c>
      <c r="V265" t="s">
        <v>5372</v>
      </c>
      <c r="W265" t="s">
        <v>5373</v>
      </c>
      <c r="X265" t="s">
        <v>5374</v>
      </c>
      <c r="Y265" t="s">
        <v>5375</v>
      </c>
      <c r="Z265" t="s">
        <v>5376</v>
      </c>
      <c r="AA265" t="s">
        <v>5377</v>
      </c>
      <c r="AB265" t="s">
        <v>5378</v>
      </c>
      <c r="AC265" t="s">
        <v>5379</v>
      </c>
      <c r="AD265" t="s">
        <v>5380</v>
      </c>
      <c r="AE265" t="s">
        <v>5381</v>
      </c>
      <c r="AF265" t="s">
        <v>74</v>
      </c>
      <c r="AG265">
        <v>31</v>
      </c>
      <c r="AH265">
        <v>76</v>
      </c>
      <c r="AI265">
        <v>88</v>
      </c>
      <c r="AJ265">
        <v>1</v>
      </c>
      <c r="AK265">
        <v>55</v>
      </c>
      <c r="AL265" t="s">
        <v>892</v>
      </c>
      <c r="AM265" t="s">
        <v>698</v>
      </c>
      <c r="AN265" t="s">
        <v>699</v>
      </c>
      <c r="AO265" t="s">
        <v>5382</v>
      </c>
      <c r="AP265" t="s">
        <v>5383</v>
      </c>
      <c r="AQ265" t="s">
        <v>74</v>
      </c>
      <c r="AR265" t="s">
        <v>5384</v>
      </c>
      <c r="AS265" t="s">
        <v>5385</v>
      </c>
      <c r="AT265" t="s">
        <v>2468</v>
      </c>
      <c r="AU265">
        <v>2018</v>
      </c>
      <c r="AV265">
        <v>8</v>
      </c>
      <c r="AW265">
        <v>1</v>
      </c>
      <c r="AX265" t="s">
        <v>74</v>
      </c>
      <c r="AY265" t="s">
        <v>74</v>
      </c>
      <c r="AZ265" t="s">
        <v>74</v>
      </c>
      <c r="BA265" t="s">
        <v>74</v>
      </c>
      <c r="BB265">
        <v>58</v>
      </c>
      <c r="BC265" t="s">
        <v>1565</v>
      </c>
      <c r="BD265" t="s">
        <v>74</v>
      </c>
      <c r="BE265" t="s">
        <v>5386</v>
      </c>
      <c r="BF265" t="str">
        <f>HYPERLINK("http://dx.doi.org/10.1038/s41558-017-0022-8","http://dx.doi.org/10.1038/s41558-017-0022-8")</f>
        <v>http://dx.doi.org/10.1038/s41558-017-0022-8</v>
      </c>
      <c r="BG265" t="s">
        <v>74</v>
      </c>
      <c r="BH265" t="s">
        <v>74</v>
      </c>
      <c r="BI265">
        <v>7</v>
      </c>
      <c r="BJ265" t="s">
        <v>5387</v>
      </c>
      <c r="BK265" t="s">
        <v>2471</v>
      </c>
      <c r="BL265" t="s">
        <v>184</v>
      </c>
      <c r="BM265" t="s">
        <v>5388</v>
      </c>
      <c r="BN265" t="s">
        <v>74</v>
      </c>
      <c r="BO265" t="s">
        <v>74</v>
      </c>
      <c r="BP265" t="s">
        <v>74</v>
      </c>
      <c r="BQ265" t="s">
        <v>74</v>
      </c>
      <c r="BR265" t="s">
        <v>105</v>
      </c>
      <c r="BS265" t="s">
        <v>5389</v>
      </c>
      <c r="BT265" t="str">
        <f>HYPERLINK("https%3A%2F%2Fwww.webofscience.com%2Fwos%2Fwoscc%2Ffull-record%2FWOS:000423840000021","View Full Record in Web of Science")</f>
        <v>View Full Record in Web of Science</v>
      </c>
    </row>
    <row r="266" spans="1:72" x14ac:dyDescent="0.15">
      <c r="A266" t="s">
        <v>72</v>
      </c>
      <c r="B266" t="s">
        <v>5390</v>
      </c>
      <c r="C266" t="s">
        <v>74</v>
      </c>
      <c r="D266" t="s">
        <v>74</v>
      </c>
      <c r="E266" t="s">
        <v>74</v>
      </c>
      <c r="F266" t="s">
        <v>5391</v>
      </c>
      <c r="G266" t="s">
        <v>74</v>
      </c>
      <c r="H266" t="s">
        <v>74</v>
      </c>
      <c r="I266" t="s">
        <v>5392</v>
      </c>
      <c r="J266" t="s">
        <v>5393</v>
      </c>
      <c r="K266" t="s">
        <v>74</v>
      </c>
      <c r="L266" t="s">
        <v>74</v>
      </c>
      <c r="M266" t="s">
        <v>78</v>
      </c>
      <c r="N266" t="s">
        <v>79</v>
      </c>
      <c r="O266" t="s">
        <v>74</v>
      </c>
      <c r="P266" t="s">
        <v>74</v>
      </c>
      <c r="Q266" t="s">
        <v>74</v>
      </c>
      <c r="R266" t="s">
        <v>74</v>
      </c>
      <c r="S266" t="s">
        <v>74</v>
      </c>
      <c r="T266" t="s">
        <v>5394</v>
      </c>
      <c r="U266" t="s">
        <v>5395</v>
      </c>
      <c r="V266" t="s">
        <v>5396</v>
      </c>
      <c r="W266" t="s">
        <v>5397</v>
      </c>
      <c r="X266" t="s">
        <v>5398</v>
      </c>
      <c r="Y266" t="s">
        <v>5399</v>
      </c>
      <c r="Z266" t="s">
        <v>5400</v>
      </c>
      <c r="AA266" t="s">
        <v>5401</v>
      </c>
      <c r="AB266" t="s">
        <v>5402</v>
      </c>
      <c r="AC266" t="s">
        <v>5403</v>
      </c>
      <c r="AD266" t="s">
        <v>5403</v>
      </c>
      <c r="AE266" t="s">
        <v>5404</v>
      </c>
      <c r="AF266" t="s">
        <v>74</v>
      </c>
      <c r="AG266">
        <v>59</v>
      </c>
      <c r="AH266">
        <v>41</v>
      </c>
      <c r="AI266">
        <v>43</v>
      </c>
      <c r="AJ266">
        <v>0</v>
      </c>
      <c r="AK266">
        <v>19</v>
      </c>
      <c r="AL266" t="s">
        <v>5405</v>
      </c>
      <c r="AM266" t="s">
        <v>5406</v>
      </c>
      <c r="AN266" t="s">
        <v>5407</v>
      </c>
      <c r="AO266" t="s">
        <v>5408</v>
      </c>
      <c r="AP266" t="s">
        <v>74</v>
      </c>
      <c r="AQ266" t="s">
        <v>74</v>
      </c>
      <c r="AR266" t="s">
        <v>5409</v>
      </c>
      <c r="AS266" t="s">
        <v>5410</v>
      </c>
      <c r="AT266" t="s">
        <v>74</v>
      </c>
      <c r="AU266">
        <v>2018</v>
      </c>
      <c r="AV266">
        <v>3</v>
      </c>
      <c r="AW266">
        <v>4</v>
      </c>
      <c r="AX266" t="s">
        <v>74</v>
      </c>
      <c r="AY266" t="s">
        <v>74</v>
      </c>
      <c r="AZ266" t="s">
        <v>74</v>
      </c>
      <c r="BA266" t="s">
        <v>74</v>
      </c>
      <c r="BB266">
        <v>17</v>
      </c>
      <c r="BC266">
        <v>31</v>
      </c>
      <c r="BD266" t="s">
        <v>74</v>
      </c>
      <c r="BE266" t="s">
        <v>5411</v>
      </c>
      <c r="BF266" t="str">
        <f>HYPERLINK("http://dx.doi.org/10.24189/ncr.2018.043","http://dx.doi.org/10.24189/ncr.2018.043")</f>
        <v>http://dx.doi.org/10.24189/ncr.2018.043</v>
      </c>
      <c r="BG266" t="s">
        <v>74</v>
      </c>
      <c r="BH266" t="s">
        <v>74</v>
      </c>
      <c r="BI266">
        <v>15</v>
      </c>
      <c r="BJ266" t="s">
        <v>3471</v>
      </c>
      <c r="BK266" t="s">
        <v>2081</v>
      </c>
      <c r="BL266" t="s">
        <v>3472</v>
      </c>
      <c r="BM266" t="s">
        <v>5412</v>
      </c>
      <c r="BN266" t="s">
        <v>74</v>
      </c>
      <c r="BO266" t="s">
        <v>5413</v>
      </c>
      <c r="BP266" t="s">
        <v>74</v>
      </c>
      <c r="BQ266" t="s">
        <v>74</v>
      </c>
      <c r="BR266" t="s">
        <v>105</v>
      </c>
      <c r="BS266" t="s">
        <v>5414</v>
      </c>
      <c r="BT266" t="str">
        <f>HYPERLINK("https%3A%2F%2Fwww.webofscience.com%2Fwos%2Fwoscc%2Ffull-record%2FWOS:000453601500002","View Full Record in Web of Science")</f>
        <v>View Full Record in Web of Science</v>
      </c>
    </row>
    <row r="267" spans="1:72" x14ac:dyDescent="0.15">
      <c r="A267" t="s">
        <v>72</v>
      </c>
      <c r="B267" t="s">
        <v>5415</v>
      </c>
      <c r="C267" t="s">
        <v>74</v>
      </c>
      <c r="D267" t="s">
        <v>74</v>
      </c>
      <c r="E267" t="s">
        <v>74</v>
      </c>
      <c r="F267" t="s">
        <v>5416</v>
      </c>
      <c r="G267" t="s">
        <v>74</v>
      </c>
      <c r="H267" t="s">
        <v>74</v>
      </c>
      <c r="I267" t="s">
        <v>5417</v>
      </c>
      <c r="J267" t="s">
        <v>5418</v>
      </c>
      <c r="K267" t="s">
        <v>74</v>
      </c>
      <c r="L267" t="s">
        <v>74</v>
      </c>
      <c r="M267" t="s">
        <v>78</v>
      </c>
      <c r="N267" t="s">
        <v>79</v>
      </c>
      <c r="O267" t="s">
        <v>74</v>
      </c>
      <c r="P267" t="s">
        <v>74</v>
      </c>
      <c r="Q267" t="s">
        <v>74</v>
      </c>
      <c r="R267" t="s">
        <v>74</v>
      </c>
      <c r="S267" t="s">
        <v>74</v>
      </c>
      <c r="T267" t="s">
        <v>74</v>
      </c>
      <c r="U267" t="s">
        <v>5419</v>
      </c>
      <c r="V267" t="s">
        <v>5420</v>
      </c>
      <c r="W267" t="s">
        <v>5421</v>
      </c>
      <c r="X267" t="s">
        <v>5422</v>
      </c>
      <c r="Y267" t="s">
        <v>5423</v>
      </c>
      <c r="Z267" t="s">
        <v>5424</v>
      </c>
      <c r="AA267" t="s">
        <v>5425</v>
      </c>
      <c r="AB267" t="s">
        <v>5426</v>
      </c>
      <c r="AC267" t="s">
        <v>5427</v>
      </c>
      <c r="AD267" t="s">
        <v>5428</v>
      </c>
      <c r="AE267" t="s">
        <v>5429</v>
      </c>
      <c r="AF267" t="s">
        <v>74</v>
      </c>
      <c r="AG267">
        <v>56</v>
      </c>
      <c r="AH267">
        <v>41</v>
      </c>
      <c r="AI267">
        <v>41</v>
      </c>
      <c r="AJ267">
        <v>4</v>
      </c>
      <c r="AK267">
        <v>41</v>
      </c>
      <c r="AL267" t="s">
        <v>673</v>
      </c>
      <c r="AM267" t="s">
        <v>92</v>
      </c>
      <c r="AN267" t="s">
        <v>674</v>
      </c>
      <c r="AO267" t="s">
        <v>5430</v>
      </c>
      <c r="AP267" t="s">
        <v>74</v>
      </c>
      <c r="AQ267" t="s">
        <v>74</v>
      </c>
      <c r="AR267" t="s">
        <v>5431</v>
      </c>
      <c r="AS267" t="s">
        <v>5432</v>
      </c>
      <c r="AT267" t="s">
        <v>2468</v>
      </c>
      <c r="AU267">
        <v>2018</v>
      </c>
      <c r="AV267">
        <v>2</v>
      </c>
      <c r="AW267">
        <v>1</v>
      </c>
      <c r="AX267" t="s">
        <v>74</v>
      </c>
      <c r="AY267" t="s">
        <v>74</v>
      </c>
      <c r="AZ267" t="s">
        <v>74</v>
      </c>
      <c r="BA267" t="s">
        <v>74</v>
      </c>
      <c r="BB267">
        <v>65</v>
      </c>
      <c r="BC267">
        <v>70</v>
      </c>
      <c r="BD267" t="s">
        <v>74</v>
      </c>
      <c r="BE267" t="s">
        <v>5433</v>
      </c>
      <c r="BF267" t="str">
        <f>HYPERLINK("http://dx.doi.org/10.1038/s41559-017-0388-z","http://dx.doi.org/10.1038/s41559-017-0388-z")</f>
        <v>http://dx.doi.org/10.1038/s41559-017-0388-z</v>
      </c>
      <c r="BG267" t="s">
        <v>74</v>
      </c>
      <c r="BH267" t="s">
        <v>74</v>
      </c>
      <c r="BI267">
        <v>6</v>
      </c>
      <c r="BJ267" t="s">
        <v>3858</v>
      </c>
      <c r="BK267" t="s">
        <v>101</v>
      </c>
      <c r="BL267" t="s">
        <v>3860</v>
      </c>
      <c r="BM267" t="s">
        <v>5434</v>
      </c>
      <c r="BN267">
        <v>29180711</v>
      </c>
      <c r="BO267" t="s">
        <v>542</v>
      </c>
      <c r="BP267" t="s">
        <v>74</v>
      </c>
      <c r="BQ267" t="s">
        <v>74</v>
      </c>
      <c r="BR267" t="s">
        <v>105</v>
      </c>
      <c r="BS267" t="s">
        <v>5435</v>
      </c>
      <c r="BT267" t="str">
        <f>HYPERLINK("https%3A%2F%2Fwww.webofscience.com%2Fwos%2Fwoscc%2Ffull-record%2FWOS:000426514800012","View Full Record in Web of Science")</f>
        <v>View Full Record in Web of Science</v>
      </c>
    </row>
    <row r="268" spans="1:72" x14ac:dyDescent="0.15">
      <c r="A268" t="s">
        <v>72</v>
      </c>
      <c r="B268" t="s">
        <v>5436</v>
      </c>
      <c r="C268" t="s">
        <v>74</v>
      </c>
      <c r="D268" t="s">
        <v>74</v>
      </c>
      <c r="E268" t="s">
        <v>74</v>
      </c>
      <c r="F268" t="s">
        <v>5437</v>
      </c>
      <c r="G268" t="s">
        <v>74</v>
      </c>
      <c r="H268" t="s">
        <v>74</v>
      </c>
      <c r="I268" t="s">
        <v>5438</v>
      </c>
      <c r="J268" t="s">
        <v>5418</v>
      </c>
      <c r="K268" t="s">
        <v>74</v>
      </c>
      <c r="L268" t="s">
        <v>74</v>
      </c>
      <c r="M268" t="s">
        <v>78</v>
      </c>
      <c r="N268" t="s">
        <v>79</v>
      </c>
      <c r="O268" t="s">
        <v>74</v>
      </c>
      <c r="P268" t="s">
        <v>74</v>
      </c>
      <c r="Q268" t="s">
        <v>74</v>
      </c>
      <c r="R268" t="s">
        <v>74</v>
      </c>
      <c r="S268" t="s">
        <v>74</v>
      </c>
      <c r="T268" t="s">
        <v>74</v>
      </c>
      <c r="U268" t="s">
        <v>5439</v>
      </c>
      <c r="V268" t="s">
        <v>5440</v>
      </c>
      <c r="W268" t="s">
        <v>5441</v>
      </c>
      <c r="X268" t="s">
        <v>5442</v>
      </c>
      <c r="Y268" t="s">
        <v>5443</v>
      </c>
      <c r="Z268" t="s">
        <v>5444</v>
      </c>
      <c r="AA268" t="s">
        <v>5445</v>
      </c>
      <c r="AB268" t="s">
        <v>5446</v>
      </c>
      <c r="AC268" t="s">
        <v>5447</v>
      </c>
      <c r="AD268" t="s">
        <v>5448</v>
      </c>
      <c r="AE268" t="s">
        <v>5449</v>
      </c>
      <c r="AF268" t="s">
        <v>74</v>
      </c>
      <c r="AG268">
        <v>76</v>
      </c>
      <c r="AH268">
        <v>37</v>
      </c>
      <c r="AI268">
        <v>40</v>
      </c>
      <c r="AJ268">
        <v>2</v>
      </c>
      <c r="AK268">
        <v>18</v>
      </c>
      <c r="AL268" t="s">
        <v>892</v>
      </c>
      <c r="AM268" t="s">
        <v>698</v>
      </c>
      <c r="AN268" t="s">
        <v>699</v>
      </c>
      <c r="AO268" t="s">
        <v>5430</v>
      </c>
      <c r="AP268" t="s">
        <v>74</v>
      </c>
      <c r="AQ268" t="s">
        <v>74</v>
      </c>
      <c r="AR268" t="s">
        <v>5431</v>
      </c>
      <c r="AS268" t="s">
        <v>5432</v>
      </c>
      <c r="AT268" t="s">
        <v>2468</v>
      </c>
      <c r="AU268">
        <v>2018</v>
      </c>
      <c r="AV268">
        <v>2</v>
      </c>
      <c r="AW268">
        <v>1</v>
      </c>
      <c r="AX268" t="s">
        <v>74</v>
      </c>
      <c r="AY268" t="s">
        <v>74</v>
      </c>
      <c r="AZ268" t="s">
        <v>74</v>
      </c>
      <c r="BA268" t="s">
        <v>74</v>
      </c>
      <c r="BB268">
        <v>71</v>
      </c>
      <c r="BC268">
        <v>80</v>
      </c>
      <c r="BD268" t="s">
        <v>74</v>
      </c>
      <c r="BE268" t="s">
        <v>5450</v>
      </c>
      <c r="BF268" t="str">
        <f>HYPERLINK("http://dx.doi.org/10.1038/s41559-017-0392-3","http://dx.doi.org/10.1038/s41559-017-0392-3")</f>
        <v>http://dx.doi.org/10.1038/s41559-017-0392-3</v>
      </c>
      <c r="BG268" t="s">
        <v>74</v>
      </c>
      <c r="BH268" t="s">
        <v>74</v>
      </c>
      <c r="BI268">
        <v>10</v>
      </c>
      <c r="BJ268" t="s">
        <v>3858</v>
      </c>
      <c r="BK268" t="s">
        <v>101</v>
      </c>
      <c r="BL268" t="s">
        <v>3860</v>
      </c>
      <c r="BM268" t="s">
        <v>5434</v>
      </c>
      <c r="BN268">
        <v>29230028</v>
      </c>
      <c r="BO268" t="s">
        <v>74</v>
      </c>
      <c r="BP268" t="s">
        <v>74</v>
      </c>
      <c r="BQ268" t="s">
        <v>74</v>
      </c>
      <c r="BR268" t="s">
        <v>105</v>
      </c>
      <c r="BS268" t="s">
        <v>5451</v>
      </c>
      <c r="BT268" t="str">
        <f>HYPERLINK("https%3A%2F%2Fwww.webofscience.com%2Fwos%2Fwoscc%2Ffull-record%2FWOS:000426514800013","View Full Record in Web of Science")</f>
        <v>View Full Record in Web of Science</v>
      </c>
    </row>
    <row r="269" spans="1:72" x14ac:dyDescent="0.15">
      <c r="A269" t="s">
        <v>72</v>
      </c>
      <c r="B269" t="s">
        <v>5452</v>
      </c>
      <c r="C269" t="s">
        <v>74</v>
      </c>
      <c r="D269" t="s">
        <v>74</v>
      </c>
      <c r="E269" t="s">
        <v>74</v>
      </c>
      <c r="F269" t="s">
        <v>5453</v>
      </c>
      <c r="G269" t="s">
        <v>74</v>
      </c>
      <c r="H269" t="s">
        <v>74</v>
      </c>
      <c r="I269" t="s">
        <v>5454</v>
      </c>
      <c r="J269" t="s">
        <v>5455</v>
      </c>
      <c r="K269" t="s">
        <v>74</v>
      </c>
      <c r="L269" t="s">
        <v>74</v>
      </c>
      <c r="M269" t="s">
        <v>78</v>
      </c>
      <c r="N269" t="s">
        <v>79</v>
      </c>
      <c r="O269" t="s">
        <v>74</v>
      </c>
      <c r="P269" t="s">
        <v>74</v>
      </c>
      <c r="Q269" t="s">
        <v>74</v>
      </c>
      <c r="R269" t="s">
        <v>74</v>
      </c>
      <c r="S269" t="s">
        <v>74</v>
      </c>
      <c r="T269" t="s">
        <v>5456</v>
      </c>
      <c r="U269" t="s">
        <v>5457</v>
      </c>
      <c r="V269" t="s">
        <v>5458</v>
      </c>
      <c r="W269" t="s">
        <v>5459</v>
      </c>
      <c r="X269" t="s">
        <v>5460</v>
      </c>
      <c r="Y269" t="s">
        <v>5461</v>
      </c>
      <c r="Z269" t="s">
        <v>5462</v>
      </c>
      <c r="AA269" t="s">
        <v>5463</v>
      </c>
      <c r="AB269" t="s">
        <v>5464</v>
      </c>
      <c r="AC269" t="s">
        <v>5465</v>
      </c>
      <c r="AD269" t="s">
        <v>5466</v>
      </c>
      <c r="AE269" t="s">
        <v>5467</v>
      </c>
      <c r="AF269" t="s">
        <v>74</v>
      </c>
      <c r="AG269">
        <v>43</v>
      </c>
      <c r="AH269">
        <v>4</v>
      </c>
      <c r="AI269">
        <v>4</v>
      </c>
      <c r="AJ269">
        <v>1</v>
      </c>
      <c r="AK269">
        <v>6</v>
      </c>
      <c r="AL269" t="s">
        <v>5468</v>
      </c>
      <c r="AM269" t="s">
        <v>5469</v>
      </c>
      <c r="AN269" t="s">
        <v>5470</v>
      </c>
      <c r="AO269" t="s">
        <v>5471</v>
      </c>
      <c r="AP269" t="s">
        <v>74</v>
      </c>
      <c r="AQ269" t="s">
        <v>74</v>
      </c>
      <c r="AR269" t="s">
        <v>5472</v>
      </c>
      <c r="AS269" t="s">
        <v>5473</v>
      </c>
      <c r="AT269" t="s">
        <v>74</v>
      </c>
      <c r="AU269">
        <v>2018</v>
      </c>
      <c r="AV269">
        <v>16</v>
      </c>
      <c r="AW269">
        <v>4</v>
      </c>
      <c r="AX269" t="s">
        <v>74</v>
      </c>
      <c r="AY269" t="s">
        <v>74</v>
      </c>
      <c r="AZ269" t="s">
        <v>74</v>
      </c>
      <c r="BA269" t="s">
        <v>74</v>
      </c>
      <c r="BB269" t="s">
        <v>74</v>
      </c>
      <c r="BC269" t="s">
        <v>74</v>
      </c>
      <c r="BD269" t="s">
        <v>5474</v>
      </c>
      <c r="BE269" t="s">
        <v>5475</v>
      </c>
      <c r="BF269" t="str">
        <f>HYPERLINK("http://dx.doi.org/10.1590/1982-0224-20170162","http://dx.doi.org/10.1590/1982-0224-20170162")</f>
        <v>http://dx.doi.org/10.1590/1982-0224-20170162</v>
      </c>
      <c r="BG269" t="s">
        <v>74</v>
      </c>
      <c r="BH269" t="s">
        <v>74</v>
      </c>
      <c r="BI269">
        <v>11</v>
      </c>
      <c r="BJ269" t="s">
        <v>655</v>
      </c>
      <c r="BK269" t="s">
        <v>101</v>
      </c>
      <c r="BL269" t="s">
        <v>655</v>
      </c>
      <c r="BM269" t="s">
        <v>5476</v>
      </c>
      <c r="BN269" t="s">
        <v>74</v>
      </c>
      <c r="BO269" t="s">
        <v>3808</v>
      </c>
      <c r="BP269" t="s">
        <v>74</v>
      </c>
      <c r="BQ269" t="s">
        <v>74</v>
      </c>
      <c r="BR269" t="s">
        <v>105</v>
      </c>
      <c r="BS269" t="s">
        <v>5477</v>
      </c>
      <c r="BT269" t="str">
        <f>HYPERLINK("https%3A%2F%2Fwww.webofscience.com%2Fwos%2Fwoscc%2Ffull-record%2FWOS:000448927500001","View Full Record in Web of Science")</f>
        <v>View Full Record in Web of Science</v>
      </c>
    </row>
    <row r="270" spans="1:72" x14ac:dyDescent="0.15">
      <c r="A270" t="s">
        <v>72</v>
      </c>
      <c r="B270" t="s">
        <v>5478</v>
      </c>
      <c r="C270" t="s">
        <v>74</v>
      </c>
      <c r="D270" t="s">
        <v>74</v>
      </c>
      <c r="E270" t="s">
        <v>74</v>
      </c>
      <c r="F270" t="s">
        <v>5479</v>
      </c>
      <c r="G270" t="s">
        <v>74</v>
      </c>
      <c r="H270" t="s">
        <v>74</v>
      </c>
      <c r="I270" t="s">
        <v>5480</v>
      </c>
      <c r="J270" t="s">
        <v>5481</v>
      </c>
      <c r="K270" t="s">
        <v>74</v>
      </c>
      <c r="L270" t="s">
        <v>74</v>
      </c>
      <c r="M270" t="s">
        <v>78</v>
      </c>
      <c r="N270" t="s">
        <v>79</v>
      </c>
      <c r="O270" t="s">
        <v>74</v>
      </c>
      <c r="P270" t="s">
        <v>74</v>
      </c>
      <c r="Q270" t="s">
        <v>74</v>
      </c>
      <c r="R270" t="s">
        <v>74</v>
      </c>
      <c r="S270" t="s">
        <v>74</v>
      </c>
      <c r="T270" t="s">
        <v>5482</v>
      </c>
      <c r="U270" t="s">
        <v>5483</v>
      </c>
      <c r="V270" t="s">
        <v>5484</v>
      </c>
      <c r="W270" t="s">
        <v>5485</v>
      </c>
      <c r="X270" t="s">
        <v>5486</v>
      </c>
      <c r="Y270" t="s">
        <v>5487</v>
      </c>
      <c r="Z270" t="s">
        <v>5488</v>
      </c>
      <c r="AA270" t="s">
        <v>5489</v>
      </c>
      <c r="AB270" t="s">
        <v>5490</v>
      </c>
      <c r="AC270" t="s">
        <v>5491</v>
      </c>
      <c r="AD270" t="s">
        <v>5492</v>
      </c>
      <c r="AE270" t="s">
        <v>5493</v>
      </c>
      <c r="AF270" t="s">
        <v>74</v>
      </c>
      <c r="AG270">
        <v>82</v>
      </c>
      <c r="AH270">
        <v>2</v>
      </c>
      <c r="AI270">
        <v>3</v>
      </c>
      <c r="AJ270">
        <v>3</v>
      </c>
      <c r="AK270">
        <v>20</v>
      </c>
      <c r="AL270" t="s">
        <v>5494</v>
      </c>
      <c r="AM270" t="s">
        <v>5495</v>
      </c>
      <c r="AN270" t="s">
        <v>5496</v>
      </c>
      <c r="AO270" t="s">
        <v>5497</v>
      </c>
      <c r="AP270" t="s">
        <v>5498</v>
      </c>
      <c r="AQ270" t="s">
        <v>74</v>
      </c>
      <c r="AR270" t="s">
        <v>5499</v>
      </c>
      <c r="AS270" t="s">
        <v>5500</v>
      </c>
      <c r="AT270" t="s">
        <v>74</v>
      </c>
      <c r="AU270">
        <v>2018</v>
      </c>
      <c r="AV270">
        <v>42</v>
      </c>
      <c r="AW270">
        <v>2</v>
      </c>
      <c r="AX270" t="s">
        <v>74</v>
      </c>
      <c r="AY270" t="s">
        <v>74</v>
      </c>
      <c r="AZ270" t="s">
        <v>74</v>
      </c>
      <c r="BA270" t="s">
        <v>74</v>
      </c>
      <c r="BB270">
        <v>229</v>
      </c>
      <c r="BC270">
        <v>239</v>
      </c>
      <c r="BD270" t="s">
        <v>74</v>
      </c>
      <c r="BE270" t="s">
        <v>5501</v>
      </c>
      <c r="BF270" t="str">
        <f>HYPERLINK("http://dx.doi.org/10.20417/nzjecol.42.26","http://dx.doi.org/10.20417/nzjecol.42.26")</f>
        <v>http://dx.doi.org/10.20417/nzjecol.42.26</v>
      </c>
      <c r="BG270" t="s">
        <v>74</v>
      </c>
      <c r="BH270" t="s">
        <v>74</v>
      </c>
      <c r="BI270">
        <v>11</v>
      </c>
      <c r="BJ270" t="s">
        <v>5502</v>
      </c>
      <c r="BK270" t="s">
        <v>101</v>
      </c>
      <c r="BL270" t="s">
        <v>1120</v>
      </c>
      <c r="BM270" t="s">
        <v>5503</v>
      </c>
      <c r="BN270" t="s">
        <v>74</v>
      </c>
      <c r="BO270" t="s">
        <v>306</v>
      </c>
      <c r="BP270" t="s">
        <v>74</v>
      </c>
      <c r="BQ270" t="s">
        <v>74</v>
      </c>
      <c r="BR270" t="s">
        <v>105</v>
      </c>
      <c r="BS270" t="s">
        <v>5504</v>
      </c>
      <c r="BT270" t="str">
        <f>HYPERLINK("https%3A%2F%2Fwww.webofscience.com%2Fwos%2Fwoscc%2Ffull-record%2FWOS:000445720800015","View Full Record in Web of Science")</f>
        <v>View Full Record in Web of Science</v>
      </c>
    </row>
    <row r="271" spans="1:72" x14ac:dyDescent="0.15">
      <c r="A271" t="s">
        <v>2085</v>
      </c>
      <c r="B271" t="s">
        <v>5505</v>
      </c>
      <c r="C271" t="s">
        <v>5505</v>
      </c>
      <c r="D271" t="s">
        <v>74</v>
      </c>
      <c r="E271" t="s">
        <v>74</v>
      </c>
      <c r="F271" t="s">
        <v>5506</v>
      </c>
      <c r="G271" t="s">
        <v>5505</v>
      </c>
      <c r="H271" t="s">
        <v>74</v>
      </c>
      <c r="I271" t="s">
        <v>5507</v>
      </c>
      <c r="J271" t="s">
        <v>5508</v>
      </c>
      <c r="K271" t="s">
        <v>74</v>
      </c>
      <c r="L271" t="s">
        <v>74</v>
      </c>
      <c r="M271" t="s">
        <v>78</v>
      </c>
      <c r="N271" t="s">
        <v>1862</v>
      </c>
      <c r="O271" t="s">
        <v>74</v>
      </c>
      <c r="P271" t="s">
        <v>74</v>
      </c>
      <c r="Q271" t="s">
        <v>74</v>
      </c>
      <c r="R271" t="s">
        <v>74</v>
      </c>
      <c r="S271" t="s">
        <v>74</v>
      </c>
      <c r="T271" t="s">
        <v>74</v>
      </c>
      <c r="U271" t="s">
        <v>5509</v>
      </c>
      <c r="V271" t="s">
        <v>5510</v>
      </c>
      <c r="W271" t="s">
        <v>5511</v>
      </c>
      <c r="X271" t="s">
        <v>1917</v>
      </c>
      <c r="Y271" t="s">
        <v>5512</v>
      </c>
      <c r="Z271" t="s">
        <v>74</v>
      </c>
      <c r="AA271" t="s">
        <v>5513</v>
      </c>
      <c r="AB271" t="s">
        <v>74</v>
      </c>
      <c r="AC271" t="s">
        <v>74</v>
      </c>
      <c r="AD271" t="s">
        <v>74</v>
      </c>
      <c r="AE271" t="s">
        <v>74</v>
      </c>
      <c r="AF271" t="s">
        <v>74</v>
      </c>
      <c r="AG271">
        <v>117</v>
      </c>
      <c r="AH271">
        <v>0</v>
      </c>
      <c r="AI271">
        <v>0</v>
      </c>
      <c r="AJ271">
        <v>0</v>
      </c>
      <c r="AK271">
        <v>1</v>
      </c>
      <c r="AL271" t="s">
        <v>1898</v>
      </c>
      <c r="AM271" t="s">
        <v>1899</v>
      </c>
      <c r="AN271" t="s">
        <v>1900</v>
      </c>
      <c r="AO271" t="s">
        <v>74</v>
      </c>
      <c r="AP271" t="s">
        <v>74</v>
      </c>
      <c r="AQ271" t="s">
        <v>5514</v>
      </c>
      <c r="AR271" t="s">
        <v>74</v>
      </c>
      <c r="AS271" t="s">
        <v>74</v>
      </c>
      <c r="AT271" t="s">
        <v>74</v>
      </c>
      <c r="AU271">
        <v>2018</v>
      </c>
      <c r="AV271" t="s">
        <v>74</v>
      </c>
      <c r="AW271" t="s">
        <v>74</v>
      </c>
      <c r="AX271" t="s">
        <v>74</v>
      </c>
      <c r="AY271" t="s">
        <v>74</v>
      </c>
      <c r="AZ271" t="s">
        <v>74</v>
      </c>
      <c r="BA271" t="s">
        <v>74</v>
      </c>
      <c r="BB271">
        <v>47</v>
      </c>
      <c r="BC271">
        <v>103</v>
      </c>
      <c r="BD271" t="s">
        <v>74</v>
      </c>
      <c r="BE271" t="s">
        <v>5515</v>
      </c>
      <c r="BF271" t="str">
        <f>HYPERLINK("http://dx.doi.org/10.1007/978-3-319-73159-9_2","http://dx.doi.org/10.1007/978-3-319-73159-9_2")</f>
        <v>http://dx.doi.org/10.1007/978-3-319-73159-9_2</v>
      </c>
      <c r="BG271" t="s">
        <v>5516</v>
      </c>
      <c r="BH271" t="s">
        <v>74</v>
      </c>
      <c r="BI271">
        <v>57</v>
      </c>
      <c r="BJ271" t="s">
        <v>1907</v>
      </c>
      <c r="BK271" t="s">
        <v>1856</v>
      </c>
      <c r="BL271" t="s">
        <v>1907</v>
      </c>
      <c r="BM271" t="s">
        <v>5517</v>
      </c>
      <c r="BN271" t="s">
        <v>74</v>
      </c>
      <c r="BO271" t="s">
        <v>74</v>
      </c>
      <c r="BP271" t="s">
        <v>74</v>
      </c>
      <c r="BQ271" t="s">
        <v>74</v>
      </c>
      <c r="BR271" t="s">
        <v>105</v>
      </c>
      <c r="BS271" t="s">
        <v>5518</v>
      </c>
      <c r="BT271" t="str">
        <f>HYPERLINK("https%3A%2F%2Fwww.webofscience.com%2Fwos%2Fwoscc%2Ffull-record%2FWOS:000449827000003","View Full Record in Web of Science")</f>
        <v>View Full Record in Web of Science</v>
      </c>
    </row>
    <row r="272" spans="1:72" x14ac:dyDescent="0.15">
      <c r="A272" t="s">
        <v>2085</v>
      </c>
      <c r="B272" t="s">
        <v>5505</v>
      </c>
      <c r="C272" t="s">
        <v>5505</v>
      </c>
      <c r="D272" t="s">
        <v>74</v>
      </c>
      <c r="E272" t="s">
        <v>74</v>
      </c>
      <c r="F272" t="s">
        <v>5506</v>
      </c>
      <c r="G272" t="s">
        <v>5505</v>
      </c>
      <c r="H272" t="s">
        <v>74</v>
      </c>
      <c r="I272" t="s">
        <v>5519</v>
      </c>
      <c r="J272" t="s">
        <v>5508</v>
      </c>
      <c r="K272" t="s">
        <v>74</v>
      </c>
      <c r="L272" t="s">
        <v>74</v>
      </c>
      <c r="M272" t="s">
        <v>78</v>
      </c>
      <c r="N272" t="s">
        <v>1862</v>
      </c>
      <c r="O272" t="s">
        <v>74</v>
      </c>
      <c r="P272" t="s">
        <v>74</v>
      </c>
      <c r="Q272" t="s">
        <v>74</v>
      </c>
      <c r="R272" t="s">
        <v>74</v>
      </c>
      <c r="S272" t="s">
        <v>74</v>
      </c>
      <c r="T272" t="s">
        <v>74</v>
      </c>
      <c r="U272" t="s">
        <v>5520</v>
      </c>
      <c r="V272" t="s">
        <v>5521</v>
      </c>
      <c r="W272" t="s">
        <v>5511</v>
      </c>
      <c r="X272" t="s">
        <v>1917</v>
      </c>
      <c r="Y272" t="s">
        <v>5512</v>
      </c>
      <c r="Z272" t="s">
        <v>74</v>
      </c>
      <c r="AA272" t="s">
        <v>5513</v>
      </c>
      <c r="AB272" t="s">
        <v>74</v>
      </c>
      <c r="AC272" t="s">
        <v>74</v>
      </c>
      <c r="AD272" t="s">
        <v>74</v>
      </c>
      <c r="AE272" t="s">
        <v>74</v>
      </c>
      <c r="AF272" t="s">
        <v>74</v>
      </c>
      <c r="AG272">
        <v>77</v>
      </c>
      <c r="AH272">
        <v>0</v>
      </c>
      <c r="AI272">
        <v>0</v>
      </c>
      <c r="AJ272">
        <v>0</v>
      </c>
      <c r="AK272">
        <v>0</v>
      </c>
      <c r="AL272" t="s">
        <v>1898</v>
      </c>
      <c r="AM272" t="s">
        <v>1899</v>
      </c>
      <c r="AN272" t="s">
        <v>1900</v>
      </c>
      <c r="AO272" t="s">
        <v>74</v>
      </c>
      <c r="AP272" t="s">
        <v>74</v>
      </c>
      <c r="AQ272" t="s">
        <v>5514</v>
      </c>
      <c r="AR272" t="s">
        <v>74</v>
      </c>
      <c r="AS272" t="s">
        <v>74</v>
      </c>
      <c r="AT272" t="s">
        <v>74</v>
      </c>
      <c r="AU272">
        <v>2018</v>
      </c>
      <c r="AV272" t="s">
        <v>74</v>
      </c>
      <c r="AW272" t="s">
        <v>74</v>
      </c>
      <c r="AX272" t="s">
        <v>74</v>
      </c>
      <c r="AY272" t="s">
        <v>74</v>
      </c>
      <c r="AZ272" t="s">
        <v>74</v>
      </c>
      <c r="BA272" t="s">
        <v>74</v>
      </c>
      <c r="BB272">
        <v>219</v>
      </c>
      <c r="BC272">
        <v>261</v>
      </c>
      <c r="BD272" t="s">
        <v>74</v>
      </c>
      <c r="BE272" t="s">
        <v>5522</v>
      </c>
      <c r="BF272" t="str">
        <f>HYPERLINK("http://dx.doi.org/10.1007/978-3-319-73159-9_7","http://dx.doi.org/10.1007/978-3-319-73159-9_7")</f>
        <v>http://dx.doi.org/10.1007/978-3-319-73159-9_7</v>
      </c>
      <c r="BG272" t="s">
        <v>5516</v>
      </c>
      <c r="BH272" t="s">
        <v>74</v>
      </c>
      <c r="BI272">
        <v>43</v>
      </c>
      <c r="BJ272" t="s">
        <v>1907</v>
      </c>
      <c r="BK272" t="s">
        <v>1856</v>
      </c>
      <c r="BL272" t="s">
        <v>1907</v>
      </c>
      <c r="BM272" t="s">
        <v>5517</v>
      </c>
      <c r="BN272" t="s">
        <v>74</v>
      </c>
      <c r="BO272" t="s">
        <v>74</v>
      </c>
      <c r="BP272" t="s">
        <v>74</v>
      </c>
      <c r="BQ272" t="s">
        <v>74</v>
      </c>
      <c r="BR272" t="s">
        <v>105</v>
      </c>
      <c r="BS272" t="s">
        <v>5523</v>
      </c>
      <c r="BT272" t="str">
        <f>HYPERLINK("https%3A%2F%2Fwww.webofscience.com%2Fwos%2Fwoscc%2Ffull-record%2FWOS:000449827000008","View Full Record in Web of Science")</f>
        <v>View Full Record in Web of Science</v>
      </c>
    </row>
    <row r="273" spans="1:72" x14ac:dyDescent="0.15">
      <c r="A273" t="s">
        <v>72</v>
      </c>
      <c r="B273" t="s">
        <v>5524</v>
      </c>
      <c r="C273" t="s">
        <v>74</v>
      </c>
      <c r="D273" t="s">
        <v>74</v>
      </c>
      <c r="E273" t="s">
        <v>74</v>
      </c>
      <c r="F273" t="s">
        <v>5525</v>
      </c>
      <c r="G273" t="s">
        <v>74</v>
      </c>
      <c r="H273" t="s">
        <v>74</v>
      </c>
      <c r="I273" t="s">
        <v>5526</v>
      </c>
      <c r="J273" t="s">
        <v>5527</v>
      </c>
      <c r="K273" t="s">
        <v>74</v>
      </c>
      <c r="L273" t="s">
        <v>74</v>
      </c>
      <c r="M273" t="s">
        <v>78</v>
      </c>
      <c r="N273" t="s">
        <v>79</v>
      </c>
      <c r="O273" t="s">
        <v>74</v>
      </c>
      <c r="P273" t="s">
        <v>74</v>
      </c>
      <c r="Q273" t="s">
        <v>74</v>
      </c>
      <c r="R273" t="s">
        <v>74</v>
      </c>
      <c r="S273" t="s">
        <v>74</v>
      </c>
      <c r="T273" t="s">
        <v>5528</v>
      </c>
      <c r="U273" t="s">
        <v>5529</v>
      </c>
      <c r="V273" t="s">
        <v>5530</v>
      </c>
      <c r="W273" t="s">
        <v>5531</v>
      </c>
      <c r="X273" t="s">
        <v>5532</v>
      </c>
      <c r="Y273" t="s">
        <v>5533</v>
      </c>
      <c r="Z273" t="s">
        <v>5534</v>
      </c>
      <c r="AA273" t="s">
        <v>5535</v>
      </c>
      <c r="AB273" t="s">
        <v>5536</v>
      </c>
      <c r="AC273" t="s">
        <v>5537</v>
      </c>
      <c r="AD273" t="s">
        <v>5538</v>
      </c>
      <c r="AE273" t="s">
        <v>5539</v>
      </c>
      <c r="AF273" t="s">
        <v>74</v>
      </c>
      <c r="AG273">
        <v>52</v>
      </c>
      <c r="AH273">
        <v>12</v>
      </c>
      <c r="AI273">
        <v>13</v>
      </c>
      <c r="AJ273">
        <v>0</v>
      </c>
      <c r="AK273">
        <v>12</v>
      </c>
      <c r="AL273" t="s">
        <v>271</v>
      </c>
      <c r="AM273" t="s">
        <v>272</v>
      </c>
      <c r="AN273" t="s">
        <v>273</v>
      </c>
      <c r="AO273" t="s">
        <v>5540</v>
      </c>
      <c r="AP273" t="s">
        <v>74</v>
      </c>
      <c r="AQ273" t="s">
        <v>74</v>
      </c>
      <c r="AR273" t="s">
        <v>5541</v>
      </c>
      <c r="AS273" t="s">
        <v>5542</v>
      </c>
      <c r="AT273" t="s">
        <v>2468</v>
      </c>
      <c r="AU273">
        <v>2018</v>
      </c>
      <c r="AV273">
        <v>33</v>
      </c>
      <c r="AW273">
        <v>1</v>
      </c>
      <c r="AX273" t="s">
        <v>74</v>
      </c>
      <c r="AY273" t="s">
        <v>74</v>
      </c>
      <c r="AZ273" t="s">
        <v>74</v>
      </c>
      <c r="BA273" t="s">
        <v>74</v>
      </c>
      <c r="BB273">
        <v>2</v>
      </c>
      <c r="BC273">
        <v>20</v>
      </c>
      <c r="BD273" t="s">
        <v>74</v>
      </c>
      <c r="BE273" t="s">
        <v>5543</v>
      </c>
      <c r="BF273" t="str">
        <f>HYPERLINK("http://dx.doi.org/10.1002/2017PA003229","http://dx.doi.org/10.1002/2017PA003229")</f>
        <v>http://dx.doi.org/10.1002/2017PA003229</v>
      </c>
      <c r="BG273" t="s">
        <v>74</v>
      </c>
      <c r="BH273" t="s">
        <v>74</v>
      </c>
      <c r="BI273">
        <v>19</v>
      </c>
      <c r="BJ273" t="s">
        <v>5544</v>
      </c>
      <c r="BK273" t="s">
        <v>101</v>
      </c>
      <c r="BL273" t="s">
        <v>5545</v>
      </c>
      <c r="BM273" t="s">
        <v>5546</v>
      </c>
      <c r="BN273" t="s">
        <v>74</v>
      </c>
      <c r="BO273" t="s">
        <v>5547</v>
      </c>
      <c r="BP273" t="s">
        <v>74</v>
      </c>
      <c r="BQ273" t="s">
        <v>74</v>
      </c>
      <c r="BR273" t="s">
        <v>105</v>
      </c>
      <c r="BS273" t="s">
        <v>5548</v>
      </c>
      <c r="BT273" t="str">
        <f>HYPERLINK("https%3A%2F%2Fwww.webofscience.com%2Fwos%2Fwoscc%2Ffull-record%2FWOS:000426654000001","View Full Record in Web of Science")</f>
        <v>View Full Record in Web of Science</v>
      </c>
    </row>
    <row r="274" spans="1:72" x14ac:dyDescent="0.15">
      <c r="A274" t="s">
        <v>72</v>
      </c>
      <c r="B274" t="s">
        <v>5549</v>
      </c>
      <c r="C274" t="s">
        <v>74</v>
      </c>
      <c r="D274" t="s">
        <v>74</v>
      </c>
      <c r="E274" t="s">
        <v>74</v>
      </c>
      <c r="F274" t="s">
        <v>5550</v>
      </c>
      <c r="G274" t="s">
        <v>74</v>
      </c>
      <c r="H274" t="s">
        <v>74</v>
      </c>
      <c r="I274" t="s">
        <v>5551</v>
      </c>
      <c r="J274" t="s">
        <v>5552</v>
      </c>
      <c r="K274" t="s">
        <v>74</v>
      </c>
      <c r="L274" t="s">
        <v>74</v>
      </c>
      <c r="M274" t="s">
        <v>78</v>
      </c>
      <c r="N274" t="s">
        <v>79</v>
      </c>
      <c r="O274" t="s">
        <v>74</v>
      </c>
      <c r="P274" t="s">
        <v>74</v>
      </c>
      <c r="Q274" t="s">
        <v>74</v>
      </c>
      <c r="R274" t="s">
        <v>74</v>
      </c>
      <c r="S274" t="s">
        <v>74</v>
      </c>
      <c r="T274" t="s">
        <v>5553</v>
      </c>
      <c r="U274" t="s">
        <v>5554</v>
      </c>
      <c r="V274" t="s">
        <v>5555</v>
      </c>
      <c r="W274" t="s">
        <v>5556</v>
      </c>
      <c r="X274" t="s">
        <v>5557</v>
      </c>
      <c r="Y274" t="s">
        <v>5558</v>
      </c>
      <c r="Z274" t="s">
        <v>5559</v>
      </c>
      <c r="AA274" t="s">
        <v>5560</v>
      </c>
      <c r="AB274" t="s">
        <v>5561</v>
      </c>
      <c r="AC274" t="s">
        <v>5562</v>
      </c>
      <c r="AD274" t="s">
        <v>5563</v>
      </c>
      <c r="AE274" t="s">
        <v>5564</v>
      </c>
      <c r="AF274" t="s">
        <v>74</v>
      </c>
      <c r="AG274">
        <v>85</v>
      </c>
      <c r="AH274">
        <v>11</v>
      </c>
      <c r="AI274">
        <v>12</v>
      </c>
      <c r="AJ274">
        <v>0</v>
      </c>
      <c r="AK274">
        <v>43</v>
      </c>
      <c r="AL274" t="s">
        <v>1973</v>
      </c>
      <c r="AM274" t="s">
        <v>1797</v>
      </c>
      <c r="AN274" t="s">
        <v>4066</v>
      </c>
      <c r="AO274" t="s">
        <v>5565</v>
      </c>
      <c r="AP274" t="s">
        <v>5566</v>
      </c>
      <c r="AQ274" t="s">
        <v>74</v>
      </c>
      <c r="AR274" t="s">
        <v>5567</v>
      </c>
      <c r="AS274" t="s">
        <v>5568</v>
      </c>
      <c r="AT274" t="s">
        <v>2468</v>
      </c>
      <c r="AU274">
        <v>2018</v>
      </c>
      <c r="AV274">
        <v>41</v>
      </c>
      <c r="AW274">
        <v>1</v>
      </c>
      <c r="AX274" t="s">
        <v>74</v>
      </c>
      <c r="AY274" t="s">
        <v>74</v>
      </c>
      <c r="AZ274" t="s">
        <v>74</v>
      </c>
      <c r="BA274" t="s">
        <v>74</v>
      </c>
      <c r="BB274">
        <v>59</v>
      </c>
      <c r="BC274">
        <v>70</v>
      </c>
      <c r="BD274" t="s">
        <v>74</v>
      </c>
      <c r="BE274" t="s">
        <v>5569</v>
      </c>
      <c r="BF274" t="str">
        <f>HYPERLINK("http://dx.doi.org/10.1007/s00300-017-2169-1","http://dx.doi.org/10.1007/s00300-017-2169-1")</f>
        <v>http://dx.doi.org/10.1007/s00300-017-2169-1</v>
      </c>
      <c r="BG274" t="s">
        <v>74</v>
      </c>
      <c r="BH274" t="s">
        <v>74</v>
      </c>
      <c r="BI274">
        <v>12</v>
      </c>
      <c r="BJ274" t="s">
        <v>4277</v>
      </c>
      <c r="BK274" t="s">
        <v>101</v>
      </c>
      <c r="BL274" t="s">
        <v>4278</v>
      </c>
      <c r="BM274" t="s">
        <v>5570</v>
      </c>
      <c r="BN274" t="s">
        <v>74</v>
      </c>
      <c r="BO274" t="s">
        <v>5571</v>
      </c>
      <c r="BP274" t="s">
        <v>74</v>
      </c>
      <c r="BQ274" t="s">
        <v>74</v>
      </c>
      <c r="BR274" t="s">
        <v>105</v>
      </c>
      <c r="BS274" t="s">
        <v>5572</v>
      </c>
      <c r="BT274" t="str">
        <f>HYPERLINK("https%3A%2F%2Fwww.webofscience.com%2Fwos%2Fwoscc%2Ffull-record%2FWOS:000418839500005","View Full Record in Web of Science")</f>
        <v>View Full Record in Web of Science</v>
      </c>
    </row>
    <row r="275" spans="1:72" x14ac:dyDescent="0.15">
      <c r="A275" t="s">
        <v>72</v>
      </c>
      <c r="B275" t="s">
        <v>5573</v>
      </c>
      <c r="C275" t="s">
        <v>74</v>
      </c>
      <c r="D275" t="s">
        <v>74</v>
      </c>
      <c r="E275" t="s">
        <v>74</v>
      </c>
      <c r="F275" t="s">
        <v>5574</v>
      </c>
      <c r="G275" t="s">
        <v>74</v>
      </c>
      <c r="H275" t="s">
        <v>74</v>
      </c>
      <c r="I275" t="s">
        <v>5575</v>
      </c>
      <c r="J275" t="s">
        <v>5552</v>
      </c>
      <c r="K275" t="s">
        <v>74</v>
      </c>
      <c r="L275" t="s">
        <v>74</v>
      </c>
      <c r="M275" t="s">
        <v>78</v>
      </c>
      <c r="N275" t="s">
        <v>79</v>
      </c>
      <c r="O275" t="s">
        <v>74</v>
      </c>
      <c r="P275" t="s">
        <v>74</v>
      </c>
      <c r="Q275" t="s">
        <v>74</v>
      </c>
      <c r="R275" t="s">
        <v>74</v>
      </c>
      <c r="S275" t="s">
        <v>74</v>
      </c>
      <c r="T275" t="s">
        <v>5576</v>
      </c>
      <c r="U275" t="s">
        <v>5577</v>
      </c>
      <c r="V275" t="s">
        <v>5578</v>
      </c>
      <c r="W275" t="s">
        <v>5579</v>
      </c>
      <c r="X275" t="s">
        <v>5580</v>
      </c>
      <c r="Y275" t="s">
        <v>5581</v>
      </c>
      <c r="Z275" t="s">
        <v>5582</v>
      </c>
      <c r="AA275" t="s">
        <v>5583</v>
      </c>
      <c r="AB275" t="s">
        <v>5584</v>
      </c>
      <c r="AC275" t="s">
        <v>5585</v>
      </c>
      <c r="AD275" t="s">
        <v>5586</v>
      </c>
      <c r="AE275" t="s">
        <v>5587</v>
      </c>
      <c r="AF275" t="s">
        <v>74</v>
      </c>
      <c r="AG275">
        <v>108</v>
      </c>
      <c r="AH275">
        <v>46</v>
      </c>
      <c r="AI275">
        <v>46</v>
      </c>
      <c r="AJ275">
        <v>2</v>
      </c>
      <c r="AK275">
        <v>57</v>
      </c>
      <c r="AL275" t="s">
        <v>1973</v>
      </c>
      <c r="AM275" t="s">
        <v>1797</v>
      </c>
      <c r="AN275" t="s">
        <v>5588</v>
      </c>
      <c r="AO275" t="s">
        <v>5565</v>
      </c>
      <c r="AP275" t="s">
        <v>5566</v>
      </c>
      <c r="AQ275" t="s">
        <v>74</v>
      </c>
      <c r="AR275" t="s">
        <v>5567</v>
      </c>
      <c r="AS275" t="s">
        <v>5568</v>
      </c>
      <c r="AT275" t="s">
        <v>2468</v>
      </c>
      <c r="AU275">
        <v>2018</v>
      </c>
      <c r="AV275">
        <v>41</v>
      </c>
      <c r="AW275">
        <v>1</v>
      </c>
      <c r="AX275" t="s">
        <v>74</v>
      </c>
      <c r="AY275" t="s">
        <v>74</v>
      </c>
      <c r="AZ275" t="s">
        <v>74</v>
      </c>
      <c r="BA275" t="s">
        <v>74</v>
      </c>
      <c r="BB275">
        <v>175</v>
      </c>
      <c r="BC275">
        <v>191</v>
      </c>
      <c r="BD275" t="s">
        <v>74</v>
      </c>
      <c r="BE275" t="s">
        <v>5589</v>
      </c>
      <c r="BF275" t="str">
        <f>HYPERLINK("http://dx.doi.org/10.1007/s00300-017-2180-6","http://dx.doi.org/10.1007/s00300-017-2180-6")</f>
        <v>http://dx.doi.org/10.1007/s00300-017-2180-6</v>
      </c>
      <c r="BG275" t="s">
        <v>74</v>
      </c>
      <c r="BH275" t="s">
        <v>74</v>
      </c>
      <c r="BI275">
        <v>17</v>
      </c>
      <c r="BJ275" t="s">
        <v>4277</v>
      </c>
      <c r="BK275" t="s">
        <v>101</v>
      </c>
      <c r="BL275" t="s">
        <v>4278</v>
      </c>
      <c r="BM275" t="s">
        <v>5570</v>
      </c>
      <c r="BN275" t="s">
        <v>74</v>
      </c>
      <c r="BO275" t="s">
        <v>432</v>
      </c>
      <c r="BP275" t="s">
        <v>74</v>
      </c>
      <c r="BQ275" t="s">
        <v>74</v>
      </c>
      <c r="BR275" t="s">
        <v>105</v>
      </c>
      <c r="BS275" t="s">
        <v>5590</v>
      </c>
      <c r="BT275" t="str">
        <f>HYPERLINK("https%3A%2F%2Fwww.webofscience.com%2Fwos%2Fwoscc%2Ffull-record%2FWOS:000418839500016","View Full Record in Web of Science")</f>
        <v>View Full Record in Web of Science</v>
      </c>
    </row>
    <row r="276" spans="1:72" x14ac:dyDescent="0.15">
      <c r="A276" t="s">
        <v>72</v>
      </c>
      <c r="B276" t="s">
        <v>5591</v>
      </c>
      <c r="C276" t="s">
        <v>74</v>
      </c>
      <c r="D276" t="s">
        <v>74</v>
      </c>
      <c r="E276" t="s">
        <v>74</v>
      </c>
      <c r="F276" t="s">
        <v>5592</v>
      </c>
      <c r="G276" t="s">
        <v>74</v>
      </c>
      <c r="H276" t="s">
        <v>74</v>
      </c>
      <c r="I276" t="s">
        <v>5593</v>
      </c>
      <c r="J276" t="s">
        <v>5594</v>
      </c>
      <c r="K276" t="s">
        <v>74</v>
      </c>
      <c r="L276" t="s">
        <v>74</v>
      </c>
      <c r="M276" t="s">
        <v>78</v>
      </c>
      <c r="N276" t="s">
        <v>79</v>
      </c>
      <c r="O276" t="s">
        <v>74</v>
      </c>
      <c r="P276" t="s">
        <v>74</v>
      </c>
      <c r="Q276" t="s">
        <v>74</v>
      </c>
      <c r="R276" t="s">
        <v>74</v>
      </c>
      <c r="S276" t="s">
        <v>74</v>
      </c>
      <c r="T276" t="s">
        <v>5595</v>
      </c>
      <c r="U276" t="s">
        <v>5596</v>
      </c>
      <c r="V276" t="s">
        <v>5597</v>
      </c>
      <c r="W276" t="s">
        <v>5598</v>
      </c>
      <c r="X276" t="s">
        <v>5599</v>
      </c>
      <c r="Y276" t="s">
        <v>5600</v>
      </c>
      <c r="Z276" t="s">
        <v>5601</v>
      </c>
      <c r="AA276" t="s">
        <v>5602</v>
      </c>
      <c r="AB276" t="s">
        <v>5603</v>
      </c>
      <c r="AC276" t="s">
        <v>5604</v>
      </c>
      <c r="AD276" t="s">
        <v>5605</v>
      </c>
      <c r="AE276" t="s">
        <v>5606</v>
      </c>
      <c r="AF276" t="s">
        <v>74</v>
      </c>
      <c r="AG276">
        <v>76</v>
      </c>
      <c r="AH276">
        <v>3</v>
      </c>
      <c r="AI276">
        <v>3</v>
      </c>
      <c r="AJ276">
        <v>2</v>
      </c>
      <c r="AK276">
        <v>10</v>
      </c>
      <c r="AL276" t="s">
        <v>5607</v>
      </c>
      <c r="AM276" t="s">
        <v>5608</v>
      </c>
      <c r="AN276" t="s">
        <v>5609</v>
      </c>
      <c r="AO276" t="s">
        <v>5610</v>
      </c>
      <c r="AP276" t="s">
        <v>5611</v>
      </c>
      <c r="AQ276" t="s">
        <v>74</v>
      </c>
      <c r="AR276" t="s">
        <v>5612</v>
      </c>
      <c r="AS276" t="s">
        <v>5613</v>
      </c>
      <c r="AT276" t="s">
        <v>74</v>
      </c>
      <c r="AU276">
        <v>2018</v>
      </c>
      <c r="AV276">
        <v>39</v>
      </c>
      <c r="AW276">
        <v>1</v>
      </c>
      <c r="AX276" t="s">
        <v>74</v>
      </c>
      <c r="AY276" t="s">
        <v>74</v>
      </c>
      <c r="AZ276" t="s">
        <v>74</v>
      </c>
      <c r="BA276" t="s">
        <v>74</v>
      </c>
      <c r="BB276">
        <v>19</v>
      </c>
      <c r="BC276">
        <v>50</v>
      </c>
      <c r="BD276" t="s">
        <v>74</v>
      </c>
      <c r="BE276" t="s">
        <v>5614</v>
      </c>
      <c r="BF276" t="str">
        <f>HYPERLINK("http://dx.doi.org/10.24425/118737","http://dx.doi.org/10.24425/118737")</f>
        <v>http://dx.doi.org/10.24425/118737</v>
      </c>
      <c r="BG276" t="s">
        <v>74</v>
      </c>
      <c r="BH276" t="s">
        <v>74</v>
      </c>
      <c r="BI276">
        <v>32</v>
      </c>
      <c r="BJ276" t="s">
        <v>157</v>
      </c>
      <c r="BK276" t="s">
        <v>101</v>
      </c>
      <c r="BL276" t="s">
        <v>158</v>
      </c>
      <c r="BM276" t="s">
        <v>5615</v>
      </c>
      <c r="BN276" t="s">
        <v>74</v>
      </c>
      <c r="BO276" t="s">
        <v>74</v>
      </c>
      <c r="BP276" t="s">
        <v>74</v>
      </c>
      <c r="BQ276" t="s">
        <v>74</v>
      </c>
      <c r="BR276" t="s">
        <v>105</v>
      </c>
      <c r="BS276" t="s">
        <v>5616</v>
      </c>
      <c r="BT276" t="str">
        <f>HYPERLINK("https%3A%2F%2Fwww.webofscience.com%2Fwos%2Fwoscc%2Ffull-record%2FWOS:000434793700002","View Full Record in Web of Science")</f>
        <v>View Full Record in Web of Science</v>
      </c>
    </row>
    <row r="277" spans="1:72" x14ac:dyDescent="0.15">
      <c r="A277" t="s">
        <v>72</v>
      </c>
      <c r="B277" t="s">
        <v>5617</v>
      </c>
      <c r="C277" t="s">
        <v>74</v>
      </c>
      <c r="D277" t="s">
        <v>74</v>
      </c>
      <c r="E277" t="s">
        <v>74</v>
      </c>
      <c r="F277" t="s">
        <v>5618</v>
      </c>
      <c r="G277" t="s">
        <v>74</v>
      </c>
      <c r="H277" t="s">
        <v>74</v>
      </c>
      <c r="I277" t="s">
        <v>5619</v>
      </c>
      <c r="J277" t="s">
        <v>5594</v>
      </c>
      <c r="K277" t="s">
        <v>74</v>
      </c>
      <c r="L277" t="s">
        <v>74</v>
      </c>
      <c r="M277" t="s">
        <v>78</v>
      </c>
      <c r="N277" t="s">
        <v>79</v>
      </c>
      <c r="O277" t="s">
        <v>74</v>
      </c>
      <c r="P277" t="s">
        <v>74</v>
      </c>
      <c r="Q277" t="s">
        <v>74</v>
      </c>
      <c r="R277" t="s">
        <v>74</v>
      </c>
      <c r="S277" t="s">
        <v>74</v>
      </c>
      <c r="T277" t="s">
        <v>5620</v>
      </c>
      <c r="U277" t="s">
        <v>5621</v>
      </c>
      <c r="V277" t="s">
        <v>5622</v>
      </c>
      <c r="W277" t="s">
        <v>5623</v>
      </c>
      <c r="X277" t="s">
        <v>5624</v>
      </c>
      <c r="Y277" t="s">
        <v>5625</v>
      </c>
      <c r="Z277" t="s">
        <v>5626</v>
      </c>
      <c r="AA277" t="s">
        <v>74</v>
      </c>
      <c r="AB277" t="s">
        <v>5627</v>
      </c>
      <c r="AC277" t="s">
        <v>5628</v>
      </c>
      <c r="AD277" t="s">
        <v>5628</v>
      </c>
      <c r="AE277" t="s">
        <v>5629</v>
      </c>
      <c r="AF277" t="s">
        <v>74</v>
      </c>
      <c r="AG277">
        <v>45</v>
      </c>
      <c r="AH277">
        <v>3</v>
      </c>
      <c r="AI277">
        <v>3</v>
      </c>
      <c r="AJ277">
        <v>3</v>
      </c>
      <c r="AK277">
        <v>8</v>
      </c>
      <c r="AL277" t="s">
        <v>5607</v>
      </c>
      <c r="AM277" t="s">
        <v>5608</v>
      </c>
      <c r="AN277" t="s">
        <v>5609</v>
      </c>
      <c r="AO277" t="s">
        <v>5610</v>
      </c>
      <c r="AP277" t="s">
        <v>5611</v>
      </c>
      <c r="AQ277" t="s">
        <v>74</v>
      </c>
      <c r="AR277" t="s">
        <v>5612</v>
      </c>
      <c r="AS277" t="s">
        <v>5613</v>
      </c>
      <c r="AT277" t="s">
        <v>74</v>
      </c>
      <c r="AU277">
        <v>2018</v>
      </c>
      <c r="AV277">
        <v>39</v>
      </c>
      <c r="AW277">
        <v>3</v>
      </c>
      <c r="AX277" t="s">
        <v>74</v>
      </c>
      <c r="AY277" t="s">
        <v>74</v>
      </c>
      <c r="AZ277" t="s">
        <v>74</v>
      </c>
      <c r="BA277" t="s">
        <v>74</v>
      </c>
      <c r="BB277">
        <v>393</v>
      </c>
      <c r="BC277">
        <v>412</v>
      </c>
      <c r="BD277" t="s">
        <v>74</v>
      </c>
      <c r="BE277" t="s">
        <v>5630</v>
      </c>
      <c r="BF277" t="str">
        <f>HYPERLINK("http://dx.doi.org/10.24425/118753","http://dx.doi.org/10.24425/118753")</f>
        <v>http://dx.doi.org/10.24425/118753</v>
      </c>
      <c r="BG277" t="s">
        <v>74</v>
      </c>
      <c r="BH277" t="s">
        <v>74</v>
      </c>
      <c r="BI277">
        <v>20</v>
      </c>
      <c r="BJ277" t="s">
        <v>157</v>
      </c>
      <c r="BK277" t="s">
        <v>101</v>
      </c>
      <c r="BL277" t="s">
        <v>158</v>
      </c>
      <c r="BM277" t="s">
        <v>5631</v>
      </c>
      <c r="BN277" t="s">
        <v>74</v>
      </c>
      <c r="BO277" t="s">
        <v>74</v>
      </c>
      <c r="BP277" t="s">
        <v>74</v>
      </c>
      <c r="BQ277" t="s">
        <v>74</v>
      </c>
      <c r="BR277" t="s">
        <v>105</v>
      </c>
      <c r="BS277" t="s">
        <v>5632</v>
      </c>
      <c r="BT277" t="str">
        <f>HYPERLINK("https%3A%2F%2Fwww.webofscience.com%2Fwos%2Fwoscc%2Ffull-record%2FWOS:000453246900003","View Full Record in Web of Science")</f>
        <v>View Full Record in Web of Science</v>
      </c>
    </row>
    <row r="278" spans="1:72" x14ac:dyDescent="0.15">
      <c r="A278" t="s">
        <v>72</v>
      </c>
      <c r="B278" t="s">
        <v>5633</v>
      </c>
      <c r="C278" t="s">
        <v>74</v>
      </c>
      <c r="D278" t="s">
        <v>74</v>
      </c>
      <c r="E278" t="s">
        <v>74</v>
      </c>
      <c r="F278" t="s">
        <v>5634</v>
      </c>
      <c r="G278" t="s">
        <v>74</v>
      </c>
      <c r="H278" t="s">
        <v>74</v>
      </c>
      <c r="I278" t="s">
        <v>5635</v>
      </c>
      <c r="J278" t="s">
        <v>5594</v>
      </c>
      <c r="K278" t="s">
        <v>74</v>
      </c>
      <c r="L278" t="s">
        <v>74</v>
      </c>
      <c r="M278" t="s">
        <v>78</v>
      </c>
      <c r="N278" t="s">
        <v>79</v>
      </c>
      <c r="O278" t="s">
        <v>74</v>
      </c>
      <c r="P278" t="s">
        <v>74</v>
      </c>
      <c r="Q278" t="s">
        <v>74</v>
      </c>
      <c r="R278" t="s">
        <v>74</v>
      </c>
      <c r="S278" t="s">
        <v>74</v>
      </c>
      <c r="T278" t="s">
        <v>5636</v>
      </c>
      <c r="U278" t="s">
        <v>5637</v>
      </c>
      <c r="V278" t="s">
        <v>5638</v>
      </c>
      <c r="W278" t="s">
        <v>5639</v>
      </c>
      <c r="X278" t="s">
        <v>5640</v>
      </c>
      <c r="Y278" t="s">
        <v>5641</v>
      </c>
      <c r="Z278" t="s">
        <v>5642</v>
      </c>
      <c r="AA278" t="s">
        <v>5643</v>
      </c>
      <c r="AB278" t="s">
        <v>5644</v>
      </c>
      <c r="AC278" t="s">
        <v>5645</v>
      </c>
      <c r="AD278" t="s">
        <v>5646</v>
      </c>
      <c r="AE278" t="s">
        <v>5647</v>
      </c>
      <c r="AF278" t="s">
        <v>74</v>
      </c>
      <c r="AG278">
        <v>26</v>
      </c>
      <c r="AH278">
        <v>3</v>
      </c>
      <c r="AI278">
        <v>3</v>
      </c>
      <c r="AJ278">
        <v>0</v>
      </c>
      <c r="AK278">
        <v>4</v>
      </c>
      <c r="AL278" t="s">
        <v>5607</v>
      </c>
      <c r="AM278" t="s">
        <v>5608</v>
      </c>
      <c r="AN278" t="s">
        <v>5609</v>
      </c>
      <c r="AO278" t="s">
        <v>5610</v>
      </c>
      <c r="AP278" t="s">
        <v>5611</v>
      </c>
      <c r="AQ278" t="s">
        <v>74</v>
      </c>
      <c r="AR278" t="s">
        <v>5612</v>
      </c>
      <c r="AS278" t="s">
        <v>5613</v>
      </c>
      <c r="AT278" t="s">
        <v>74</v>
      </c>
      <c r="AU278">
        <v>2018</v>
      </c>
      <c r="AV278">
        <v>39</v>
      </c>
      <c r="AW278">
        <v>4</v>
      </c>
      <c r="AX278" t="s">
        <v>74</v>
      </c>
      <c r="AY278" t="s">
        <v>74</v>
      </c>
      <c r="AZ278" t="s">
        <v>74</v>
      </c>
      <c r="BA278" t="s">
        <v>74</v>
      </c>
      <c r="BB278">
        <v>457</v>
      </c>
      <c r="BC278">
        <v>480</v>
      </c>
      <c r="BD278" t="s">
        <v>74</v>
      </c>
      <c r="BE278" t="s">
        <v>5648</v>
      </c>
      <c r="BF278" t="str">
        <f>HYPERLINK("http://dx.doi.org/10.24425/118756","http://dx.doi.org/10.24425/118756")</f>
        <v>http://dx.doi.org/10.24425/118756</v>
      </c>
      <c r="BG278" t="s">
        <v>74</v>
      </c>
      <c r="BH278" t="s">
        <v>74</v>
      </c>
      <c r="BI278">
        <v>24</v>
      </c>
      <c r="BJ278" t="s">
        <v>157</v>
      </c>
      <c r="BK278" t="s">
        <v>101</v>
      </c>
      <c r="BL278" t="s">
        <v>158</v>
      </c>
      <c r="BM278" t="s">
        <v>5649</v>
      </c>
      <c r="BN278" t="s">
        <v>74</v>
      </c>
      <c r="BO278" t="s">
        <v>74</v>
      </c>
      <c r="BP278" t="s">
        <v>74</v>
      </c>
      <c r="BQ278" t="s">
        <v>74</v>
      </c>
      <c r="BR278" t="s">
        <v>105</v>
      </c>
      <c r="BS278" t="s">
        <v>5650</v>
      </c>
      <c r="BT278" t="str">
        <f>HYPERLINK("https%3A%2F%2Fwww.webofscience.com%2Fwos%2Fwoscc%2Ffull-record%2FWOS:000453247800001","View Full Record in Web of Science")</f>
        <v>View Full Record in Web of Science</v>
      </c>
    </row>
    <row r="279" spans="1:72" x14ac:dyDescent="0.15">
      <c r="A279" t="s">
        <v>72</v>
      </c>
      <c r="B279" t="s">
        <v>5651</v>
      </c>
      <c r="C279" t="s">
        <v>74</v>
      </c>
      <c r="D279" t="s">
        <v>74</v>
      </c>
      <c r="E279" t="s">
        <v>74</v>
      </c>
      <c r="F279" t="s">
        <v>5652</v>
      </c>
      <c r="G279" t="s">
        <v>74</v>
      </c>
      <c r="H279" t="s">
        <v>74</v>
      </c>
      <c r="I279" t="s">
        <v>5653</v>
      </c>
      <c r="J279" t="s">
        <v>5594</v>
      </c>
      <c r="K279" t="s">
        <v>74</v>
      </c>
      <c r="L279" t="s">
        <v>74</v>
      </c>
      <c r="M279" t="s">
        <v>78</v>
      </c>
      <c r="N279" t="s">
        <v>79</v>
      </c>
      <c r="O279" t="s">
        <v>74</v>
      </c>
      <c r="P279" t="s">
        <v>74</v>
      </c>
      <c r="Q279" t="s">
        <v>74</v>
      </c>
      <c r="R279" t="s">
        <v>74</v>
      </c>
      <c r="S279" t="s">
        <v>74</v>
      </c>
      <c r="T279" t="s">
        <v>5654</v>
      </c>
      <c r="U279" t="s">
        <v>5655</v>
      </c>
      <c r="V279" t="s">
        <v>5656</v>
      </c>
      <c r="W279" t="s">
        <v>5657</v>
      </c>
      <c r="X279" t="s">
        <v>5658</v>
      </c>
      <c r="Y279" t="s">
        <v>5659</v>
      </c>
      <c r="Z279" t="s">
        <v>5660</v>
      </c>
      <c r="AA279" t="s">
        <v>5661</v>
      </c>
      <c r="AB279" t="s">
        <v>5662</v>
      </c>
      <c r="AC279" t="s">
        <v>5658</v>
      </c>
      <c r="AD279" t="s">
        <v>5658</v>
      </c>
      <c r="AE279" t="s">
        <v>5663</v>
      </c>
      <c r="AF279" t="s">
        <v>74</v>
      </c>
      <c r="AG279">
        <v>78</v>
      </c>
      <c r="AH279">
        <v>0</v>
      </c>
      <c r="AI279">
        <v>0</v>
      </c>
      <c r="AJ279">
        <v>1</v>
      </c>
      <c r="AK279">
        <v>5</v>
      </c>
      <c r="AL279" t="s">
        <v>5607</v>
      </c>
      <c r="AM279" t="s">
        <v>5608</v>
      </c>
      <c r="AN279" t="s">
        <v>5609</v>
      </c>
      <c r="AO279" t="s">
        <v>5610</v>
      </c>
      <c r="AP279" t="s">
        <v>5611</v>
      </c>
      <c r="AQ279" t="s">
        <v>74</v>
      </c>
      <c r="AR279" t="s">
        <v>5612</v>
      </c>
      <c r="AS279" t="s">
        <v>5613</v>
      </c>
      <c r="AT279" t="s">
        <v>74</v>
      </c>
      <c r="AU279">
        <v>2018</v>
      </c>
      <c r="AV279">
        <v>39</v>
      </c>
      <c r="AW279">
        <v>4</v>
      </c>
      <c r="AX279" t="s">
        <v>74</v>
      </c>
      <c r="AY279" t="s">
        <v>74</v>
      </c>
      <c r="AZ279" t="s">
        <v>74</v>
      </c>
      <c r="BA279" t="s">
        <v>74</v>
      </c>
      <c r="BB279">
        <v>505</v>
      </c>
      <c r="BC279">
        <v>524</v>
      </c>
      <c r="BD279" t="s">
        <v>74</v>
      </c>
      <c r="BE279" t="s">
        <v>5664</v>
      </c>
      <c r="BF279" t="str">
        <f>HYPERLINK("http://dx.doi.org/10.24425/118758","http://dx.doi.org/10.24425/118758")</f>
        <v>http://dx.doi.org/10.24425/118758</v>
      </c>
      <c r="BG279" t="s">
        <v>74</v>
      </c>
      <c r="BH279" t="s">
        <v>74</v>
      </c>
      <c r="BI279">
        <v>20</v>
      </c>
      <c r="BJ279" t="s">
        <v>157</v>
      </c>
      <c r="BK279" t="s">
        <v>101</v>
      </c>
      <c r="BL279" t="s">
        <v>158</v>
      </c>
      <c r="BM279" t="s">
        <v>5649</v>
      </c>
      <c r="BN279" t="s">
        <v>74</v>
      </c>
      <c r="BO279" t="s">
        <v>74</v>
      </c>
      <c r="BP279" t="s">
        <v>74</v>
      </c>
      <c r="BQ279" t="s">
        <v>74</v>
      </c>
      <c r="BR279" t="s">
        <v>105</v>
      </c>
      <c r="BS279" t="s">
        <v>5665</v>
      </c>
      <c r="BT279" t="str">
        <f>HYPERLINK("https%3A%2F%2Fwww.webofscience.com%2Fwos%2Fwoscc%2Ffull-record%2FWOS:000453247800003","View Full Record in Web of Science")</f>
        <v>View Full Record in Web of Science</v>
      </c>
    </row>
    <row r="280" spans="1:72" x14ac:dyDescent="0.15">
      <c r="A280" t="s">
        <v>72</v>
      </c>
      <c r="B280" t="s">
        <v>5666</v>
      </c>
      <c r="C280" t="s">
        <v>74</v>
      </c>
      <c r="D280" t="s">
        <v>74</v>
      </c>
      <c r="E280" t="s">
        <v>74</v>
      </c>
      <c r="F280" t="s">
        <v>5667</v>
      </c>
      <c r="G280" t="s">
        <v>74</v>
      </c>
      <c r="H280" t="s">
        <v>74</v>
      </c>
      <c r="I280" t="s">
        <v>5668</v>
      </c>
      <c r="J280" t="s">
        <v>5594</v>
      </c>
      <c r="K280" t="s">
        <v>74</v>
      </c>
      <c r="L280" t="s">
        <v>74</v>
      </c>
      <c r="M280" t="s">
        <v>78</v>
      </c>
      <c r="N280" t="s">
        <v>79</v>
      </c>
      <c r="O280" t="s">
        <v>74</v>
      </c>
      <c r="P280" t="s">
        <v>74</v>
      </c>
      <c r="Q280" t="s">
        <v>74</v>
      </c>
      <c r="R280" t="s">
        <v>74</v>
      </c>
      <c r="S280" t="s">
        <v>74</v>
      </c>
      <c r="T280" t="s">
        <v>5669</v>
      </c>
      <c r="U280" t="s">
        <v>5670</v>
      </c>
      <c r="V280" t="s">
        <v>5671</v>
      </c>
      <c r="W280" t="s">
        <v>5672</v>
      </c>
      <c r="X280" t="s">
        <v>5673</v>
      </c>
      <c r="Y280" t="s">
        <v>5674</v>
      </c>
      <c r="Z280" t="s">
        <v>5675</v>
      </c>
      <c r="AA280" t="s">
        <v>5676</v>
      </c>
      <c r="AB280" t="s">
        <v>5677</v>
      </c>
      <c r="AC280" t="s">
        <v>5678</v>
      </c>
      <c r="AD280" t="s">
        <v>5678</v>
      </c>
      <c r="AE280" t="s">
        <v>5679</v>
      </c>
      <c r="AF280" t="s">
        <v>74</v>
      </c>
      <c r="AG280">
        <v>65</v>
      </c>
      <c r="AH280">
        <v>9</v>
      </c>
      <c r="AI280">
        <v>10</v>
      </c>
      <c r="AJ280">
        <v>0</v>
      </c>
      <c r="AK280">
        <v>4</v>
      </c>
      <c r="AL280" t="s">
        <v>5607</v>
      </c>
      <c r="AM280" t="s">
        <v>5608</v>
      </c>
      <c r="AN280" t="s">
        <v>5609</v>
      </c>
      <c r="AO280" t="s">
        <v>5610</v>
      </c>
      <c r="AP280" t="s">
        <v>5611</v>
      </c>
      <c r="AQ280" t="s">
        <v>74</v>
      </c>
      <c r="AR280" t="s">
        <v>5612</v>
      </c>
      <c r="AS280" t="s">
        <v>5613</v>
      </c>
      <c r="AT280" t="s">
        <v>74</v>
      </c>
      <c r="AU280">
        <v>2018</v>
      </c>
      <c r="AV280">
        <v>39</v>
      </c>
      <c r="AW280">
        <v>4</v>
      </c>
      <c r="AX280" t="s">
        <v>74</v>
      </c>
      <c r="AY280" t="s">
        <v>74</v>
      </c>
      <c r="AZ280" t="s">
        <v>74</v>
      </c>
      <c r="BA280" t="s">
        <v>74</v>
      </c>
      <c r="BB280">
        <v>525</v>
      </c>
      <c r="BC280">
        <v>548</v>
      </c>
      <c r="BD280" t="s">
        <v>74</v>
      </c>
      <c r="BE280" t="s">
        <v>5680</v>
      </c>
      <c r="BF280" t="str">
        <f>HYPERLINK("http://dx.doi.org/10.24425/118759","http://dx.doi.org/10.24425/118759")</f>
        <v>http://dx.doi.org/10.24425/118759</v>
      </c>
      <c r="BG280" t="s">
        <v>74</v>
      </c>
      <c r="BH280" t="s">
        <v>74</v>
      </c>
      <c r="BI280">
        <v>24</v>
      </c>
      <c r="BJ280" t="s">
        <v>157</v>
      </c>
      <c r="BK280" t="s">
        <v>101</v>
      </c>
      <c r="BL280" t="s">
        <v>158</v>
      </c>
      <c r="BM280" t="s">
        <v>5649</v>
      </c>
      <c r="BN280" t="s">
        <v>74</v>
      </c>
      <c r="BO280" t="s">
        <v>74</v>
      </c>
      <c r="BP280" t="s">
        <v>74</v>
      </c>
      <c r="BQ280" t="s">
        <v>74</v>
      </c>
      <c r="BR280" t="s">
        <v>105</v>
      </c>
      <c r="BS280" t="s">
        <v>5681</v>
      </c>
      <c r="BT280" t="str">
        <f>HYPERLINK("https%3A%2F%2Fwww.webofscience.com%2Fwos%2Fwoscc%2Ffull-record%2FWOS:000453247800004","View Full Record in Web of Science")</f>
        <v>View Full Record in Web of Science</v>
      </c>
    </row>
    <row r="281" spans="1:72" x14ac:dyDescent="0.15">
      <c r="A281" t="s">
        <v>72</v>
      </c>
      <c r="B281" t="s">
        <v>5682</v>
      </c>
      <c r="C281" t="s">
        <v>74</v>
      </c>
      <c r="D281" t="s">
        <v>74</v>
      </c>
      <c r="E281" t="s">
        <v>74</v>
      </c>
      <c r="F281" t="s">
        <v>5683</v>
      </c>
      <c r="G281" t="s">
        <v>74</v>
      </c>
      <c r="H281" t="s">
        <v>74</v>
      </c>
      <c r="I281" t="s">
        <v>5684</v>
      </c>
      <c r="J281" t="s">
        <v>5685</v>
      </c>
      <c r="K281" t="s">
        <v>74</v>
      </c>
      <c r="L281" t="s">
        <v>74</v>
      </c>
      <c r="M281" t="s">
        <v>78</v>
      </c>
      <c r="N281" t="s">
        <v>79</v>
      </c>
      <c r="O281" t="s">
        <v>74</v>
      </c>
      <c r="P281" t="s">
        <v>74</v>
      </c>
      <c r="Q281" t="s">
        <v>74</v>
      </c>
      <c r="R281" t="s">
        <v>74</v>
      </c>
      <c r="S281" t="s">
        <v>74</v>
      </c>
      <c r="T281" t="s">
        <v>5686</v>
      </c>
      <c r="U281" t="s">
        <v>5687</v>
      </c>
      <c r="V281" t="s">
        <v>5688</v>
      </c>
      <c r="W281" t="s">
        <v>5689</v>
      </c>
      <c r="X281" t="s">
        <v>5690</v>
      </c>
      <c r="Y281" t="s">
        <v>5691</v>
      </c>
      <c r="Z281" t="s">
        <v>5692</v>
      </c>
      <c r="AA281" t="s">
        <v>5693</v>
      </c>
      <c r="AB281" t="s">
        <v>74</v>
      </c>
      <c r="AC281" t="s">
        <v>5694</v>
      </c>
      <c r="AD281" t="s">
        <v>5695</v>
      </c>
      <c r="AE281" t="s">
        <v>5696</v>
      </c>
      <c r="AF281" t="s">
        <v>74</v>
      </c>
      <c r="AG281">
        <v>49</v>
      </c>
      <c r="AH281">
        <v>10</v>
      </c>
      <c r="AI281">
        <v>11</v>
      </c>
      <c r="AJ281">
        <v>1</v>
      </c>
      <c r="AK281">
        <v>9</v>
      </c>
      <c r="AL281" t="s">
        <v>3149</v>
      </c>
      <c r="AM281" t="s">
        <v>1797</v>
      </c>
      <c r="AN281" t="s">
        <v>3150</v>
      </c>
      <c r="AO281" t="s">
        <v>5697</v>
      </c>
      <c r="AP281" t="s">
        <v>5698</v>
      </c>
      <c r="AQ281" t="s">
        <v>74</v>
      </c>
      <c r="AR281" t="s">
        <v>5699</v>
      </c>
      <c r="AS281" t="s">
        <v>5700</v>
      </c>
      <c r="AT281" t="s">
        <v>2468</v>
      </c>
      <c r="AU281">
        <v>2018</v>
      </c>
      <c r="AV281">
        <v>89</v>
      </c>
      <c r="AW281">
        <v>1</v>
      </c>
      <c r="AX281" t="s">
        <v>74</v>
      </c>
      <c r="AY281" t="s">
        <v>74</v>
      </c>
      <c r="AZ281" t="s">
        <v>1146</v>
      </c>
      <c r="BA281" t="s">
        <v>74</v>
      </c>
      <c r="BB281">
        <v>90</v>
      </c>
      <c r="BC281">
        <v>102</v>
      </c>
      <c r="BD281" t="s">
        <v>74</v>
      </c>
      <c r="BE281" t="s">
        <v>5701</v>
      </c>
      <c r="BF281" t="str">
        <f>HYPERLINK("http://dx.doi.org/10.1017/qua.2017.87","http://dx.doi.org/10.1017/qua.2017.87")</f>
        <v>http://dx.doi.org/10.1017/qua.2017.87</v>
      </c>
      <c r="BG281" t="s">
        <v>74</v>
      </c>
      <c r="BH281" t="s">
        <v>74</v>
      </c>
      <c r="BI281">
        <v>13</v>
      </c>
      <c r="BJ281" t="s">
        <v>233</v>
      </c>
      <c r="BK281" t="s">
        <v>101</v>
      </c>
      <c r="BL281" t="s">
        <v>234</v>
      </c>
      <c r="BM281" t="s">
        <v>5702</v>
      </c>
      <c r="BN281" t="s">
        <v>74</v>
      </c>
      <c r="BO281" t="s">
        <v>74</v>
      </c>
      <c r="BP281" t="s">
        <v>74</v>
      </c>
      <c r="BQ281" t="s">
        <v>74</v>
      </c>
      <c r="BR281" t="s">
        <v>105</v>
      </c>
      <c r="BS281" t="s">
        <v>5703</v>
      </c>
      <c r="BT281" t="str">
        <f>HYPERLINK("https%3A%2F%2Fwww.webofscience.com%2Fwos%2Fwoscc%2Ffull-record%2FWOS:000425965700008","View Full Record in Web of Science")</f>
        <v>View Full Record in Web of Science</v>
      </c>
    </row>
    <row r="282" spans="1:72" x14ac:dyDescent="0.15">
      <c r="A282" t="s">
        <v>72</v>
      </c>
      <c r="B282" t="s">
        <v>5704</v>
      </c>
      <c r="C282" t="s">
        <v>74</v>
      </c>
      <c r="D282" t="s">
        <v>74</v>
      </c>
      <c r="E282" t="s">
        <v>74</v>
      </c>
      <c r="F282" t="s">
        <v>5705</v>
      </c>
      <c r="G282" t="s">
        <v>74</v>
      </c>
      <c r="H282" t="s">
        <v>74</v>
      </c>
      <c r="I282" t="s">
        <v>5706</v>
      </c>
      <c r="J282" t="s">
        <v>5707</v>
      </c>
      <c r="K282" t="s">
        <v>74</v>
      </c>
      <c r="L282" t="s">
        <v>74</v>
      </c>
      <c r="M282" t="s">
        <v>78</v>
      </c>
      <c r="N282" t="s">
        <v>79</v>
      </c>
      <c r="O282" t="s">
        <v>74</v>
      </c>
      <c r="P282" t="s">
        <v>74</v>
      </c>
      <c r="Q282" t="s">
        <v>74</v>
      </c>
      <c r="R282" t="s">
        <v>74</v>
      </c>
      <c r="S282" t="s">
        <v>74</v>
      </c>
      <c r="T282" t="s">
        <v>5708</v>
      </c>
      <c r="U282" t="s">
        <v>5709</v>
      </c>
      <c r="V282" t="s">
        <v>5710</v>
      </c>
      <c r="W282" t="s">
        <v>5711</v>
      </c>
      <c r="X282" t="s">
        <v>5712</v>
      </c>
      <c r="Y282" t="s">
        <v>5713</v>
      </c>
      <c r="Z282" t="s">
        <v>5714</v>
      </c>
      <c r="AA282" t="s">
        <v>5715</v>
      </c>
      <c r="AB282" t="s">
        <v>5716</v>
      </c>
      <c r="AC282" t="s">
        <v>5717</v>
      </c>
      <c r="AD282" t="s">
        <v>5718</v>
      </c>
      <c r="AE282" t="s">
        <v>5719</v>
      </c>
      <c r="AF282" t="s">
        <v>74</v>
      </c>
      <c r="AG282">
        <v>84</v>
      </c>
      <c r="AH282">
        <v>19</v>
      </c>
      <c r="AI282">
        <v>22</v>
      </c>
      <c r="AJ282">
        <v>1</v>
      </c>
      <c r="AK282">
        <v>27</v>
      </c>
      <c r="AL282" t="s">
        <v>5720</v>
      </c>
      <c r="AM282" t="s">
        <v>2463</v>
      </c>
      <c r="AN282" t="s">
        <v>2464</v>
      </c>
      <c r="AO282" t="s">
        <v>5721</v>
      </c>
      <c r="AP282" t="s">
        <v>74</v>
      </c>
      <c r="AQ282" t="s">
        <v>74</v>
      </c>
      <c r="AR282" t="s">
        <v>5722</v>
      </c>
      <c r="AS282" t="s">
        <v>5723</v>
      </c>
      <c r="AT282" t="s">
        <v>2468</v>
      </c>
      <c r="AU282">
        <v>2018</v>
      </c>
      <c r="AV282">
        <v>10</v>
      </c>
      <c r="AW282">
        <v>1</v>
      </c>
      <c r="AX282" t="s">
        <v>74</v>
      </c>
      <c r="AY282" t="s">
        <v>74</v>
      </c>
      <c r="AZ282" t="s">
        <v>74</v>
      </c>
      <c r="BA282" t="s">
        <v>74</v>
      </c>
      <c r="BB282" t="s">
        <v>74</v>
      </c>
      <c r="BC282" t="s">
        <v>74</v>
      </c>
      <c r="BD282">
        <v>142</v>
      </c>
      <c r="BE282" t="s">
        <v>5724</v>
      </c>
      <c r="BF282" t="str">
        <f>HYPERLINK("http://dx.doi.org/10.3390/rs10010142","http://dx.doi.org/10.3390/rs10010142")</f>
        <v>http://dx.doi.org/10.3390/rs10010142</v>
      </c>
      <c r="BG282" t="s">
        <v>74</v>
      </c>
      <c r="BH282" t="s">
        <v>74</v>
      </c>
      <c r="BI282">
        <v>20</v>
      </c>
      <c r="BJ282" t="s">
        <v>5725</v>
      </c>
      <c r="BK282" t="s">
        <v>101</v>
      </c>
      <c r="BL282" t="s">
        <v>5726</v>
      </c>
      <c r="BM282" t="s">
        <v>5727</v>
      </c>
      <c r="BN282" t="s">
        <v>74</v>
      </c>
      <c r="BO282" t="s">
        <v>236</v>
      </c>
      <c r="BP282" t="s">
        <v>74</v>
      </c>
      <c r="BQ282" t="s">
        <v>74</v>
      </c>
      <c r="BR282" t="s">
        <v>105</v>
      </c>
      <c r="BS282" t="s">
        <v>5728</v>
      </c>
      <c r="BT282" t="str">
        <f>HYPERLINK("https%3A%2F%2Fwww.webofscience.com%2Fwos%2Fwoscc%2Ffull-record%2FWOS:000424092300140","View Full Record in Web of Science")</f>
        <v>View Full Record in Web of Science</v>
      </c>
    </row>
    <row r="283" spans="1:72" x14ac:dyDescent="0.15">
      <c r="A283" t="s">
        <v>72</v>
      </c>
      <c r="B283" t="s">
        <v>5729</v>
      </c>
      <c r="C283" t="s">
        <v>74</v>
      </c>
      <c r="D283" t="s">
        <v>74</v>
      </c>
      <c r="E283" t="s">
        <v>74</v>
      </c>
      <c r="F283" t="s">
        <v>5730</v>
      </c>
      <c r="G283" t="s">
        <v>74</v>
      </c>
      <c r="H283" t="s">
        <v>74</v>
      </c>
      <c r="I283" t="s">
        <v>5731</v>
      </c>
      <c r="J283" t="s">
        <v>1100</v>
      </c>
      <c r="K283" t="s">
        <v>74</v>
      </c>
      <c r="L283" t="s">
        <v>74</v>
      </c>
      <c r="M283" t="s">
        <v>78</v>
      </c>
      <c r="N283" t="s">
        <v>79</v>
      </c>
      <c r="O283" t="s">
        <v>74</v>
      </c>
      <c r="P283" t="s">
        <v>74</v>
      </c>
      <c r="Q283" t="s">
        <v>74</v>
      </c>
      <c r="R283" t="s">
        <v>74</v>
      </c>
      <c r="S283" t="s">
        <v>74</v>
      </c>
      <c r="T283" t="s">
        <v>5732</v>
      </c>
      <c r="U283" t="s">
        <v>5733</v>
      </c>
      <c r="V283" t="s">
        <v>5734</v>
      </c>
      <c r="W283" t="s">
        <v>5735</v>
      </c>
      <c r="X283" t="s">
        <v>5736</v>
      </c>
      <c r="Y283" t="s">
        <v>5737</v>
      </c>
      <c r="Z283" t="s">
        <v>5738</v>
      </c>
      <c r="AA283" t="s">
        <v>5739</v>
      </c>
      <c r="AB283" t="s">
        <v>5740</v>
      </c>
      <c r="AC283" t="s">
        <v>5741</v>
      </c>
      <c r="AD283" t="s">
        <v>5742</v>
      </c>
      <c r="AE283" t="s">
        <v>5743</v>
      </c>
      <c r="AF283" t="s">
        <v>74</v>
      </c>
      <c r="AG283">
        <v>87</v>
      </c>
      <c r="AH283">
        <v>10</v>
      </c>
      <c r="AI283">
        <v>11</v>
      </c>
      <c r="AJ283">
        <v>2</v>
      </c>
      <c r="AK283">
        <v>101</v>
      </c>
      <c r="AL283" t="s">
        <v>1186</v>
      </c>
      <c r="AM283" t="s">
        <v>808</v>
      </c>
      <c r="AN283" t="s">
        <v>1187</v>
      </c>
      <c r="AO283" t="s">
        <v>1113</v>
      </c>
      <c r="AP283" t="s">
        <v>1114</v>
      </c>
      <c r="AQ283" t="s">
        <v>74</v>
      </c>
      <c r="AR283" t="s">
        <v>1115</v>
      </c>
      <c r="AS283" t="s">
        <v>1116</v>
      </c>
      <c r="AT283" t="s">
        <v>4251</v>
      </c>
      <c r="AU283">
        <v>2018</v>
      </c>
      <c r="AV283">
        <v>610</v>
      </c>
      <c r="AW283" t="s">
        <v>74</v>
      </c>
      <c r="AX283" t="s">
        <v>74</v>
      </c>
      <c r="AY283" t="s">
        <v>74</v>
      </c>
      <c r="AZ283" t="s">
        <v>74</v>
      </c>
      <c r="BA283" t="s">
        <v>74</v>
      </c>
      <c r="BB283">
        <v>1487</v>
      </c>
      <c r="BC283">
        <v>1495</v>
      </c>
      <c r="BD283" t="s">
        <v>74</v>
      </c>
      <c r="BE283" t="s">
        <v>5744</v>
      </c>
      <c r="BF283" t="str">
        <f>HYPERLINK("http://dx.doi.org/10.1016/j.scitotenv.2017.08.108","http://dx.doi.org/10.1016/j.scitotenv.2017.08.108")</f>
        <v>http://dx.doi.org/10.1016/j.scitotenv.2017.08.108</v>
      </c>
      <c r="BG283" t="s">
        <v>74</v>
      </c>
      <c r="BH283" t="s">
        <v>74</v>
      </c>
      <c r="BI283">
        <v>9</v>
      </c>
      <c r="BJ283" t="s">
        <v>1119</v>
      </c>
      <c r="BK283" t="s">
        <v>101</v>
      </c>
      <c r="BL283" t="s">
        <v>1120</v>
      </c>
      <c r="BM283" t="s">
        <v>5745</v>
      </c>
      <c r="BN283">
        <v>28898957</v>
      </c>
      <c r="BO283" t="s">
        <v>74</v>
      </c>
      <c r="BP283" t="s">
        <v>74</v>
      </c>
      <c r="BQ283" t="s">
        <v>74</v>
      </c>
      <c r="BR283" t="s">
        <v>105</v>
      </c>
      <c r="BS283" t="s">
        <v>5746</v>
      </c>
      <c r="BT283" t="str">
        <f>HYPERLINK("https%3A%2F%2Fwww.webofscience.com%2Fwos%2Fwoscc%2Ffull-record%2FWOS:000411897700152","View Full Record in Web of Science")</f>
        <v>View Full Record in Web of Science</v>
      </c>
    </row>
    <row r="284" spans="1:72" x14ac:dyDescent="0.15">
      <c r="A284" t="s">
        <v>72</v>
      </c>
      <c r="B284" t="s">
        <v>5747</v>
      </c>
      <c r="C284" t="s">
        <v>74</v>
      </c>
      <c r="D284" t="s">
        <v>74</v>
      </c>
      <c r="E284" t="s">
        <v>74</v>
      </c>
      <c r="F284" t="s">
        <v>5748</v>
      </c>
      <c r="G284" t="s">
        <v>74</v>
      </c>
      <c r="H284" t="s">
        <v>74</v>
      </c>
      <c r="I284" t="s">
        <v>5749</v>
      </c>
      <c r="J284" t="s">
        <v>5750</v>
      </c>
      <c r="K284" t="s">
        <v>74</v>
      </c>
      <c r="L284" t="s">
        <v>74</v>
      </c>
      <c r="M284" t="s">
        <v>78</v>
      </c>
      <c r="N284" t="s">
        <v>79</v>
      </c>
      <c r="O284" t="s">
        <v>74</v>
      </c>
      <c r="P284" t="s">
        <v>74</v>
      </c>
      <c r="Q284" t="s">
        <v>74</v>
      </c>
      <c r="R284" t="s">
        <v>74</v>
      </c>
      <c r="S284" t="s">
        <v>74</v>
      </c>
      <c r="T284" t="s">
        <v>5751</v>
      </c>
      <c r="U284" t="s">
        <v>5752</v>
      </c>
      <c r="V284" t="s">
        <v>5753</v>
      </c>
      <c r="W284" t="s">
        <v>5754</v>
      </c>
      <c r="X284" t="s">
        <v>5755</v>
      </c>
      <c r="Y284" t="s">
        <v>5756</v>
      </c>
      <c r="Z284" t="s">
        <v>5757</v>
      </c>
      <c r="AA284" t="s">
        <v>5758</v>
      </c>
      <c r="AB284" t="s">
        <v>5759</v>
      </c>
      <c r="AC284" t="s">
        <v>5760</v>
      </c>
      <c r="AD284" t="s">
        <v>2304</v>
      </c>
      <c r="AE284" t="s">
        <v>74</v>
      </c>
      <c r="AF284" t="s">
        <v>74</v>
      </c>
      <c r="AG284">
        <v>64</v>
      </c>
      <c r="AH284">
        <v>8</v>
      </c>
      <c r="AI284">
        <v>8</v>
      </c>
      <c r="AJ284">
        <v>0</v>
      </c>
      <c r="AK284">
        <v>3</v>
      </c>
      <c r="AL284" t="s">
        <v>2917</v>
      </c>
      <c r="AM284" t="s">
        <v>1701</v>
      </c>
      <c r="AN284" t="s">
        <v>2918</v>
      </c>
      <c r="AO284" t="s">
        <v>5761</v>
      </c>
      <c r="AP284" t="s">
        <v>5762</v>
      </c>
      <c r="AQ284" t="s">
        <v>74</v>
      </c>
      <c r="AR284" t="s">
        <v>5763</v>
      </c>
      <c r="AS284" t="s">
        <v>5764</v>
      </c>
      <c r="AT284" t="s">
        <v>74</v>
      </c>
      <c r="AU284">
        <v>2018</v>
      </c>
      <c r="AV284">
        <v>134</v>
      </c>
      <c r="AW284" t="s">
        <v>5765</v>
      </c>
      <c r="AX284" t="s">
        <v>74</v>
      </c>
      <c r="AY284" t="s">
        <v>74</v>
      </c>
      <c r="AZ284" t="s">
        <v>1146</v>
      </c>
      <c r="BA284" t="s">
        <v>74</v>
      </c>
      <c r="BB284">
        <v>203</v>
      </c>
      <c r="BC284">
        <v>223</v>
      </c>
      <c r="BD284" t="s">
        <v>74</v>
      </c>
      <c r="BE284" t="s">
        <v>5766</v>
      </c>
      <c r="BF284" t="str">
        <f>HYPERLINK("http://dx.doi.org/10.1080/14702541.2018.1535090","http://dx.doi.org/10.1080/14702541.2018.1535090")</f>
        <v>http://dx.doi.org/10.1080/14702541.2018.1535090</v>
      </c>
      <c r="BG284" t="s">
        <v>74</v>
      </c>
      <c r="BH284" t="s">
        <v>74</v>
      </c>
      <c r="BI284">
        <v>21</v>
      </c>
      <c r="BJ284" t="s">
        <v>3400</v>
      </c>
      <c r="BK284" t="s">
        <v>3136</v>
      </c>
      <c r="BL284" t="s">
        <v>3400</v>
      </c>
      <c r="BM284" t="s">
        <v>5767</v>
      </c>
      <c r="BN284" t="s">
        <v>74</v>
      </c>
      <c r="BO284" t="s">
        <v>283</v>
      </c>
      <c r="BP284" t="s">
        <v>74</v>
      </c>
      <c r="BQ284" t="s">
        <v>74</v>
      </c>
      <c r="BR284" t="s">
        <v>105</v>
      </c>
      <c r="BS284" t="s">
        <v>5768</v>
      </c>
      <c r="BT284" t="str">
        <f>HYPERLINK("https%3A%2F%2Fwww.webofscience.com%2Fwos%2Fwoscc%2Ffull-record%2FWOS:000451529400008","View Full Record in Web of Science")</f>
        <v>View Full Record in Web of Science</v>
      </c>
    </row>
    <row r="285" spans="1:72" x14ac:dyDescent="0.15">
      <c r="A285" t="s">
        <v>1776</v>
      </c>
      <c r="B285" t="s">
        <v>5769</v>
      </c>
      <c r="C285" t="s">
        <v>74</v>
      </c>
      <c r="D285" t="s">
        <v>5770</v>
      </c>
      <c r="E285" t="s">
        <v>74</v>
      </c>
      <c r="F285" t="s">
        <v>5771</v>
      </c>
      <c r="G285" t="s">
        <v>74</v>
      </c>
      <c r="H285" t="s">
        <v>74</v>
      </c>
      <c r="I285" t="s">
        <v>5772</v>
      </c>
      <c r="J285" t="s">
        <v>5773</v>
      </c>
      <c r="K285" t="s">
        <v>2808</v>
      </c>
      <c r="L285" t="s">
        <v>74</v>
      </c>
      <c r="M285" t="s">
        <v>78</v>
      </c>
      <c r="N285" t="s">
        <v>1782</v>
      </c>
      <c r="O285" t="s">
        <v>5774</v>
      </c>
      <c r="P285" t="s">
        <v>5775</v>
      </c>
      <c r="Q285" t="s">
        <v>5776</v>
      </c>
      <c r="R285" t="s">
        <v>74</v>
      </c>
      <c r="S285" t="s">
        <v>74</v>
      </c>
      <c r="T285" t="s">
        <v>5777</v>
      </c>
      <c r="U285" t="s">
        <v>74</v>
      </c>
      <c r="V285" t="s">
        <v>5778</v>
      </c>
      <c r="W285" t="s">
        <v>5779</v>
      </c>
      <c r="X285" t="s">
        <v>5780</v>
      </c>
      <c r="Y285" t="s">
        <v>5781</v>
      </c>
      <c r="Z285" t="s">
        <v>74</v>
      </c>
      <c r="AA285" t="s">
        <v>5782</v>
      </c>
      <c r="AB285" t="s">
        <v>5783</v>
      </c>
      <c r="AC285" t="s">
        <v>74</v>
      </c>
      <c r="AD285" t="s">
        <v>74</v>
      </c>
      <c r="AE285" t="s">
        <v>74</v>
      </c>
      <c r="AF285" t="s">
        <v>74</v>
      </c>
      <c r="AG285">
        <v>21</v>
      </c>
      <c r="AH285">
        <v>1</v>
      </c>
      <c r="AI285">
        <v>1</v>
      </c>
      <c r="AJ285">
        <v>0</v>
      </c>
      <c r="AK285">
        <v>6</v>
      </c>
      <c r="AL285" t="s">
        <v>2821</v>
      </c>
      <c r="AM285" t="s">
        <v>2822</v>
      </c>
      <c r="AN285" t="s">
        <v>2823</v>
      </c>
      <c r="AO285" t="s">
        <v>2824</v>
      </c>
      <c r="AP285" t="s">
        <v>2825</v>
      </c>
      <c r="AQ285" t="s">
        <v>5784</v>
      </c>
      <c r="AR285" t="s">
        <v>2827</v>
      </c>
      <c r="AS285" t="s">
        <v>74</v>
      </c>
      <c r="AT285" t="s">
        <v>74</v>
      </c>
      <c r="AU285">
        <v>2018</v>
      </c>
      <c r="AV285">
        <v>10785</v>
      </c>
      <c r="AW285" t="s">
        <v>74</v>
      </c>
      <c r="AX285" t="s">
        <v>74</v>
      </c>
      <c r="AY285" t="s">
        <v>74</v>
      </c>
      <c r="AZ285" t="s">
        <v>74</v>
      </c>
      <c r="BA285" t="s">
        <v>74</v>
      </c>
      <c r="BB285" t="s">
        <v>74</v>
      </c>
      <c r="BC285" t="s">
        <v>74</v>
      </c>
      <c r="BD285" t="s">
        <v>5785</v>
      </c>
      <c r="BE285" t="s">
        <v>5786</v>
      </c>
      <c r="BF285" t="str">
        <f>HYPERLINK("http://dx.doi.org/10.1117/12.2325378","http://dx.doi.org/10.1117/12.2325378")</f>
        <v>http://dx.doi.org/10.1117/12.2325378</v>
      </c>
      <c r="BG285" t="s">
        <v>74</v>
      </c>
      <c r="BH285" t="s">
        <v>74</v>
      </c>
      <c r="BI285">
        <v>16</v>
      </c>
      <c r="BJ285" t="s">
        <v>5787</v>
      </c>
      <c r="BK285" t="s">
        <v>1801</v>
      </c>
      <c r="BL285" t="s">
        <v>5788</v>
      </c>
      <c r="BM285" t="s">
        <v>5789</v>
      </c>
      <c r="BN285" t="s">
        <v>74</v>
      </c>
      <c r="BO285" t="s">
        <v>5571</v>
      </c>
      <c r="BP285" t="s">
        <v>74</v>
      </c>
      <c r="BQ285" t="s">
        <v>74</v>
      </c>
      <c r="BR285" t="s">
        <v>105</v>
      </c>
      <c r="BS285" t="s">
        <v>5790</v>
      </c>
      <c r="BT285" t="str">
        <f>HYPERLINK("https%3A%2F%2Fwww.webofscience.com%2Fwos%2Fwoscc%2Ffull-record%2FWOS:000452638500029","View Full Record in Web of Science")</f>
        <v>View Full Record in Web of Science</v>
      </c>
    </row>
    <row r="286" spans="1:72" x14ac:dyDescent="0.15">
      <c r="A286" t="s">
        <v>72</v>
      </c>
      <c r="B286" t="s">
        <v>5791</v>
      </c>
      <c r="C286" t="s">
        <v>74</v>
      </c>
      <c r="D286" t="s">
        <v>74</v>
      </c>
      <c r="E286" t="s">
        <v>74</v>
      </c>
      <c r="F286" t="s">
        <v>5792</v>
      </c>
      <c r="G286" t="s">
        <v>74</v>
      </c>
      <c r="H286" t="s">
        <v>74</v>
      </c>
      <c r="I286" t="s">
        <v>5793</v>
      </c>
      <c r="J286" t="s">
        <v>5794</v>
      </c>
      <c r="K286" t="s">
        <v>74</v>
      </c>
      <c r="L286" t="s">
        <v>74</v>
      </c>
      <c r="M286" t="s">
        <v>78</v>
      </c>
      <c r="N286" t="s">
        <v>79</v>
      </c>
      <c r="O286" t="s">
        <v>74</v>
      </c>
      <c r="P286" t="s">
        <v>74</v>
      </c>
      <c r="Q286" t="s">
        <v>74</v>
      </c>
      <c r="R286" t="s">
        <v>74</v>
      </c>
      <c r="S286" t="s">
        <v>74</v>
      </c>
      <c r="T286" t="s">
        <v>5795</v>
      </c>
      <c r="U286" t="s">
        <v>5796</v>
      </c>
      <c r="V286" t="s">
        <v>5797</v>
      </c>
      <c r="W286" t="s">
        <v>5798</v>
      </c>
      <c r="X286" t="s">
        <v>5799</v>
      </c>
      <c r="Y286" t="s">
        <v>5600</v>
      </c>
      <c r="Z286" t="s">
        <v>5601</v>
      </c>
      <c r="AA286" t="s">
        <v>5800</v>
      </c>
      <c r="AB286" t="s">
        <v>5801</v>
      </c>
      <c r="AC286" t="s">
        <v>5802</v>
      </c>
      <c r="AD286" t="s">
        <v>5803</v>
      </c>
      <c r="AE286" t="s">
        <v>5804</v>
      </c>
      <c r="AF286" t="s">
        <v>74</v>
      </c>
      <c r="AG286">
        <v>99</v>
      </c>
      <c r="AH286">
        <v>13</v>
      </c>
      <c r="AI286">
        <v>14</v>
      </c>
      <c r="AJ286">
        <v>7</v>
      </c>
      <c r="AK286">
        <v>57</v>
      </c>
      <c r="AL286" t="s">
        <v>1139</v>
      </c>
      <c r="AM286" t="s">
        <v>1140</v>
      </c>
      <c r="AN286" t="s">
        <v>1141</v>
      </c>
      <c r="AO286" t="s">
        <v>5805</v>
      </c>
      <c r="AP286" t="s">
        <v>5806</v>
      </c>
      <c r="AQ286" t="s">
        <v>74</v>
      </c>
      <c r="AR286" t="s">
        <v>5807</v>
      </c>
      <c r="AS286" t="s">
        <v>5808</v>
      </c>
      <c r="AT286" t="s">
        <v>2468</v>
      </c>
      <c r="AU286">
        <v>2018</v>
      </c>
      <c r="AV286">
        <v>116</v>
      </c>
      <c r="AW286" t="s">
        <v>74</v>
      </c>
      <c r="AX286" t="s">
        <v>74</v>
      </c>
      <c r="AY286" t="s">
        <v>74</v>
      </c>
      <c r="AZ286" t="s">
        <v>74</v>
      </c>
      <c r="BA286" t="s">
        <v>74</v>
      </c>
      <c r="BB286">
        <v>265</v>
      </c>
      <c r="BC286">
        <v>276</v>
      </c>
      <c r="BD286" t="s">
        <v>74</v>
      </c>
      <c r="BE286" t="s">
        <v>5809</v>
      </c>
      <c r="BF286" t="str">
        <f>HYPERLINK("http://dx.doi.org/10.1016/j.soilbio.2017.10.028","http://dx.doi.org/10.1016/j.soilbio.2017.10.028")</f>
        <v>http://dx.doi.org/10.1016/j.soilbio.2017.10.028</v>
      </c>
      <c r="BG286" t="s">
        <v>74</v>
      </c>
      <c r="BH286" t="s">
        <v>74</v>
      </c>
      <c r="BI286">
        <v>12</v>
      </c>
      <c r="BJ286" t="s">
        <v>5810</v>
      </c>
      <c r="BK286" t="s">
        <v>101</v>
      </c>
      <c r="BL286" t="s">
        <v>5811</v>
      </c>
      <c r="BM286" t="s">
        <v>5812</v>
      </c>
      <c r="BN286" t="s">
        <v>74</v>
      </c>
      <c r="BO286" t="s">
        <v>1150</v>
      </c>
      <c r="BP286" t="s">
        <v>74</v>
      </c>
      <c r="BQ286" t="s">
        <v>74</v>
      </c>
      <c r="BR286" t="s">
        <v>105</v>
      </c>
      <c r="BS286" t="s">
        <v>5813</v>
      </c>
      <c r="BT286" t="str">
        <f>HYPERLINK("https%3A%2F%2Fwww.webofscience.com%2Fwos%2Fwoscc%2Ffull-record%2FWOS:000419417900030","View Full Record in Web of Science")</f>
        <v>View Full Record in Web of Science</v>
      </c>
    </row>
    <row r="287" spans="1:72" x14ac:dyDescent="0.15">
      <c r="A287" t="s">
        <v>72</v>
      </c>
      <c r="B287" t="s">
        <v>5814</v>
      </c>
      <c r="C287" t="s">
        <v>74</v>
      </c>
      <c r="D287" t="s">
        <v>74</v>
      </c>
      <c r="E287" t="s">
        <v>74</v>
      </c>
      <c r="F287" t="s">
        <v>5815</v>
      </c>
      <c r="G287" t="s">
        <v>74</v>
      </c>
      <c r="H287" t="s">
        <v>74</v>
      </c>
      <c r="I287" t="s">
        <v>5816</v>
      </c>
      <c r="J287" t="s">
        <v>5817</v>
      </c>
      <c r="K287" t="s">
        <v>74</v>
      </c>
      <c r="L287" t="s">
        <v>74</v>
      </c>
      <c r="M287" t="s">
        <v>78</v>
      </c>
      <c r="N287" t="s">
        <v>79</v>
      </c>
      <c r="O287" t="s">
        <v>74</v>
      </c>
      <c r="P287" t="s">
        <v>74</v>
      </c>
      <c r="Q287" t="s">
        <v>74</v>
      </c>
      <c r="R287" t="s">
        <v>74</v>
      </c>
      <c r="S287" t="s">
        <v>74</v>
      </c>
      <c r="T287" t="s">
        <v>5818</v>
      </c>
      <c r="U287" t="s">
        <v>5819</v>
      </c>
      <c r="V287" t="s">
        <v>5820</v>
      </c>
      <c r="W287" t="s">
        <v>5821</v>
      </c>
      <c r="X287" t="s">
        <v>5822</v>
      </c>
      <c r="Y287" t="s">
        <v>5823</v>
      </c>
      <c r="Z287" t="s">
        <v>5824</v>
      </c>
      <c r="AA287" t="s">
        <v>5825</v>
      </c>
      <c r="AB287" t="s">
        <v>5826</v>
      </c>
      <c r="AC287" t="s">
        <v>5827</v>
      </c>
      <c r="AD287" t="s">
        <v>5828</v>
      </c>
      <c r="AE287" t="s">
        <v>5829</v>
      </c>
      <c r="AF287" t="s">
        <v>74</v>
      </c>
      <c r="AG287">
        <v>53</v>
      </c>
      <c r="AH287">
        <v>24</v>
      </c>
      <c r="AI287">
        <v>25</v>
      </c>
      <c r="AJ287">
        <v>4</v>
      </c>
      <c r="AK287">
        <v>48</v>
      </c>
      <c r="AL287" t="s">
        <v>2462</v>
      </c>
      <c r="AM287" t="s">
        <v>2463</v>
      </c>
      <c r="AN287" t="s">
        <v>2464</v>
      </c>
      <c r="AO287" t="s">
        <v>74</v>
      </c>
      <c r="AP287" t="s">
        <v>5830</v>
      </c>
      <c r="AQ287" t="s">
        <v>74</v>
      </c>
      <c r="AR287" t="s">
        <v>5831</v>
      </c>
      <c r="AS287" t="s">
        <v>5832</v>
      </c>
      <c r="AT287" t="s">
        <v>2468</v>
      </c>
      <c r="AU287">
        <v>2018</v>
      </c>
      <c r="AV287">
        <v>10</v>
      </c>
      <c r="AW287">
        <v>1</v>
      </c>
      <c r="AX287" t="s">
        <v>74</v>
      </c>
      <c r="AY287" t="s">
        <v>74</v>
      </c>
      <c r="AZ287" t="s">
        <v>74</v>
      </c>
      <c r="BA287" t="s">
        <v>74</v>
      </c>
      <c r="BB287" t="s">
        <v>74</v>
      </c>
      <c r="BC287" t="s">
        <v>74</v>
      </c>
      <c r="BD287">
        <v>89</v>
      </c>
      <c r="BE287" t="s">
        <v>5833</v>
      </c>
      <c r="BF287" t="str">
        <f>HYPERLINK("http://dx.doi.org/10.3390/su10010089","http://dx.doi.org/10.3390/su10010089")</f>
        <v>http://dx.doi.org/10.3390/su10010089</v>
      </c>
      <c r="BG287" t="s">
        <v>74</v>
      </c>
      <c r="BH287" t="s">
        <v>74</v>
      </c>
      <c r="BI287">
        <v>16</v>
      </c>
      <c r="BJ287" t="s">
        <v>5834</v>
      </c>
      <c r="BK287" t="s">
        <v>2471</v>
      </c>
      <c r="BL287" t="s">
        <v>5835</v>
      </c>
      <c r="BM287" t="s">
        <v>5836</v>
      </c>
      <c r="BN287" t="s">
        <v>74</v>
      </c>
      <c r="BO287" t="s">
        <v>160</v>
      </c>
      <c r="BP287" t="s">
        <v>74</v>
      </c>
      <c r="BQ287" t="s">
        <v>74</v>
      </c>
      <c r="BR287" t="s">
        <v>105</v>
      </c>
      <c r="BS287" t="s">
        <v>5837</v>
      </c>
      <c r="BT287" t="str">
        <f>HYPERLINK("https%3A%2F%2Fwww.webofscience.com%2Fwos%2Fwoscc%2Ffull-record%2FWOS:000425082600088","View Full Record in Web of Science")</f>
        <v>View Full Record in Web of Science</v>
      </c>
    </row>
    <row r="288" spans="1:72" x14ac:dyDescent="0.15">
      <c r="A288" t="s">
        <v>72</v>
      </c>
      <c r="B288" t="s">
        <v>5838</v>
      </c>
      <c r="C288" t="s">
        <v>74</v>
      </c>
      <c r="D288" t="s">
        <v>74</v>
      </c>
      <c r="E288" t="s">
        <v>74</v>
      </c>
      <c r="F288" t="s">
        <v>5839</v>
      </c>
      <c r="G288" t="s">
        <v>74</v>
      </c>
      <c r="H288" t="s">
        <v>74</v>
      </c>
      <c r="I288" t="s">
        <v>5840</v>
      </c>
      <c r="J288" t="s">
        <v>5841</v>
      </c>
      <c r="K288" t="s">
        <v>74</v>
      </c>
      <c r="L288" t="s">
        <v>74</v>
      </c>
      <c r="M288" t="s">
        <v>2986</v>
      </c>
      <c r="N288" t="s">
        <v>79</v>
      </c>
      <c r="O288" t="s">
        <v>74</v>
      </c>
      <c r="P288" t="s">
        <v>74</v>
      </c>
      <c r="Q288" t="s">
        <v>74</v>
      </c>
      <c r="R288" t="s">
        <v>74</v>
      </c>
      <c r="S288" t="s">
        <v>74</v>
      </c>
      <c r="T288" t="s">
        <v>5842</v>
      </c>
      <c r="U288" t="s">
        <v>74</v>
      </c>
      <c r="V288" t="s">
        <v>5843</v>
      </c>
      <c r="W288" t="s">
        <v>5844</v>
      </c>
      <c r="X288" t="s">
        <v>5845</v>
      </c>
      <c r="Y288" t="s">
        <v>5846</v>
      </c>
      <c r="Z288" t="s">
        <v>5847</v>
      </c>
      <c r="AA288" t="s">
        <v>5848</v>
      </c>
      <c r="AB288" t="s">
        <v>5849</v>
      </c>
      <c r="AC288" t="s">
        <v>74</v>
      </c>
      <c r="AD288" t="s">
        <v>74</v>
      </c>
      <c r="AE288" t="s">
        <v>74</v>
      </c>
      <c r="AF288" t="s">
        <v>74</v>
      </c>
      <c r="AG288">
        <v>4</v>
      </c>
      <c r="AH288">
        <v>6</v>
      </c>
      <c r="AI288">
        <v>7</v>
      </c>
      <c r="AJ288">
        <v>0</v>
      </c>
      <c r="AK288">
        <v>5</v>
      </c>
      <c r="AL288" t="s">
        <v>5850</v>
      </c>
      <c r="AM288" t="s">
        <v>5851</v>
      </c>
      <c r="AN288" t="s">
        <v>5852</v>
      </c>
      <c r="AO288" t="s">
        <v>5853</v>
      </c>
      <c r="AP288" t="s">
        <v>5854</v>
      </c>
      <c r="AQ288" t="s">
        <v>74</v>
      </c>
      <c r="AR288" t="s">
        <v>5855</v>
      </c>
      <c r="AS288" t="s">
        <v>5856</v>
      </c>
      <c r="AT288" t="s">
        <v>74</v>
      </c>
      <c r="AU288">
        <v>2018</v>
      </c>
      <c r="AV288">
        <v>63</v>
      </c>
      <c r="AW288">
        <v>2</v>
      </c>
      <c r="AX288" t="s">
        <v>74</v>
      </c>
      <c r="AY288" t="s">
        <v>74</v>
      </c>
      <c r="AZ288" t="s">
        <v>74</v>
      </c>
      <c r="BA288" t="s">
        <v>74</v>
      </c>
      <c r="BB288">
        <v>209</v>
      </c>
      <c r="BC288">
        <v>229</v>
      </c>
      <c r="BD288" t="s">
        <v>74</v>
      </c>
      <c r="BE288" t="s">
        <v>5857</v>
      </c>
      <c r="BF288" t="str">
        <f>HYPERLINK("http://dx.doi.org/10.21638/11701/spbu07.2018.206","http://dx.doi.org/10.21638/11701/spbu07.2018.206")</f>
        <v>http://dx.doi.org/10.21638/11701/spbu07.2018.206</v>
      </c>
      <c r="BG288" t="s">
        <v>74</v>
      </c>
      <c r="BH288" t="s">
        <v>74</v>
      </c>
      <c r="BI288">
        <v>21</v>
      </c>
      <c r="BJ288" t="s">
        <v>280</v>
      </c>
      <c r="BK288" t="s">
        <v>2081</v>
      </c>
      <c r="BL288" t="s">
        <v>281</v>
      </c>
      <c r="BM288" t="s">
        <v>5858</v>
      </c>
      <c r="BN288" t="s">
        <v>74</v>
      </c>
      <c r="BO288" t="s">
        <v>160</v>
      </c>
      <c r="BP288" t="s">
        <v>74</v>
      </c>
      <c r="BQ288" t="s">
        <v>74</v>
      </c>
      <c r="BR288" t="s">
        <v>105</v>
      </c>
      <c r="BS288" t="s">
        <v>5859</v>
      </c>
      <c r="BT288" t="str">
        <f>HYPERLINK("https%3A%2F%2Fwww.webofscience.com%2Fwos%2Fwoscc%2Ffull-record%2FWOS:000444512800006","View Full Record in Web of Science")</f>
        <v>View Full Record in Web of Science</v>
      </c>
    </row>
    <row r="289" spans="1:72" x14ac:dyDescent="0.15">
      <c r="A289" t="s">
        <v>72</v>
      </c>
      <c r="B289" t="s">
        <v>5860</v>
      </c>
      <c r="C289" t="s">
        <v>74</v>
      </c>
      <c r="D289" t="s">
        <v>74</v>
      </c>
      <c r="E289" t="s">
        <v>74</v>
      </c>
      <c r="F289" t="s">
        <v>5861</v>
      </c>
      <c r="G289" t="s">
        <v>74</v>
      </c>
      <c r="H289" t="s">
        <v>74</v>
      </c>
      <c r="I289" t="s">
        <v>5862</v>
      </c>
      <c r="J289" t="s">
        <v>5863</v>
      </c>
      <c r="K289" t="s">
        <v>74</v>
      </c>
      <c r="L289" t="s">
        <v>74</v>
      </c>
      <c r="M289" t="s">
        <v>5864</v>
      </c>
      <c r="N289" t="s">
        <v>5865</v>
      </c>
      <c r="O289" t="s">
        <v>74</v>
      </c>
      <c r="P289" t="s">
        <v>74</v>
      </c>
      <c r="Q289" t="s">
        <v>74</v>
      </c>
      <c r="R289" t="s">
        <v>74</v>
      </c>
      <c r="S289" t="s">
        <v>74</v>
      </c>
      <c r="T289" t="s">
        <v>74</v>
      </c>
      <c r="U289" t="s">
        <v>74</v>
      </c>
      <c r="V289" t="s">
        <v>74</v>
      </c>
      <c r="W289" t="s">
        <v>5866</v>
      </c>
      <c r="X289" t="s">
        <v>5867</v>
      </c>
      <c r="Y289" t="s">
        <v>5868</v>
      </c>
      <c r="Z289" t="s">
        <v>74</v>
      </c>
      <c r="AA289" t="s">
        <v>74</v>
      </c>
      <c r="AB289" t="s">
        <v>74</v>
      </c>
      <c r="AC289" t="s">
        <v>74</v>
      </c>
      <c r="AD289" t="s">
        <v>74</v>
      </c>
      <c r="AE289" t="s">
        <v>74</v>
      </c>
      <c r="AF289" t="s">
        <v>74</v>
      </c>
      <c r="AG289">
        <v>4</v>
      </c>
      <c r="AH289">
        <v>0</v>
      </c>
      <c r="AI289">
        <v>0</v>
      </c>
      <c r="AJ289">
        <v>0</v>
      </c>
      <c r="AK289">
        <v>0</v>
      </c>
      <c r="AL289" t="s">
        <v>5869</v>
      </c>
      <c r="AM289" t="s">
        <v>698</v>
      </c>
      <c r="AN289" t="s">
        <v>5870</v>
      </c>
      <c r="AO289" t="s">
        <v>5871</v>
      </c>
      <c r="AP289" t="s">
        <v>74</v>
      </c>
      <c r="AQ289" t="s">
        <v>74</v>
      </c>
      <c r="AR289" t="s">
        <v>5872</v>
      </c>
      <c r="AS289" t="s">
        <v>5873</v>
      </c>
      <c r="AT289" t="s">
        <v>74</v>
      </c>
      <c r="AU289">
        <v>2018</v>
      </c>
      <c r="AV289">
        <v>66</v>
      </c>
      <c r="AW289">
        <v>11</v>
      </c>
      <c r="AX289" t="s">
        <v>74</v>
      </c>
      <c r="AY289" t="s">
        <v>74</v>
      </c>
      <c r="AZ289" t="s">
        <v>74</v>
      </c>
      <c r="BA289" t="s">
        <v>74</v>
      </c>
      <c r="BB289">
        <v>958</v>
      </c>
      <c r="BC289">
        <v>960</v>
      </c>
      <c r="BD289" t="s">
        <v>74</v>
      </c>
      <c r="BE289" t="s">
        <v>74</v>
      </c>
      <c r="BF289" t="s">
        <v>74</v>
      </c>
      <c r="BG289" t="s">
        <v>74</v>
      </c>
      <c r="BH289" t="s">
        <v>74</v>
      </c>
      <c r="BI289">
        <v>3</v>
      </c>
      <c r="BJ289" t="s">
        <v>2998</v>
      </c>
      <c r="BK289" t="s">
        <v>3982</v>
      </c>
      <c r="BL289" t="s">
        <v>2998</v>
      </c>
      <c r="BM289" t="s">
        <v>5874</v>
      </c>
      <c r="BN289" t="s">
        <v>74</v>
      </c>
      <c r="BO289" t="s">
        <v>74</v>
      </c>
      <c r="BP289" t="s">
        <v>74</v>
      </c>
      <c r="BQ289" t="s">
        <v>74</v>
      </c>
      <c r="BR289" t="s">
        <v>105</v>
      </c>
      <c r="BS289" t="s">
        <v>5875</v>
      </c>
      <c r="BT289" t="str">
        <f>HYPERLINK("https%3A%2F%2Fwww.webofscience.com%2Fwos%2Fwoscc%2Ffull-record%2FWOS:000452691200009","View Full Record in Web of Science")</f>
        <v>View Full Record in Web of Science</v>
      </c>
    </row>
    <row r="290" spans="1:72" x14ac:dyDescent="0.15">
      <c r="A290" t="s">
        <v>1776</v>
      </c>
      <c r="B290" t="s">
        <v>5876</v>
      </c>
      <c r="C290" t="s">
        <v>74</v>
      </c>
      <c r="D290" t="s">
        <v>1953</v>
      </c>
      <c r="E290" t="s">
        <v>74</v>
      </c>
      <c r="F290" t="s">
        <v>5877</v>
      </c>
      <c r="G290" t="s">
        <v>74</v>
      </c>
      <c r="H290" t="s">
        <v>74</v>
      </c>
      <c r="I290" t="s">
        <v>5878</v>
      </c>
      <c r="J290" t="s">
        <v>4101</v>
      </c>
      <c r="K290" t="s">
        <v>1957</v>
      </c>
      <c r="L290" t="s">
        <v>74</v>
      </c>
      <c r="M290" t="s">
        <v>78</v>
      </c>
      <c r="N290" t="s">
        <v>1782</v>
      </c>
      <c r="O290" t="s">
        <v>1958</v>
      </c>
      <c r="P290" t="s">
        <v>1959</v>
      </c>
      <c r="Q290" t="s">
        <v>1960</v>
      </c>
      <c r="R290" t="s">
        <v>74</v>
      </c>
      <c r="S290" t="s">
        <v>74</v>
      </c>
      <c r="T290" t="s">
        <v>5879</v>
      </c>
      <c r="U290" t="s">
        <v>74</v>
      </c>
      <c r="V290" t="s">
        <v>5880</v>
      </c>
      <c r="W290" t="s">
        <v>5881</v>
      </c>
      <c r="X290" t="s">
        <v>74</v>
      </c>
      <c r="Y290" t="s">
        <v>5882</v>
      </c>
      <c r="Z290" t="s">
        <v>5883</v>
      </c>
      <c r="AA290" t="s">
        <v>5884</v>
      </c>
      <c r="AB290" t="s">
        <v>74</v>
      </c>
      <c r="AC290" t="s">
        <v>5885</v>
      </c>
      <c r="AD290" t="s">
        <v>5886</v>
      </c>
      <c r="AE290" t="s">
        <v>5887</v>
      </c>
      <c r="AF290" t="s">
        <v>74</v>
      </c>
      <c r="AG290">
        <v>8</v>
      </c>
      <c r="AH290">
        <v>0</v>
      </c>
      <c r="AI290">
        <v>0</v>
      </c>
      <c r="AJ290">
        <v>0</v>
      </c>
      <c r="AK290">
        <v>4</v>
      </c>
      <c r="AL290" t="s">
        <v>1973</v>
      </c>
      <c r="AM290" t="s">
        <v>1797</v>
      </c>
      <c r="AN290" t="s">
        <v>1974</v>
      </c>
      <c r="AO290" t="s">
        <v>1975</v>
      </c>
      <c r="AP290" t="s">
        <v>1976</v>
      </c>
      <c r="AQ290" t="s">
        <v>4110</v>
      </c>
      <c r="AR290" t="s">
        <v>1978</v>
      </c>
      <c r="AS290" t="s">
        <v>74</v>
      </c>
      <c r="AT290" t="s">
        <v>74</v>
      </c>
      <c r="AU290">
        <v>2018</v>
      </c>
      <c r="AV290">
        <v>498</v>
      </c>
      <c r="AW290" t="s">
        <v>74</v>
      </c>
      <c r="AX290" t="s">
        <v>74</v>
      </c>
      <c r="AY290" t="s">
        <v>74</v>
      </c>
      <c r="AZ290" t="s">
        <v>74</v>
      </c>
      <c r="BA290" t="s">
        <v>74</v>
      </c>
      <c r="BB290">
        <v>717</v>
      </c>
      <c r="BC290">
        <v>725</v>
      </c>
      <c r="BD290" t="s">
        <v>74</v>
      </c>
      <c r="BE290" t="s">
        <v>5888</v>
      </c>
      <c r="BF290" t="str">
        <f>HYPERLINK("http://dx.doi.org/10.1007/978-981-13-0014-1_58","http://dx.doi.org/10.1007/978-981-13-0014-1_58")</f>
        <v>http://dx.doi.org/10.1007/978-981-13-0014-1_58</v>
      </c>
      <c r="BG290" t="s">
        <v>74</v>
      </c>
      <c r="BH290" t="s">
        <v>74</v>
      </c>
      <c r="BI290">
        <v>9</v>
      </c>
      <c r="BJ290" t="s">
        <v>1980</v>
      </c>
      <c r="BK290" t="s">
        <v>1801</v>
      </c>
      <c r="BL290" t="s">
        <v>1980</v>
      </c>
      <c r="BM290" t="s">
        <v>4112</v>
      </c>
      <c r="BN290" t="s">
        <v>74</v>
      </c>
      <c r="BO290" t="s">
        <v>74</v>
      </c>
      <c r="BP290" t="s">
        <v>74</v>
      </c>
      <c r="BQ290" t="s">
        <v>74</v>
      </c>
      <c r="BR290" t="s">
        <v>105</v>
      </c>
      <c r="BS290" t="s">
        <v>5889</v>
      </c>
      <c r="BT290" t="str">
        <f>HYPERLINK("https%3A%2F%2Fwww.webofscience.com%2Fwos%2Fwoscc%2Ffull-record%2FWOS:000451375100058","View Full Record in Web of Science")</f>
        <v>View Full Record in Web of Science</v>
      </c>
    </row>
    <row r="291" spans="1:72" x14ac:dyDescent="0.15">
      <c r="A291" t="s">
        <v>72</v>
      </c>
      <c r="B291" t="s">
        <v>5890</v>
      </c>
      <c r="C291" t="s">
        <v>74</v>
      </c>
      <c r="D291" t="s">
        <v>74</v>
      </c>
      <c r="E291" t="s">
        <v>74</v>
      </c>
      <c r="F291" t="s">
        <v>5891</v>
      </c>
      <c r="G291" t="s">
        <v>74</v>
      </c>
      <c r="H291" t="s">
        <v>74</v>
      </c>
      <c r="I291" t="s">
        <v>5892</v>
      </c>
      <c r="J291" t="s">
        <v>5893</v>
      </c>
      <c r="K291" t="s">
        <v>74</v>
      </c>
      <c r="L291" t="s">
        <v>74</v>
      </c>
      <c r="M291" t="s">
        <v>78</v>
      </c>
      <c r="N291" t="s">
        <v>79</v>
      </c>
      <c r="O291" t="s">
        <v>74</v>
      </c>
      <c r="P291" t="s">
        <v>74</v>
      </c>
      <c r="Q291" t="s">
        <v>74</v>
      </c>
      <c r="R291" t="s">
        <v>74</v>
      </c>
      <c r="S291" t="s">
        <v>74</v>
      </c>
      <c r="T291" t="s">
        <v>5894</v>
      </c>
      <c r="U291" t="s">
        <v>5895</v>
      </c>
      <c r="V291" t="s">
        <v>5896</v>
      </c>
      <c r="W291" t="s">
        <v>5897</v>
      </c>
      <c r="X291" t="s">
        <v>5898</v>
      </c>
      <c r="Y291" t="s">
        <v>5899</v>
      </c>
      <c r="Z291" t="s">
        <v>5900</v>
      </c>
      <c r="AA291" t="s">
        <v>5901</v>
      </c>
      <c r="AB291" t="s">
        <v>5902</v>
      </c>
      <c r="AC291" t="s">
        <v>5903</v>
      </c>
      <c r="AD291" t="s">
        <v>5904</v>
      </c>
      <c r="AE291" t="s">
        <v>5905</v>
      </c>
      <c r="AF291" t="s">
        <v>74</v>
      </c>
      <c r="AG291">
        <v>25</v>
      </c>
      <c r="AH291">
        <v>6</v>
      </c>
      <c r="AI291">
        <v>6</v>
      </c>
      <c r="AJ291">
        <v>0</v>
      </c>
      <c r="AK291">
        <v>4</v>
      </c>
      <c r="AL291" t="s">
        <v>1700</v>
      </c>
      <c r="AM291" t="s">
        <v>1701</v>
      </c>
      <c r="AN291" t="s">
        <v>1702</v>
      </c>
      <c r="AO291" t="s">
        <v>5906</v>
      </c>
      <c r="AP291" t="s">
        <v>5907</v>
      </c>
      <c r="AQ291" t="s">
        <v>74</v>
      </c>
      <c r="AR291" t="s">
        <v>5908</v>
      </c>
      <c r="AS291" t="s">
        <v>5909</v>
      </c>
      <c r="AT291" t="s">
        <v>74</v>
      </c>
      <c r="AU291">
        <v>2018</v>
      </c>
      <c r="AV291">
        <v>56</v>
      </c>
      <c r="AW291">
        <v>4</v>
      </c>
      <c r="AX291" t="s">
        <v>74</v>
      </c>
      <c r="AY291" t="s">
        <v>74</v>
      </c>
      <c r="AZ291" t="s">
        <v>74</v>
      </c>
      <c r="BA291" t="s">
        <v>74</v>
      </c>
      <c r="BB291">
        <v>560</v>
      </c>
      <c r="BC291">
        <v>566</v>
      </c>
      <c r="BD291" t="s">
        <v>74</v>
      </c>
      <c r="BE291" t="s">
        <v>5910</v>
      </c>
      <c r="BF291" t="str">
        <f>HYPERLINK("http://dx.doi.org/10.1080/00221686.2017.1397780","http://dx.doi.org/10.1080/00221686.2017.1397780")</f>
        <v>http://dx.doi.org/10.1080/00221686.2017.1397780</v>
      </c>
      <c r="BG291" t="s">
        <v>74</v>
      </c>
      <c r="BH291" t="s">
        <v>74</v>
      </c>
      <c r="BI291">
        <v>7</v>
      </c>
      <c r="BJ291" t="s">
        <v>5911</v>
      </c>
      <c r="BK291" t="s">
        <v>101</v>
      </c>
      <c r="BL291" t="s">
        <v>5912</v>
      </c>
      <c r="BM291" t="s">
        <v>5913</v>
      </c>
      <c r="BN291" t="s">
        <v>74</v>
      </c>
      <c r="BO291" t="s">
        <v>74</v>
      </c>
      <c r="BP291" t="s">
        <v>74</v>
      </c>
      <c r="BQ291" t="s">
        <v>74</v>
      </c>
      <c r="BR291" t="s">
        <v>105</v>
      </c>
      <c r="BS291" t="s">
        <v>5914</v>
      </c>
      <c r="BT291" t="str">
        <f>HYPERLINK("https%3A%2F%2Fwww.webofscience.com%2Fwos%2Fwoscc%2Ffull-record%2FWOS:000451333700011","View Full Record in Web of Science")</f>
        <v>View Full Record in Web of Science</v>
      </c>
    </row>
    <row r="292" spans="1:72" x14ac:dyDescent="0.15">
      <c r="A292" t="s">
        <v>1776</v>
      </c>
      <c r="B292" t="s">
        <v>5915</v>
      </c>
      <c r="C292" t="s">
        <v>74</v>
      </c>
      <c r="D292" t="s">
        <v>5916</v>
      </c>
      <c r="E292" t="s">
        <v>74</v>
      </c>
      <c r="F292" t="s">
        <v>5917</v>
      </c>
      <c r="G292" t="s">
        <v>74</v>
      </c>
      <c r="H292" t="s">
        <v>74</v>
      </c>
      <c r="I292" t="s">
        <v>5918</v>
      </c>
      <c r="J292" t="s">
        <v>5919</v>
      </c>
      <c r="K292" t="s">
        <v>2808</v>
      </c>
      <c r="L292" t="s">
        <v>74</v>
      </c>
      <c r="M292" t="s">
        <v>78</v>
      </c>
      <c r="N292" t="s">
        <v>1782</v>
      </c>
      <c r="O292" t="s">
        <v>5920</v>
      </c>
      <c r="P292" t="s">
        <v>5921</v>
      </c>
      <c r="Q292" t="s">
        <v>4599</v>
      </c>
      <c r="R292" t="s">
        <v>74</v>
      </c>
      <c r="S292" t="s">
        <v>74</v>
      </c>
      <c r="T292" t="s">
        <v>5922</v>
      </c>
      <c r="U292" t="s">
        <v>74</v>
      </c>
      <c r="V292" t="s">
        <v>5923</v>
      </c>
      <c r="W292" t="s">
        <v>5924</v>
      </c>
      <c r="X292" t="s">
        <v>5925</v>
      </c>
      <c r="Y292" t="s">
        <v>5926</v>
      </c>
      <c r="Z292" t="s">
        <v>5927</v>
      </c>
      <c r="AA292" t="s">
        <v>5928</v>
      </c>
      <c r="AB292" t="s">
        <v>74</v>
      </c>
      <c r="AC292" t="s">
        <v>5929</v>
      </c>
      <c r="AD292" t="s">
        <v>5930</v>
      </c>
      <c r="AE292" t="s">
        <v>5931</v>
      </c>
      <c r="AF292" t="s">
        <v>74</v>
      </c>
      <c r="AG292">
        <v>8</v>
      </c>
      <c r="AH292">
        <v>1</v>
      </c>
      <c r="AI292">
        <v>1</v>
      </c>
      <c r="AJ292">
        <v>0</v>
      </c>
      <c r="AK292">
        <v>1</v>
      </c>
      <c r="AL292" t="s">
        <v>2821</v>
      </c>
      <c r="AM292" t="s">
        <v>2822</v>
      </c>
      <c r="AN292" t="s">
        <v>2823</v>
      </c>
      <c r="AO292" t="s">
        <v>2824</v>
      </c>
      <c r="AP292" t="s">
        <v>2825</v>
      </c>
      <c r="AQ292" t="s">
        <v>5932</v>
      </c>
      <c r="AR292" t="s">
        <v>2827</v>
      </c>
      <c r="AS292" t="s">
        <v>74</v>
      </c>
      <c r="AT292" t="s">
        <v>74</v>
      </c>
      <c r="AU292">
        <v>2018</v>
      </c>
      <c r="AV292">
        <v>10700</v>
      </c>
      <c r="AW292" t="s">
        <v>74</v>
      </c>
      <c r="AX292" t="s">
        <v>74</v>
      </c>
      <c r="AY292" t="s">
        <v>74</v>
      </c>
      <c r="AZ292" t="s">
        <v>74</v>
      </c>
      <c r="BA292" t="s">
        <v>74</v>
      </c>
      <c r="BB292" t="s">
        <v>74</v>
      </c>
      <c r="BC292" t="s">
        <v>74</v>
      </c>
      <c r="BD292" t="s">
        <v>5933</v>
      </c>
      <c r="BE292" t="s">
        <v>5934</v>
      </c>
      <c r="BF292" t="str">
        <f>HYPERLINK("http://dx.doi.org/10.1117/12.2311291","http://dx.doi.org/10.1117/12.2311291")</f>
        <v>http://dx.doi.org/10.1117/12.2311291</v>
      </c>
      <c r="BG292" t="s">
        <v>74</v>
      </c>
      <c r="BH292" t="s">
        <v>74</v>
      </c>
      <c r="BI292">
        <v>6</v>
      </c>
      <c r="BJ292" t="s">
        <v>5290</v>
      </c>
      <c r="BK292" t="s">
        <v>1801</v>
      </c>
      <c r="BL292" t="s">
        <v>5290</v>
      </c>
      <c r="BM292" t="s">
        <v>5935</v>
      </c>
      <c r="BN292" t="s">
        <v>74</v>
      </c>
      <c r="BO292" t="s">
        <v>74</v>
      </c>
      <c r="BP292" t="s">
        <v>74</v>
      </c>
      <c r="BQ292" t="s">
        <v>74</v>
      </c>
      <c r="BR292" t="s">
        <v>105</v>
      </c>
      <c r="BS292" t="s">
        <v>5936</v>
      </c>
      <c r="BT292" t="str">
        <f>HYPERLINK("https%3A%2F%2Fwww.webofscience.com%2Fwos%2Fwoscc%2Ffull-record%2FWOS:000450858000149","View Full Record in Web of Science")</f>
        <v>View Full Record in Web of Science</v>
      </c>
    </row>
    <row r="293" spans="1:72" x14ac:dyDescent="0.15">
      <c r="A293" t="s">
        <v>1776</v>
      </c>
      <c r="B293" t="s">
        <v>5937</v>
      </c>
      <c r="C293" t="s">
        <v>74</v>
      </c>
      <c r="D293" t="s">
        <v>5916</v>
      </c>
      <c r="E293" t="s">
        <v>74</v>
      </c>
      <c r="F293" t="s">
        <v>5938</v>
      </c>
      <c r="G293" t="s">
        <v>74</v>
      </c>
      <c r="H293" t="s">
        <v>74</v>
      </c>
      <c r="I293" t="s">
        <v>5939</v>
      </c>
      <c r="J293" t="s">
        <v>5919</v>
      </c>
      <c r="K293" t="s">
        <v>2808</v>
      </c>
      <c r="L293" t="s">
        <v>74</v>
      </c>
      <c r="M293" t="s">
        <v>78</v>
      </c>
      <c r="N293" t="s">
        <v>1782</v>
      </c>
      <c r="O293" t="s">
        <v>5920</v>
      </c>
      <c r="P293" t="s">
        <v>5921</v>
      </c>
      <c r="Q293" t="s">
        <v>4599</v>
      </c>
      <c r="R293" t="s">
        <v>74</v>
      </c>
      <c r="S293" t="s">
        <v>74</v>
      </c>
      <c r="T293" t="s">
        <v>5940</v>
      </c>
      <c r="U293" t="s">
        <v>74</v>
      </c>
      <c r="V293" t="s">
        <v>5941</v>
      </c>
      <c r="W293" t="s">
        <v>5942</v>
      </c>
      <c r="X293" t="s">
        <v>5943</v>
      </c>
      <c r="Y293" t="s">
        <v>5944</v>
      </c>
      <c r="Z293" t="s">
        <v>5945</v>
      </c>
      <c r="AA293" t="s">
        <v>5928</v>
      </c>
      <c r="AB293" t="s">
        <v>5946</v>
      </c>
      <c r="AC293" t="s">
        <v>5947</v>
      </c>
      <c r="AD293" t="s">
        <v>5948</v>
      </c>
      <c r="AE293" t="s">
        <v>5949</v>
      </c>
      <c r="AF293" t="s">
        <v>74</v>
      </c>
      <c r="AG293">
        <v>9</v>
      </c>
      <c r="AH293">
        <v>1</v>
      </c>
      <c r="AI293">
        <v>2</v>
      </c>
      <c r="AJ293">
        <v>0</v>
      </c>
      <c r="AK293">
        <v>9</v>
      </c>
      <c r="AL293" t="s">
        <v>2821</v>
      </c>
      <c r="AM293" t="s">
        <v>2822</v>
      </c>
      <c r="AN293" t="s">
        <v>2823</v>
      </c>
      <c r="AO293" t="s">
        <v>2824</v>
      </c>
      <c r="AP293" t="s">
        <v>2825</v>
      </c>
      <c r="AQ293" t="s">
        <v>5932</v>
      </c>
      <c r="AR293" t="s">
        <v>2827</v>
      </c>
      <c r="AS293" t="s">
        <v>74</v>
      </c>
      <c r="AT293" t="s">
        <v>74</v>
      </c>
      <c r="AU293">
        <v>2018</v>
      </c>
      <c r="AV293">
        <v>10700</v>
      </c>
      <c r="AW293" t="s">
        <v>74</v>
      </c>
      <c r="AX293" t="s">
        <v>74</v>
      </c>
      <c r="AY293" t="s">
        <v>74</v>
      </c>
      <c r="AZ293" t="s">
        <v>74</v>
      </c>
      <c r="BA293" t="s">
        <v>74</v>
      </c>
      <c r="BB293" t="s">
        <v>74</v>
      </c>
      <c r="BC293" t="s">
        <v>74</v>
      </c>
      <c r="BD293" t="s">
        <v>5950</v>
      </c>
      <c r="BE293" t="s">
        <v>5951</v>
      </c>
      <c r="BF293" t="str">
        <f>HYPERLINK("http://dx.doi.org/10.1117/12.2311946","http://dx.doi.org/10.1117/12.2311946")</f>
        <v>http://dx.doi.org/10.1117/12.2311946</v>
      </c>
      <c r="BG293" t="s">
        <v>74</v>
      </c>
      <c r="BH293" t="s">
        <v>74</v>
      </c>
      <c r="BI293">
        <v>7</v>
      </c>
      <c r="BJ293" t="s">
        <v>5290</v>
      </c>
      <c r="BK293" t="s">
        <v>1801</v>
      </c>
      <c r="BL293" t="s">
        <v>5290</v>
      </c>
      <c r="BM293" t="s">
        <v>5935</v>
      </c>
      <c r="BN293" t="s">
        <v>74</v>
      </c>
      <c r="BO293" t="s">
        <v>74</v>
      </c>
      <c r="BP293" t="s">
        <v>74</v>
      </c>
      <c r="BQ293" t="s">
        <v>74</v>
      </c>
      <c r="BR293" t="s">
        <v>105</v>
      </c>
      <c r="BS293" t="s">
        <v>5952</v>
      </c>
      <c r="BT293" t="str">
        <f>HYPERLINK("https%3A%2F%2Fwww.webofscience.com%2Fwos%2Fwoscc%2Ffull-record%2FWOS:000450858000131","View Full Record in Web of Science")</f>
        <v>View Full Record in Web of Science</v>
      </c>
    </row>
    <row r="294" spans="1:72" x14ac:dyDescent="0.15">
      <c r="A294" t="s">
        <v>1776</v>
      </c>
      <c r="B294" t="s">
        <v>5953</v>
      </c>
      <c r="C294" t="s">
        <v>74</v>
      </c>
      <c r="D294" t="s">
        <v>5916</v>
      </c>
      <c r="E294" t="s">
        <v>74</v>
      </c>
      <c r="F294" t="s">
        <v>5954</v>
      </c>
      <c r="G294" t="s">
        <v>74</v>
      </c>
      <c r="H294" t="s">
        <v>74</v>
      </c>
      <c r="I294" t="s">
        <v>5955</v>
      </c>
      <c r="J294" t="s">
        <v>5919</v>
      </c>
      <c r="K294" t="s">
        <v>2808</v>
      </c>
      <c r="L294" t="s">
        <v>74</v>
      </c>
      <c r="M294" t="s">
        <v>78</v>
      </c>
      <c r="N294" t="s">
        <v>1782</v>
      </c>
      <c r="O294" t="s">
        <v>5920</v>
      </c>
      <c r="P294" t="s">
        <v>5921</v>
      </c>
      <c r="Q294" t="s">
        <v>4599</v>
      </c>
      <c r="R294" t="s">
        <v>74</v>
      </c>
      <c r="S294" t="s">
        <v>74</v>
      </c>
      <c r="T294" t="s">
        <v>5956</v>
      </c>
      <c r="U294" t="s">
        <v>5957</v>
      </c>
      <c r="V294" t="s">
        <v>5958</v>
      </c>
      <c r="W294" t="s">
        <v>5959</v>
      </c>
      <c r="X294" t="s">
        <v>5960</v>
      </c>
      <c r="Y294" t="s">
        <v>5961</v>
      </c>
      <c r="Z294" t="s">
        <v>5962</v>
      </c>
      <c r="AA294" t="s">
        <v>5928</v>
      </c>
      <c r="AB294" t="s">
        <v>5963</v>
      </c>
      <c r="AC294" t="s">
        <v>5964</v>
      </c>
      <c r="AD294" t="s">
        <v>5965</v>
      </c>
      <c r="AE294" t="s">
        <v>5966</v>
      </c>
      <c r="AF294" t="s">
        <v>74</v>
      </c>
      <c r="AG294">
        <v>22</v>
      </c>
      <c r="AH294">
        <v>2</v>
      </c>
      <c r="AI294">
        <v>2</v>
      </c>
      <c r="AJ294">
        <v>0</v>
      </c>
      <c r="AK294">
        <v>9</v>
      </c>
      <c r="AL294" t="s">
        <v>2821</v>
      </c>
      <c r="AM294" t="s">
        <v>2822</v>
      </c>
      <c r="AN294" t="s">
        <v>2823</v>
      </c>
      <c r="AO294" t="s">
        <v>2824</v>
      </c>
      <c r="AP294" t="s">
        <v>2825</v>
      </c>
      <c r="AQ294" t="s">
        <v>5932</v>
      </c>
      <c r="AR294" t="s">
        <v>2827</v>
      </c>
      <c r="AS294" t="s">
        <v>74</v>
      </c>
      <c r="AT294" t="s">
        <v>74</v>
      </c>
      <c r="AU294">
        <v>2018</v>
      </c>
      <c r="AV294">
        <v>10700</v>
      </c>
      <c r="AW294" t="s">
        <v>74</v>
      </c>
      <c r="AX294" t="s">
        <v>74</v>
      </c>
      <c r="AY294" t="s">
        <v>74</v>
      </c>
      <c r="AZ294" t="s">
        <v>74</v>
      </c>
      <c r="BA294" t="s">
        <v>74</v>
      </c>
      <c r="BB294" t="s">
        <v>74</v>
      </c>
      <c r="BC294" t="s">
        <v>74</v>
      </c>
      <c r="BD294" t="s">
        <v>5967</v>
      </c>
      <c r="BE294" t="s">
        <v>5968</v>
      </c>
      <c r="BF294" t="str">
        <f>HYPERLINK("http://dx.doi.org/10.1117/12.2309618","http://dx.doi.org/10.1117/12.2309618")</f>
        <v>http://dx.doi.org/10.1117/12.2309618</v>
      </c>
      <c r="BG294" t="s">
        <v>74</v>
      </c>
      <c r="BH294" t="s">
        <v>74</v>
      </c>
      <c r="BI294">
        <v>8</v>
      </c>
      <c r="BJ294" t="s">
        <v>5290</v>
      </c>
      <c r="BK294" t="s">
        <v>1801</v>
      </c>
      <c r="BL294" t="s">
        <v>5290</v>
      </c>
      <c r="BM294" t="s">
        <v>5935</v>
      </c>
      <c r="BN294" t="s">
        <v>74</v>
      </c>
      <c r="BO294" t="s">
        <v>74</v>
      </c>
      <c r="BP294" t="s">
        <v>74</v>
      </c>
      <c r="BQ294" t="s">
        <v>74</v>
      </c>
      <c r="BR294" t="s">
        <v>105</v>
      </c>
      <c r="BS294" t="s">
        <v>5969</v>
      </c>
      <c r="BT294" t="str">
        <f>HYPERLINK("https%3A%2F%2Fwww.webofscience.com%2Fwos%2Fwoscc%2Ffull-record%2FWOS:000450858000042","View Full Record in Web of Science")</f>
        <v>View Full Record in Web of Science</v>
      </c>
    </row>
    <row r="295" spans="1:72" x14ac:dyDescent="0.15">
      <c r="A295" t="s">
        <v>1776</v>
      </c>
      <c r="B295" t="s">
        <v>5970</v>
      </c>
      <c r="C295" t="s">
        <v>74</v>
      </c>
      <c r="D295" t="s">
        <v>5916</v>
      </c>
      <c r="E295" t="s">
        <v>74</v>
      </c>
      <c r="F295" t="s">
        <v>5971</v>
      </c>
      <c r="G295" t="s">
        <v>74</v>
      </c>
      <c r="H295" t="s">
        <v>74</v>
      </c>
      <c r="I295" t="s">
        <v>5972</v>
      </c>
      <c r="J295" t="s">
        <v>5919</v>
      </c>
      <c r="K295" t="s">
        <v>2808</v>
      </c>
      <c r="L295" t="s">
        <v>74</v>
      </c>
      <c r="M295" t="s">
        <v>78</v>
      </c>
      <c r="N295" t="s">
        <v>1782</v>
      </c>
      <c r="O295" t="s">
        <v>5920</v>
      </c>
      <c r="P295" t="s">
        <v>5921</v>
      </c>
      <c r="Q295" t="s">
        <v>4599</v>
      </c>
      <c r="R295" t="s">
        <v>74</v>
      </c>
      <c r="S295" t="s">
        <v>74</v>
      </c>
      <c r="T295" t="s">
        <v>5973</v>
      </c>
      <c r="U295" t="s">
        <v>5974</v>
      </c>
      <c r="V295" t="s">
        <v>5975</v>
      </c>
      <c r="W295" t="s">
        <v>5976</v>
      </c>
      <c r="X295" t="s">
        <v>5977</v>
      </c>
      <c r="Y295" t="s">
        <v>5978</v>
      </c>
      <c r="Z295" t="s">
        <v>5979</v>
      </c>
      <c r="AA295" t="s">
        <v>74</v>
      </c>
      <c r="AB295" t="s">
        <v>5963</v>
      </c>
      <c r="AC295" t="s">
        <v>5980</v>
      </c>
      <c r="AD295" t="s">
        <v>5981</v>
      </c>
      <c r="AE295" t="s">
        <v>5982</v>
      </c>
      <c r="AF295" t="s">
        <v>74</v>
      </c>
      <c r="AG295">
        <v>13</v>
      </c>
      <c r="AH295">
        <v>5</v>
      </c>
      <c r="AI295">
        <v>5</v>
      </c>
      <c r="AJ295">
        <v>0</v>
      </c>
      <c r="AK295">
        <v>4</v>
      </c>
      <c r="AL295" t="s">
        <v>2821</v>
      </c>
      <c r="AM295" t="s">
        <v>2822</v>
      </c>
      <c r="AN295" t="s">
        <v>2823</v>
      </c>
      <c r="AO295" t="s">
        <v>2824</v>
      </c>
      <c r="AP295" t="s">
        <v>2825</v>
      </c>
      <c r="AQ295" t="s">
        <v>5932</v>
      </c>
      <c r="AR295" t="s">
        <v>2827</v>
      </c>
      <c r="AS295" t="s">
        <v>74</v>
      </c>
      <c r="AT295" t="s">
        <v>74</v>
      </c>
      <c r="AU295">
        <v>2018</v>
      </c>
      <c r="AV295">
        <v>10700</v>
      </c>
      <c r="AW295" t="s">
        <v>74</v>
      </c>
      <c r="AX295" t="s">
        <v>74</v>
      </c>
      <c r="AY295" t="s">
        <v>74</v>
      </c>
      <c r="AZ295" t="s">
        <v>74</v>
      </c>
      <c r="BA295" t="s">
        <v>74</v>
      </c>
      <c r="BB295" t="s">
        <v>74</v>
      </c>
      <c r="BC295" t="s">
        <v>74</v>
      </c>
      <c r="BD295">
        <v>1070057</v>
      </c>
      <c r="BE295" t="s">
        <v>5983</v>
      </c>
      <c r="BF295" t="str">
        <f>HYPERLINK("http://dx.doi.org/10.1117/12.2312439","http://dx.doi.org/10.1117/12.2312439")</f>
        <v>http://dx.doi.org/10.1117/12.2312439</v>
      </c>
      <c r="BG295" t="s">
        <v>74</v>
      </c>
      <c r="BH295" t="s">
        <v>74</v>
      </c>
      <c r="BI295">
        <v>7</v>
      </c>
      <c r="BJ295" t="s">
        <v>5290</v>
      </c>
      <c r="BK295" t="s">
        <v>1801</v>
      </c>
      <c r="BL295" t="s">
        <v>5290</v>
      </c>
      <c r="BM295" t="s">
        <v>5935</v>
      </c>
      <c r="BN295" t="s">
        <v>74</v>
      </c>
      <c r="BO295" t="s">
        <v>74</v>
      </c>
      <c r="BP295" t="s">
        <v>74</v>
      </c>
      <c r="BQ295" t="s">
        <v>74</v>
      </c>
      <c r="BR295" t="s">
        <v>105</v>
      </c>
      <c r="BS295" t="s">
        <v>5984</v>
      </c>
      <c r="BT295" t="str">
        <f>HYPERLINK("https%3A%2F%2Fwww.webofscience.com%2Fwos%2Fwoscc%2Ffull-record%2FWOS:000450858000137","View Full Record in Web of Science")</f>
        <v>View Full Record in Web of Science</v>
      </c>
    </row>
    <row r="296" spans="1:72" x14ac:dyDescent="0.15">
      <c r="A296" t="s">
        <v>1776</v>
      </c>
      <c r="B296" t="s">
        <v>5985</v>
      </c>
      <c r="C296" t="s">
        <v>74</v>
      </c>
      <c r="D296" t="s">
        <v>5916</v>
      </c>
      <c r="E296" t="s">
        <v>74</v>
      </c>
      <c r="F296" t="s">
        <v>5986</v>
      </c>
      <c r="G296" t="s">
        <v>74</v>
      </c>
      <c r="H296" t="s">
        <v>74</v>
      </c>
      <c r="I296" t="s">
        <v>5987</v>
      </c>
      <c r="J296" t="s">
        <v>5919</v>
      </c>
      <c r="K296" t="s">
        <v>2808</v>
      </c>
      <c r="L296" t="s">
        <v>74</v>
      </c>
      <c r="M296" t="s">
        <v>78</v>
      </c>
      <c r="N296" t="s">
        <v>1782</v>
      </c>
      <c r="O296" t="s">
        <v>5920</v>
      </c>
      <c r="P296" t="s">
        <v>5921</v>
      </c>
      <c r="Q296" t="s">
        <v>4599</v>
      </c>
      <c r="R296" t="s">
        <v>74</v>
      </c>
      <c r="S296" t="s">
        <v>74</v>
      </c>
      <c r="T296" t="s">
        <v>5988</v>
      </c>
      <c r="U296" t="s">
        <v>74</v>
      </c>
      <c r="V296" t="s">
        <v>5989</v>
      </c>
      <c r="W296" t="s">
        <v>5990</v>
      </c>
      <c r="X296" t="s">
        <v>5991</v>
      </c>
      <c r="Y296" t="s">
        <v>5992</v>
      </c>
      <c r="Z296" t="s">
        <v>5945</v>
      </c>
      <c r="AA296" t="s">
        <v>5993</v>
      </c>
      <c r="AB296" t="s">
        <v>5994</v>
      </c>
      <c r="AC296" t="s">
        <v>5947</v>
      </c>
      <c r="AD296" t="s">
        <v>5948</v>
      </c>
      <c r="AE296" t="s">
        <v>5949</v>
      </c>
      <c r="AF296" t="s">
        <v>74</v>
      </c>
      <c r="AG296">
        <v>7</v>
      </c>
      <c r="AH296">
        <v>0</v>
      </c>
      <c r="AI296">
        <v>0</v>
      </c>
      <c r="AJ296">
        <v>0</v>
      </c>
      <c r="AK296">
        <v>8</v>
      </c>
      <c r="AL296" t="s">
        <v>2821</v>
      </c>
      <c r="AM296" t="s">
        <v>2822</v>
      </c>
      <c r="AN296" t="s">
        <v>2823</v>
      </c>
      <c r="AO296" t="s">
        <v>2824</v>
      </c>
      <c r="AP296" t="s">
        <v>2825</v>
      </c>
      <c r="AQ296" t="s">
        <v>5932</v>
      </c>
      <c r="AR296" t="s">
        <v>2827</v>
      </c>
      <c r="AS296" t="s">
        <v>74</v>
      </c>
      <c r="AT296" t="s">
        <v>74</v>
      </c>
      <c r="AU296">
        <v>2018</v>
      </c>
      <c r="AV296">
        <v>10700</v>
      </c>
      <c r="AW296" t="s">
        <v>74</v>
      </c>
      <c r="AX296" t="s">
        <v>74</v>
      </c>
      <c r="AY296" t="s">
        <v>74</v>
      </c>
      <c r="AZ296" t="s">
        <v>74</v>
      </c>
      <c r="BA296" t="s">
        <v>74</v>
      </c>
      <c r="BB296" t="s">
        <v>74</v>
      </c>
      <c r="BC296" t="s">
        <v>74</v>
      </c>
      <c r="BD296">
        <v>1070024</v>
      </c>
      <c r="BE296" t="s">
        <v>5995</v>
      </c>
      <c r="BF296" t="str">
        <f>HYPERLINK("http://dx.doi.org/10.1117/12.2309644","http://dx.doi.org/10.1117/12.2309644")</f>
        <v>http://dx.doi.org/10.1117/12.2309644</v>
      </c>
      <c r="BG296" t="s">
        <v>74</v>
      </c>
      <c r="BH296" t="s">
        <v>74</v>
      </c>
      <c r="BI296">
        <v>7</v>
      </c>
      <c r="BJ296" t="s">
        <v>5290</v>
      </c>
      <c r="BK296" t="s">
        <v>1801</v>
      </c>
      <c r="BL296" t="s">
        <v>5290</v>
      </c>
      <c r="BM296" t="s">
        <v>5935</v>
      </c>
      <c r="BN296" t="s">
        <v>74</v>
      </c>
      <c r="BO296" t="s">
        <v>74</v>
      </c>
      <c r="BP296" t="s">
        <v>74</v>
      </c>
      <c r="BQ296" t="s">
        <v>74</v>
      </c>
      <c r="BR296" t="s">
        <v>105</v>
      </c>
      <c r="BS296" t="s">
        <v>5996</v>
      </c>
      <c r="BT296" t="str">
        <f>HYPERLINK("https%3A%2F%2Fwww.webofscience.com%2Fwos%2Fwoscc%2Ffull-record%2FWOS:000450858000059","View Full Record in Web of Science")</f>
        <v>View Full Record in Web of Science</v>
      </c>
    </row>
    <row r="297" spans="1:72" x14ac:dyDescent="0.15">
      <c r="A297" t="s">
        <v>1776</v>
      </c>
      <c r="B297" t="s">
        <v>5997</v>
      </c>
      <c r="C297" t="s">
        <v>74</v>
      </c>
      <c r="D297" t="s">
        <v>5998</v>
      </c>
      <c r="E297" t="s">
        <v>74</v>
      </c>
      <c r="F297" t="s">
        <v>5999</v>
      </c>
      <c r="G297" t="s">
        <v>74</v>
      </c>
      <c r="H297" t="s">
        <v>74</v>
      </c>
      <c r="I297" t="s">
        <v>6000</v>
      </c>
      <c r="J297" t="s">
        <v>6001</v>
      </c>
      <c r="K297" t="s">
        <v>2808</v>
      </c>
      <c r="L297" t="s">
        <v>74</v>
      </c>
      <c r="M297" t="s">
        <v>78</v>
      </c>
      <c r="N297" t="s">
        <v>1782</v>
      </c>
      <c r="O297" t="s">
        <v>6002</v>
      </c>
      <c r="P297" t="s">
        <v>5921</v>
      </c>
      <c r="Q297" t="s">
        <v>4599</v>
      </c>
      <c r="R297" t="s">
        <v>74</v>
      </c>
      <c r="S297" t="s">
        <v>74</v>
      </c>
      <c r="T297" t="s">
        <v>6003</v>
      </c>
      <c r="U297" t="s">
        <v>74</v>
      </c>
      <c r="V297" t="s">
        <v>6004</v>
      </c>
      <c r="W297" t="s">
        <v>6005</v>
      </c>
      <c r="X297" t="s">
        <v>6006</v>
      </c>
      <c r="Y297" t="s">
        <v>6007</v>
      </c>
      <c r="Z297" t="s">
        <v>6008</v>
      </c>
      <c r="AA297" t="s">
        <v>6009</v>
      </c>
      <c r="AB297" t="s">
        <v>74</v>
      </c>
      <c r="AC297" t="s">
        <v>74</v>
      </c>
      <c r="AD297" t="s">
        <v>74</v>
      </c>
      <c r="AE297" t="s">
        <v>74</v>
      </c>
      <c r="AF297" t="s">
        <v>74</v>
      </c>
      <c r="AG297">
        <v>10</v>
      </c>
      <c r="AH297">
        <v>0</v>
      </c>
      <c r="AI297">
        <v>0</v>
      </c>
      <c r="AJ297">
        <v>0</v>
      </c>
      <c r="AK297">
        <v>0</v>
      </c>
      <c r="AL297" t="s">
        <v>2821</v>
      </c>
      <c r="AM297" t="s">
        <v>2822</v>
      </c>
      <c r="AN297" t="s">
        <v>2823</v>
      </c>
      <c r="AO297" t="s">
        <v>2824</v>
      </c>
      <c r="AP297" t="s">
        <v>2825</v>
      </c>
      <c r="AQ297" t="s">
        <v>6010</v>
      </c>
      <c r="AR297" t="s">
        <v>2827</v>
      </c>
      <c r="AS297" t="s">
        <v>74</v>
      </c>
      <c r="AT297" t="s">
        <v>74</v>
      </c>
      <c r="AU297">
        <v>2018</v>
      </c>
      <c r="AV297">
        <v>10698</v>
      </c>
      <c r="AW297" t="s">
        <v>74</v>
      </c>
      <c r="AX297" t="s">
        <v>74</v>
      </c>
      <c r="AY297" t="s">
        <v>74</v>
      </c>
      <c r="AZ297" t="s">
        <v>74</v>
      </c>
      <c r="BA297" t="s">
        <v>74</v>
      </c>
      <c r="BB297" t="s">
        <v>74</v>
      </c>
      <c r="BC297" t="s">
        <v>74</v>
      </c>
      <c r="BD297" t="s">
        <v>6011</v>
      </c>
      <c r="BE297" t="s">
        <v>6012</v>
      </c>
      <c r="BF297" t="str">
        <f>HYPERLINK("http://dx.doi.org/10.1117/12.2312289","http://dx.doi.org/10.1117/12.2312289")</f>
        <v>http://dx.doi.org/10.1117/12.2312289</v>
      </c>
      <c r="BG297" t="s">
        <v>74</v>
      </c>
      <c r="BH297" t="s">
        <v>74</v>
      </c>
      <c r="BI297">
        <v>17</v>
      </c>
      <c r="BJ297" t="s">
        <v>5290</v>
      </c>
      <c r="BK297" t="s">
        <v>1801</v>
      </c>
      <c r="BL297" t="s">
        <v>5290</v>
      </c>
      <c r="BM297" t="s">
        <v>6013</v>
      </c>
      <c r="BN297" t="s">
        <v>74</v>
      </c>
      <c r="BO297" t="s">
        <v>74</v>
      </c>
      <c r="BP297" t="s">
        <v>74</v>
      </c>
      <c r="BQ297" t="s">
        <v>74</v>
      </c>
      <c r="BR297" t="s">
        <v>105</v>
      </c>
      <c r="BS297" t="s">
        <v>6014</v>
      </c>
      <c r="BT297" t="str">
        <f>HYPERLINK("https%3A%2F%2Fwww.webofscience.com%2Fwos%2Fwoscc%2Ffull-record%2FWOS:000450864600151","View Full Record in Web of Science")</f>
        <v>View Full Record in Web of Science</v>
      </c>
    </row>
    <row r="298" spans="1:72" x14ac:dyDescent="0.15">
      <c r="A298" t="s">
        <v>2085</v>
      </c>
      <c r="B298" t="s">
        <v>6015</v>
      </c>
      <c r="C298" t="s">
        <v>74</v>
      </c>
      <c r="D298" t="s">
        <v>6016</v>
      </c>
      <c r="E298" t="s">
        <v>74</v>
      </c>
      <c r="F298" t="s">
        <v>6017</v>
      </c>
      <c r="G298" t="s">
        <v>74</v>
      </c>
      <c r="H298" t="s">
        <v>74</v>
      </c>
      <c r="I298" t="s">
        <v>6018</v>
      </c>
      <c r="J298" t="s">
        <v>6019</v>
      </c>
      <c r="K298" t="s">
        <v>74</v>
      </c>
      <c r="L298" t="s">
        <v>74</v>
      </c>
      <c r="M298" t="s">
        <v>78</v>
      </c>
      <c r="N298" t="s">
        <v>1862</v>
      </c>
      <c r="O298" t="s">
        <v>74</v>
      </c>
      <c r="P298" t="s">
        <v>74</v>
      </c>
      <c r="Q298" t="s">
        <v>74</v>
      </c>
      <c r="R298" t="s">
        <v>74</v>
      </c>
      <c r="S298" t="s">
        <v>74</v>
      </c>
      <c r="T298" t="s">
        <v>74</v>
      </c>
      <c r="U298" t="s">
        <v>6020</v>
      </c>
      <c r="V298" t="s">
        <v>74</v>
      </c>
      <c r="W298" t="s">
        <v>6021</v>
      </c>
      <c r="X298" t="s">
        <v>6022</v>
      </c>
      <c r="Y298" t="s">
        <v>6023</v>
      </c>
      <c r="Z298" t="s">
        <v>74</v>
      </c>
      <c r="AA298" t="s">
        <v>74</v>
      </c>
      <c r="AB298" t="s">
        <v>74</v>
      </c>
      <c r="AC298" t="s">
        <v>74</v>
      </c>
      <c r="AD298" t="s">
        <v>74</v>
      </c>
      <c r="AE298" t="s">
        <v>74</v>
      </c>
      <c r="AF298" t="s">
        <v>74</v>
      </c>
      <c r="AG298">
        <v>147</v>
      </c>
      <c r="AH298">
        <v>1</v>
      </c>
      <c r="AI298">
        <v>2</v>
      </c>
      <c r="AJ298">
        <v>1</v>
      </c>
      <c r="AK298">
        <v>9</v>
      </c>
      <c r="AL298" t="s">
        <v>6024</v>
      </c>
      <c r="AM298" t="s">
        <v>6025</v>
      </c>
      <c r="AN298" t="s">
        <v>6026</v>
      </c>
      <c r="AO298" t="s">
        <v>74</v>
      </c>
      <c r="AP298" t="s">
        <v>74</v>
      </c>
      <c r="AQ298" t="s">
        <v>6027</v>
      </c>
      <c r="AR298" t="s">
        <v>74</v>
      </c>
      <c r="AS298" t="s">
        <v>74</v>
      </c>
      <c r="AT298" t="s">
        <v>74</v>
      </c>
      <c r="AU298">
        <v>2018</v>
      </c>
      <c r="AV298" t="s">
        <v>74</v>
      </c>
      <c r="AW298" t="s">
        <v>74</v>
      </c>
      <c r="AX298" t="s">
        <v>74</v>
      </c>
      <c r="AY298" t="s">
        <v>74</v>
      </c>
      <c r="AZ298" t="s">
        <v>74</v>
      </c>
      <c r="BA298" t="s">
        <v>74</v>
      </c>
      <c r="BB298">
        <v>185</v>
      </c>
      <c r="BC298">
        <v>208</v>
      </c>
      <c r="BD298" t="s">
        <v>74</v>
      </c>
      <c r="BE298" t="s">
        <v>74</v>
      </c>
      <c r="BF298" t="s">
        <v>74</v>
      </c>
      <c r="BG298" t="s">
        <v>6028</v>
      </c>
      <c r="BH298" t="s">
        <v>74</v>
      </c>
      <c r="BI298">
        <v>24</v>
      </c>
      <c r="BJ298" t="s">
        <v>6029</v>
      </c>
      <c r="BK298" t="s">
        <v>1856</v>
      </c>
      <c r="BL298" t="s">
        <v>6030</v>
      </c>
      <c r="BM298" t="s">
        <v>6031</v>
      </c>
      <c r="BN298" t="s">
        <v>74</v>
      </c>
      <c r="BO298" t="s">
        <v>74</v>
      </c>
      <c r="BP298" t="s">
        <v>74</v>
      </c>
      <c r="BQ298" t="s">
        <v>74</v>
      </c>
      <c r="BR298" t="s">
        <v>105</v>
      </c>
      <c r="BS298" t="s">
        <v>6032</v>
      </c>
      <c r="BT298" t="str">
        <f>HYPERLINK("https%3A%2F%2Fwww.webofscience.com%2Fwos%2Fwoscc%2Ffull-record%2FWOS:000450028700010","View Full Record in Web of Science")</f>
        <v>View Full Record in Web of Science</v>
      </c>
    </row>
    <row r="299" spans="1:72" x14ac:dyDescent="0.15">
      <c r="A299" t="s">
        <v>1776</v>
      </c>
      <c r="B299" t="s">
        <v>6033</v>
      </c>
      <c r="C299" t="s">
        <v>74</v>
      </c>
      <c r="D299" t="s">
        <v>74</v>
      </c>
      <c r="E299" t="s">
        <v>6034</v>
      </c>
      <c r="F299" t="s">
        <v>6035</v>
      </c>
      <c r="G299" t="s">
        <v>74</v>
      </c>
      <c r="H299" t="s">
        <v>74</v>
      </c>
      <c r="I299" t="s">
        <v>6036</v>
      </c>
      <c r="J299" t="s">
        <v>6037</v>
      </c>
      <c r="K299" t="s">
        <v>6038</v>
      </c>
      <c r="L299" t="s">
        <v>74</v>
      </c>
      <c r="M299" t="s">
        <v>78</v>
      </c>
      <c r="N299" t="s">
        <v>1782</v>
      </c>
      <c r="O299" t="s">
        <v>6039</v>
      </c>
      <c r="P299" t="s">
        <v>6040</v>
      </c>
      <c r="Q299" t="s">
        <v>6041</v>
      </c>
      <c r="R299" t="s">
        <v>74</v>
      </c>
      <c r="S299" t="s">
        <v>74</v>
      </c>
      <c r="T299" t="s">
        <v>74</v>
      </c>
      <c r="U299" t="s">
        <v>74</v>
      </c>
      <c r="V299" t="s">
        <v>6042</v>
      </c>
      <c r="W299" t="s">
        <v>6043</v>
      </c>
      <c r="X299" t="s">
        <v>6044</v>
      </c>
      <c r="Y299" t="s">
        <v>6045</v>
      </c>
      <c r="Z299" t="s">
        <v>74</v>
      </c>
      <c r="AA299" t="s">
        <v>6046</v>
      </c>
      <c r="AB299" t="s">
        <v>6047</v>
      </c>
      <c r="AC299" t="s">
        <v>6048</v>
      </c>
      <c r="AD299" t="s">
        <v>6048</v>
      </c>
      <c r="AE299" t="s">
        <v>6049</v>
      </c>
      <c r="AF299" t="s">
        <v>74</v>
      </c>
      <c r="AG299">
        <v>12</v>
      </c>
      <c r="AH299">
        <v>1</v>
      </c>
      <c r="AI299">
        <v>1</v>
      </c>
      <c r="AJ299">
        <v>0</v>
      </c>
      <c r="AK299">
        <v>3</v>
      </c>
      <c r="AL299" t="s">
        <v>6050</v>
      </c>
      <c r="AM299" t="s">
        <v>1797</v>
      </c>
      <c r="AN299" t="s">
        <v>6051</v>
      </c>
      <c r="AO299" t="s">
        <v>6052</v>
      </c>
      <c r="AP299" t="s">
        <v>74</v>
      </c>
      <c r="AQ299" t="s">
        <v>6053</v>
      </c>
      <c r="AR299" t="s">
        <v>6054</v>
      </c>
      <c r="AS299" t="s">
        <v>74</v>
      </c>
      <c r="AT299" t="s">
        <v>74</v>
      </c>
      <c r="AU299">
        <v>2018</v>
      </c>
      <c r="AV299" t="s">
        <v>74</v>
      </c>
      <c r="AW299" t="s">
        <v>74</v>
      </c>
      <c r="AX299" t="s">
        <v>74</v>
      </c>
      <c r="AY299" t="s">
        <v>74</v>
      </c>
      <c r="AZ299" t="s">
        <v>74</v>
      </c>
      <c r="BA299" t="s">
        <v>74</v>
      </c>
      <c r="BB299" t="s">
        <v>74</v>
      </c>
      <c r="BC299" t="s">
        <v>74</v>
      </c>
      <c r="BD299" t="s">
        <v>6055</v>
      </c>
      <c r="BE299" t="s">
        <v>74</v>
      </c>
      <c r="BF299" t="s">
        <v>74</v>
      </c>
      <c r="BG299" t="s">
        <v>74</v>
      </c>
      <c r="BH299" t="s">
        <v>74</v>
      </c>
      <c r="BI299">
        <v>7</v>
      </c>
      <c r="BJ299" t="s">
        <v>6056</v>
      </c>
      <c r="BK299" t="s">
        <v>1801</v>
      </c>
      <c r="BL299" t="s">
        <v>2155</v>
      </c>
      <c r="BM299" t="s">
        <v>6057</v>
      </c>
      <c r="BN299" t="s">
        <v>74</v>
      </c>
      <c r="BO299" t="s">
        <v>74</v>
      </c>
      <c r="BP299" t="s">
        <v>74</v>
      </c>
      <c r="BQ299" t="s">
        <v>74</v>
      </c>
      <c r="BR299" t="s">
        <v>105</v>
      </c>
      <c r="BS299" t="s">
        <v>6058</v>
      </c>
      <c r="BT299" t="str">
        <f>HYPERLINK("https%3A%2F%2Fwww.webofscience.com%2Fwos%2Fwoscc%2Ffull-record%2FWOS:000449724500005","View Full Record in Web of Science")</f>
        <v>View Full Record in Web of Science</v>
      </c>
    </row>
    <row r="300" spans="1:72" x14ac:dyDescent="0.15">
      <c r="A300" t="s">
        <v>1831</v>
      </c>
      <c r="B300" t="s">
        <v>6059</v>
      </c>
      <c r="C300" t="s">
        <v>74</v>
      </c>
      <c r="D300" t="s">
        <v>6060</v>
      </c>
      <c r="E300" t="s">
        <v>74</v>
      </c>
      <c r="F300" t="s">
        <v>6061</v>
      </c>
      <c r="G300" t="s">
        <v>74</v>
      </c>
      <c r="H300" t="s">
        <v>74</v>
      </c>
      <c r="I300" t="s">
        <v>6062</v>
      </c>
      <c r="J300" t="s">
        <v>6063</v>
      </c>
      <c r="K300" t="s">
        <v>6064</v>
      </c>
      <c r="L300" t="s">
        <v>74</v>
      </c>
      <c r="M300" t="s">
        <v>78</v>
      </c>
      <c r="N300" t="s">
        <v>1838</v>
      </c>
      <c r="O300" t="s">
        <v>74</v>
      </c>
      <c r="P300" t="s">
        <v>74</v>
      </c>
      <c r="Q300" t="s">
        <v>74</v>
      </c>
      <c r="R300" t="s">
        <v>74</v>
      </c>
      <c r="S300" t="s">
        <v>74</v>
      </c>
      <c r="T300" t="s">
        <v>6065</v>
      </c>
      <c r="U300" t="s">
        <v>6066</v>
      </c>
      <c r="V300" t="s">
        <v>6067</v>
      </c>
      <c r="W300" t="s">
        <v>6068</v>
      </c>
      <c r="X300" t="s">
        <v>6069</v>
      </c>
      <c r="Y300" t="s">
        <v>6070</v>
      </c>
      <c r="Z300" t="s">
        <v>6071</v>
      </c>
      <c r="AA300" t="s">
        <v>6072</v>
      </c>
      <c r="AB300" t="s">
        <v>6073</v>
      </c>
      <c r="AC300" t="s">
        <v>74</v>
      </c>
      <c r="AD300" t="s">
        <v>74</v>
      </c>
      <c r="AE300" t="s">
        <v>74</v>
      </c>
      <c r="AF300" t="s">
        <v>74</v>
      </c>
      <c r="AG300">
        <v>178</v>
      </c>
      <c r="AH300">
        <v>25</v>
      </c>
      <c r="AI300">
        <v>25</v>
      </c>
      <c r="AJ300">
        <v>8</v>
      </c>
      <c r="AK300">
        <v>59</v>
      </c>
      <c r="AL300" t="s">
        <v>3849</v>
      </c>
      <c r="AM300" t="s">
        <v>3850</v>
      </c>
      <c r="AN300" t="s">
        <v>3851</v>
      </c>
      <c r="AO300" t="s">
        <v>6074</v>
      </c>
      <c r="AP300" t="s">
        <v>74</v>
      </c>
      <c r="AQ300" t="s">
        <v>6075</v>
      </c>
      <c r="AR300" t="s">
        <v>6076</v>
      </c>
      <c r="AS300" t="s">
        <v>6077</v>
      </c>
      <c r="AT300" t="s">
        <v>74</v>
      </c>
      <c r="AU300">
        <v>2018</v>
      </c>
      <c r="AV300">
        <v>43</v>
      </c>
      <c r="AW300" t="s">
        <v>74</v>
      </c>
      <c r="AX300" t="s">
        <v>74</v>
      </c>
      <c r="AY300" t="s">
        <v>74</v>
      </c>
      <c r="AZ300" t="s">
        <v>74</v>
      </c>
      <c r="BA300" t="s">
        <v>74</v>
      </c>
      <c r="BB300">
        <v>135</v>
      </c>
      <c r="BC300">
        <v>163</v>
      </c>
      <c r="BD300" t="s">
        <v>74</v>
      </c>
      <c r="BE300" t="s">
        <v>6078</v>
      </c>
      <c r="BF300" t="str">
        <f>HYPERLINK("http://dx.doi.org/10.1146/annurev-environ-102017-025835","http://dx.doi.org/10.1146/annurev-environ-102017-025835")</f>
        <v>http://dx.doi.org/10.1146/annurev-environ-102017-025835</v>
      </c>
      <c r="BG300" t="s">
        <v>74</v>
      </c>
      <c r="BH300" t="s">
        <v>74</v>
      </c>
      <c r="BI300">
        <v>29</v>
      </c>
      <c r="BJ300" t="s">
        <v>6079</v>
      </c>
      <c r="BK300" t="s">
        <v>6080</v>
      </c>
      <c r="BL300" t="s">
        <v>1120</v>
      </c>
      <c r="BM300" t="s">
        <v>6081</v>
      </c>
      <c r="BN300" t="s">
        <v>74</v>
      </c>
      <c r="BO300" t="s">
        <v>160</v>
      </c>
      <c r="BP300" t="s">
        <v>74</v>
      </c>
      <c r="BQ300" t="s">
        <v>74</v>
      </c>
      <c r="BR300" t="s">
        <v>105</v>
      </c>
      <c r="BS300" t="s">
        <v>6082</v>
      </c>
      <c r="BT300" t="str">
        <f>HYPERLINK("https%3A%2F%2Fwww.webofscience.com%2Fwos%2Fwoscc%2Ffull-record%2FWOS:000448517600006","View Full Record in Web of Science")</f>
        <v>View Full Record in Web of Science</v>
      </c>
    </row>
    <row r="301" spans="1:72" x14ac:dyDescent="0.15">
      <c r="A301" t="s">
        <v>1776</v>
      </c>
      <c r="B301" t="s">
        <v>6083</v>
      </c>
      <c r="C301" t="s">
        <v>74</v>
      </c>
      <c r="D301" t="s">
        <v>6084</v>
      </c>
      <c r="E301" t="s">
        <v>74</v>
      </c>
      <c r="F301" t="s">
        <v>6085</v>
      </c>
      <c r="G301" t="s">
        <v>74</v>
      </c>
      <c r="H301" t="s">
        <v>74</v>
      </c>
      <c r="I301" t="s">
        <v>6086</v>
      </c>
      <c r="J301" t="s">
        <v>6087</v>
      </c>
      <c r="K301" t="s">
        <v>1988</v>
      </c>
      <c r="L301" t="s">
        <v>74</v>
      </c>
      <c r="M301" t="s">
        <v>78</v>
      </c>
      <c r="N301" t="s">
        <v>1782</v>
      </c>
      <c r="O301" t="s">
        <v>6088</v>
      </c>
      <c r="P301" t="s">
        <v>6089</v>
      </c>
      <c r="Q301" t="s">
        <v>6090</v>
      </c>
      <c r="R301" t="s">
        <v>74</v>
      </c>
      <c r="S301" t="s">
        <v>6091</v>
      </c>
      <c r="T301" t="s">
        <v>6092</v>
      </c>
      <c r="U301" t="s">
        <v>6093</v>
      </c>
      <c r="V301" t="s">
        <v>6094</v>
      </c>
      <c r="W301" t="s">
        <v>6095</v>
      </c>
      <c r="X301" t="s">
        <v>6096</v>
      </c>
      <c r="Y301" t="s">
        <v>6097</v>
      </c>
      <c r="Z301" t="s">
        <v>6098</v>
      </c>
      <c r="AA301" t="s">
        <v>6099</v>
      </c>
      <c r="AB301" t="s">
        <v>6100</v>
      </c>
      <c r="AC301" t="s">
        <v>6101</v>
      </c>
      <c r="AD301" t="s">
        <v>6101</v>
      </c>
      <c r="AE301" t="s">
        <v>6102</v>
      </c>
      <c r="AF301" t="s">
        <v>74</v>
      </c>
      <c r="AG301">
        <v>34</v>
      </c>
      <c r="AH301">
        <v>0</v>
      </c>
      <c r="AI301">
        <v>0</v>
      </c>
      <c r="AJ301">
        <v>0</v>
      </c>
      <c r="AK301">
        <v>9</v>
      </c>
      <c r="AL301" t="s">
        <v>2002</v>
      </c>
      <c r="AM301" t="s">
        <v>2003</v>
      </c>
      <c r="AN301" t="s">
        <v>2004</v>
      </c>
      <c r="AO301" t="s">
        <v>2005</v>
      </c>
      <c r="AP301" t="s">
        <v>74</v>
      </c>
      <c r="AQ301" t="s">
        <v>6103</v>
      </c>
      <c r="AR301" t="s">
        <v>2007</v>
      </c>
      <c r="AS301" t="s">
        <v>74</v>
      </c>
      <c r="AT301" t="s">
        <v>74</v>
      </c>
      <c r="AU301">
        <v>2018</v>
      </c>
      <c r="AV301">
        <v>2002</v>
      </c>
      <c r="AW301" t="s">
        <v>74</v>
      </c>
      <c r="AX301" t="s">
        <v>74</v>
      </c>
      <c r="AY301" t="s">
        <v>74</v>
      </c>
      <c r="AZ301" t="s">
        <v>74</v>
      </c>
      <c r="BA301" t="s">
        <v>74</v>
      </c>
      <c r="BB301" t="s">
        <v>74</v>
      </c>
      <c r="BC301" t="s">
        <v>74</v>
      </c>
      <c r="BD301">
        <v>20061</v>
      </c>
      <c r="BE301" t="s">
        <v>6104</v>
      </c>
      <c r="BF301" t="str">
        <f>HYPERLINK("http://dx.doi.org/10.1063/1.5050157","http://dx.doi.org/10.1063/1.5050157")</f>
        <v>http://dx.doi.org/10.1063/1.5050157</v>
      </c>
      <c r="BG301" t="s">
        <v>74</v>
      </c>
      <c r="BH301" t="s">
        <v>74</v>
      </c>
      <c r="BI301">
        <v>7</v>
      </c>
      <c r="BJ301" t="s">
        <v>6105</v>
      </c>
      <c r="BK301" t="s">
        <v>1801</v>
      </c>
      <c r="BL301" t="s">
        <v>6106</v>
      </c>
      <c r="BM301" t="s">
        <v>6107</v>
      </c>
      <c r="BN301" t="s">
        <v>74</v>
      </c>
      <c r="BO301" t="s">
        <v>306</v>
      </c>
      <c r="BP301" t="s">
        <v>74</v>
      </c>
      <c r="BQ301" t="s">
        <v>74</v>
      </c>
      <c r="BR301" t="s">
        <v>105</v>
      </c>
      <c r="BS301" t="s">
        <v>6108</v>
      </c>
      <c r="BT301" t="str">
        <f>HYPERLINK("https%3A%2F%2Fwww.webofscience.com%2Fwos%2Fwoscc%2Ffull-record%2FWOS:000447843600061","View Full Record in Web of Science")</f>
        <v>View Full Record in Web of Science</v>
      </c>
    </row>
    <row r="302" spans="1:72" x14ac:dyDescent="0.15">
      <c r="A302" t="s">
        <v>1776</v>
      </c>
      <c r="B302" t="s">
        <v>6109</v>
      </c>
      <c r="C302" t="s">
        <v>74</v>
      </c>
      <c r="D302" t="s">
        <v>6110</v>
      </c>
      <c r="E302" t="s">
        <v>74</v>
      </c>
      <c r="F302" t="s">
        <v>6111</v>
      </c>
      <c r="G302" t="s">
        <v>74</v>
      </c>
      <c r="H302" t="s">
        <v>74</v>
      </c>
      <c r="I302" t="s">
        <v>6112</v>
      </c>
      <c r="J302" t="s">
        <v>6113</v>
      </c>
      <c r="K302" t="s">
        <v>6114</v>
      </c>
      <c r="L302" t="s">
        <v>74</v>
      </c>
      <c r="M302" t="s">
        <v>78</v>
      </c>
      <c r="N302" t="s">
        <v>1782</v>
      </c>
      <c r="O302" t="s">
        <v>6115</v>
      </c>
      <c r="P302" t="s">
        <v>6116</v>
      </c>
      <c r="Q302" t="s">
        <v>6117</v>
      </c>
      <c r="R302" t="s">
        <v>74</v>
      </c>
      <c r="S302" t="s">
        <v>74</v>
      </c>
      <c r="T302" t="s">
        <v>6118</v>
      </c>
      <c r="U302" t="s">
        <v>74</v>
      </c>
      <c r="V302" t="s">
        <v>6119</v>
      </c>
      <c r="W302" t="s">
        <v>6120</v>
      </c>
      <c r="X302" t="s">
        <v>74</v>
      </c>
      <c r="Y302" t="s">
        <v>6121</v>
      </c>
      <c r="Z302" t="s">
        <v>6122</v>
      </c>
      <c r="AA302" t="s">
        <v>74</v>
      </c>
      <c r="AB302" t="s">
        <v>74</v>
      </c>
      <c r="AC302" t="s">
        <v>74</v>
      </c>
      <c r="AD302" t="s">
        <v>74</v>
      </c>
      <c r="AE302" t="s">
        <v>74</v>
      </c>
      <c r="AF302" t="s">
        <v>74</v>
      </c>
      <c r="AG302">
        <v>4</v>
      </c>
      <c r="AH302">
        <v>1</v>
      </c>
      <c r="AI302">
        <v>1</v>
      </c>
      <c r="AJ302">
        <v>1</v>
      </c>
      <c r="AK302">
        <v>4</v>
      </c>
      <c r="AL302" t="s">
        <v>6123</v>
      </c>
      <c r="AM302" t="s">
        <v>3395</v>
      </c>
      <c r="AN302" t="s">
        <v>6124</v>
      </c>
      <c r="AO302" t="s">
        <v>6125</v>
      </c>
      <c r="AP302" t="s">
        <v>74</v>
      </c>
      <c r="AQ302" t="s">
        <v>6126</v>
      </c>
      <c r="AR302" t="s">
        <v>6127</v>
      </c>
      <c r="AS302" t="s">
        <v>74</v>
      </c>
      <c r="AT302" t="s">
        <v>74</v>
      </c>
      <c r="AU302">
        <v>2018</v>
      </c>
      <c r="AV302">
        <v>181</v>
      </c>
      <c r="AW302" t="s">
        <v>74</v>
      </c>
      <c r="AX302" t="s">
        <v>74</v>
      </c>
      <c r="AY302" t="s">
        <v>74</v>
      </c>
      <c r="AZ302" t="s">
        <v>74</v>
      </c>
      <c r="BA302" t="s">
        <v>74</v>
      </c>
      <c r="BB302">
        <v>374</v>
      </c>
      <c r="BC302">
        <v>377</v>
      </c>
      <c r="BD302" t="s">
        <v>74</v>
      </c>
      <c r="BE302" t="s">
        <v>74</v>
      </c>
      <c r="BF302" t="s">
        <v>74</v>
      </c>
      <c r="BG302" t="s">
        <v>74</v>
      </c>
      <c r="BH302" t="s">
        <v>74</v>
      </c>
      <c r="BI302">
        <v>4</v>
      </c>
      <c r="BJ302" t="s">
        <v>6128</v>
      </c>
      <c r="BK302" t="s">
        <v>6129</v>
      </c>
      <c r="BL302" t="s">
        <v>6130</v>
      </c>
      <c r="BM302" t="s">
        <v>6131</v>
      </c>
      <c r="BN302" t="s">
        <v>74</v>
      </c>
      <c r="BO302" t="s">
        <v>74</v>
      </c>
      <c r="BP302" t="s">
        <v>74</v>
      </c>
      <c r="BQ302" t="s">
        <v>74</v>
      </c>
      <c r="BR302" t="s">
        <v>105</v>
      </c>
      <c r="BS302" t="s">
        <v>6132</v>
      </c>
      <c r="BT302" t="str">
        <f>HYPERLINK("https%3A%2F%2Fwww.webofscience.com%2Fwos%2Fwoscc%2Ffull-record%2FWOS:000448308500092","View Full Record in Web of Science")</f>
        <v>View Full Record in Web of Science</v>
      </c>
    </row>
    <row r="303" spans="1:72" x14ac:dyDescent="0.15">
      <c r="A303" t="s">
        <v>72</v>
      </c>
      <c r="B303" t="s">
        <v>6133</v>
      </c>
      <c r="C303" t="s">
        <v>74</v>
      </c>
      <c r="D303" t="s">
        <v>74</v>
      </c>
      <c r="E303" t="s">
        <v>74</v>
      </c>
      <c r="F303" t="s">
        <v>6134</v>
      </c>
      <c r="G303" t="s">
        <v>74</v>
      </c>
      <c r="H303" t="s">
        <v>74</v>
      </c>
      <c r="I303" t="s">
        <v>6135</v>
      </c>
      <c r="J303" t="s">
        <v>6136</v>
      </c>
      <c r="K303" t="s">
        <v>74</v>
      </c>
      <c r="L303" t="s">
        <v>74</v>
      </c>
      <c r="M303" t="s">
        <v>78</v>
      </c>
      <c r="N303" t="s">
        <v>6137</v>
      </c>
      <c r="O303" t="s">
        <v>74</v>
      </c>
      <c r="P303" t="s">
        <v>74</v>
      </c>
      <c r="Q303" t="s">
        <v>74</v>
      </c>
      <c r="R303" t="s">
        <v>74</v>
      </c>
      <c r="S303" t="s">
        <v>74</v>
      </c>
      <c r="T303" t="s">
        <v>74</v>
      </c>
      <c r="U303" t="s">
        <v>74</v>
      </c>
      <c r="V303" t="s">
        <v>74</v>
      </c>
      <c r="W303" t="s">
        <v>74</v>
      </c>
      <c r="X303" t="s">
        <v>74</v>
      </c>
      <c r="Y303" t="s">
        <v>74</v>
      </c>
      <c r="Z303" t="s">
        <v>6138</v>
      </c>
      <c r="AA303" t="s">
        <v>74</v>
      </c>
      <c r="AB303" t="s">
        <v>74</v>
      </c>
      <c r="AC303" t="s">
        <v>74</v>
      </c>
      <c r="AD303" t="s">
        <v>74</v>
      </c>
      <c r="AE303" t="s">
        <v>74</v>
      </c>
      <c r="AF303" t="s">
        <v>74</v>
      </c>
      <c r="AG303">
        <v>0</v>
      </c>
      <c r="AH303">
        <v>0</v>
      </c>
      <c r="AI303">
        <v>0</v>
      </c>
      <c r="AJ303">
        <v>0</v>
      </c>
      <c r="AK303">
        <v>0</v>
      </c>
      <c r="AL303" t="s">
        <v>6139</v>
      </c>
      <c r="AM303" t="s">
        <v>123</v>
      </c>
      <c r="AN303" t="s">
        <v>6140</v>
      </c>
      <c r="AO303" t="s">
        <v>6141</v>
      </c>
      <c r="AP303" t="s">
        <v>6142</v>
      </c>
      <c r="AQ303" t="s">
        <v>74</v>
      </c>
      <c r="AR303" t="s">
        <v>6143</v>
      </c>
      <c r="AS303" t="s">
        <v>6144</v>
      </c>
      <c r="AT303" t="s">
        <v>74</v>
      </c>
      <c r="AU303">
        <v>2018</v>
      </c>
      <c r="AV303">
        <v>82</v>
      </c>
      <c r="AW303">
        <v>8</v>
      </c>
      <c r="AX303" t="s">
        <v>74</v>
      </c>
      <c r="AY303" t="s">
        <v>74</v>
      </c>
      <c r="AZ303" t="s">
        <v>74</v>
      </c>
      <c r="BA303" t="s">
        <v>74</v>
      </c>
      <c r="BB303">
        <v>11</v>
      </c>
      <c r="BC303">
        <v>11</v>
      </c>
      <c r="BD303" t="s">
        <v>74</v>
      </c>
      <c r="BE303" t="s">
        <v>74</v>
      </c>
      <c r="BF303" t="s">
        <v>74</v>
      </c>
      <c r="BG303" t="s">
        <v>74</v>
      </c>
      <c r="BH303" t="s">
        <v>74</v>
      </c>
      <c r="BI303">
        <v>1</v>
      </c>
      <c r="BJ303" t="s">
        <v>6145</v>
      </c>
      <c r="BK303" t="s">
        <v>101</v>
      </c>
      <c r="BL303" t="s">
        <v>4185</v>
      </c>
      <c r="BM303" t="s">
        <v>6146</v>
      </c>
      <c r="BN303" t="s">
        <v>74</v>
      </c>
      <c r="BO303" t="s">
        <v>74</v>
      </c>
      <c r="BP303" t="s">
        <v>74</v>
      </c>
      <c r="BQ303" t="s">
        <v>74</v>
      </c>
      <c r="BR303" t="s">
        <v>105</v>
      </c>
      <c r="BS303" t="s">
        <v>6147</v>
      </c>
      <c r="BT303" t="str">
        <f>HYPERLINK("https%3A%2F%2Fwww.webofscience.com%2Fwos%2Fwoscc%2Ffull-record%2FWOS:000447754200024","View Full Record in Web of Science")</f>
        <v>View Full Record in Web of Science</v>
      </c>
    </row>
    <row r="304" spans="1:72" x14ac:dyDescent="0.15">
      <c r="A304" t="s">
        <v>1831</v>
      </c>
      <c r="B304" t="s">
        <v>6148</v>
      </c>
      <c r="C304" t="s">
        <v>74</v>
      </c>
      <c r="D304" t="s">
        <v>6149</v>
      </c>
      <c r="E304" t="s">
        <v>74</v>
      </c>
      <c r="F304" t="s">
        <v>6150</v>
      </c>
      <c r="G304" t="s">
        <v>74</v>
      </c>
      <c r="H304" t="s">
        <v>74</v>
      </c>
      <c r="I304" t="s">
        <v>6151</v>
      </c>
      <c r="J304" t="s">
        <v>6152</v>
      </c>
      <c r="K304" t="s">
        <v>6153</v>
      </c>
      <c r="L304" t="s">
        <v>74</v>
      </c>
      <c r="M304" t="s">
        <v>78</v>
      </c>
      <c r="N304" t="s">
        <v>1862</v>
      </c>
      <c r="O304" t="s">
        <v>74</v>
      </c>
      <c r="P304" t="s">
        <v>74</v>
      </c>
      <c r="Q304" t="s">
        <v>74</v>
      </c>
      <c r="R304" t="s">
        <v>74</v>
      </c>
      <c r="S304" t="s">
        <v>74</v>
      </c>
      <c r="T304" t="s">
        <v>74</v>
      </c>
      <c r="U304" t="s">
        <v>6154</v>
      </c>
      <c r="V304" t="s">
        <v>6155</v>
      </c>
      <c r="W304" t="s">
        <v>6156</v>
      </c>
      <c r="X304" t="s">
        <v>6157</v>
      </c>
      <c r="Y304" t="s">
        <v>6158</v>
      </c>
      <c r="Z304" t="s">
        <v>6159</v>
      </c>
      <c r="AA304" t="s">
        <v>74</v>
      </c>
      <c r="AB304" t="s">
        <v>74</v>
      </c>
      <c r="AC304" t="s">
        <v>74</v>
      </c>
      <c r="AD304" t="s">
        <v>74</v>
      </c>
      <c r="AE304" t="s">
        <v>74</v>
      </c>
      <c r="AF304" t="s">
        <v>74</v>
      </c>
      <c r="AG304">
        <v>28</v>
      </c>
      <c r="AH304">
        <v>1</v>
      </c>
      <c r="AI304">
        <v>1</v>
      </c>
      <c r="AJ304">
        <v>0</v>
      </c>
      <c r="AK304">
        <v>0</v>
      </c>
      <c r="AL304" t="s">
        <v>1898</v>
      </c>
      <c r="AM304" t="s">
        <v>1899</v>
      </c>
      <c r="AN304" t="s">
        <v>1900</v>
      </c>
      <c r="AO304" t="s">
        <v>6160</v>
      </c>
      <c r="AP304" t="s">
        <v>6161</v>
      </c>
      <c r="AQ304" t="s">
        <v>6162</v>
      </c>
      <c r="AR304" t="s">
        <v>6163</v>
      </c>
      <c r="AS304" t="s">
        <v>74</v>
      </c>
      <c r="AT304" t="s">
        <v>74</v>
      </c>
      <c r="AU304">
        <v>2018</v>
      </c>
      <c r="AV304" t="s">
        <v>74</v>
      </c>
      <c r="AW304" t="s">
        <v>74</v>
      </c>
      <c r="AX304" t="s">
        <v>74</v>
      </c>
      <c r="AY304" t="s">
        <v>74</v>
      </c>
      <c r="AZ304" t="s">
        <v>74</v>
      </c>
      <c r="BA304" t="s">
        <v>74</v>
      </c>
      <c r="BB304">
        <v>377</v>
      </c>
      <c r="BC304">
        <v>387</v>
      </c>
      <c r="BD304" t="s">
        <v>74</v>
      </c>
      <c r="BE304" t="s">
        <v>6164</v>
      </c>
      <c r="BF304" t="str">
        <f>HYPERLINK("http://dx.doi.org/10.1007/978-3-319-77359-9_17","http://dx.doi.org/10.1007/978-3-319-77359-9_17")</f>
        <v>http://dx.doi.org/10.1007/978-3-319-77359-9_17</v>
      </c>
      <c r="BG304" t="s">
        <v>6165</v>
      </c>
      <c r="BH304" t="s">
        <v>74</v>
      </c>
      <c r="BI304">
        <v>11</v>
      </c>
      <c r="BJ304" t="s">
        <v>1148</v>
      </c>
      <c r="BK304" t="s">
        <v>1856</v>
      </c>
      <c r="BL304" t="s">
        <v>1148</v>
      </c>
      <c r="BM304" t="s">
        <v>6166</v>
      </c>
      <c r="BN304" t="s">
        <v>74</v>
      </c>
      <c r="BO304" t="s">
        <v>74</v>
      </c>
      <c r="BP304" t="s">
        <v>74</v>
      </c>
      <c r="BQ304" t="s">
        <v>74</v>
      </c>
      <c r="BR304" t="s">
        <v>105</v>
      </c>
      <c r="BS304" t="s">
        <v>6167</v>
      </c>
      <c r="BT304" t="str">
        <f>HYPERLINK("https%3A%2F%2Fwww.webofscience.com%2Fwos%2Fwoscc%2Ffull-record%2FWOS:000442399200018","View Full Record in Web of Science")</f>
        <v>View Full Record in Web of Science</v>
      </c>
    </row>
    <row r="305" spans="1:72" x14ac:dyDescent="0.15">
      <c r="A305" t="s">
        <v>72</v>
      </c>
      <c r="B305" t="s">
        <v>6168</v>
      </c>
      <c r="C305" t="s">
        <v>74</v>
      </c>
      <c r="D305" t="s">
        <v>74</v>
      </c>
      <c r="E305" t="s">
        <v>74</v>
      </c>
      <c r="F305" t="s">
        <v>6169</v>
      </c>
      <c r="G305" t="s">
        <v>74</v>
      </c>
      <c r="H305" t="s">
        <v>74</v>
      </c>
      <c r="I305" t="s">
        <v>6170</v>
      </c>
      <c r="J305" t="s">
        <v>6171</v>
      </c>
      <c r="K305" t="s">
        <v>74</v>
      </c>
      <c r="L305" t="s">
        <v>74</v>
      </c>
      <c r="M305" t="s">
        <v>78</v>
      </c>
      <c r="N305" t="s">
        <v>79</v>
      </c>
      <c r="O305" t="s">
        <v>74</v>
      </c>
      <c r="P305" t="s">
        <v>74</v>
      </c>
      <c r="Q305" t="s">
        <v>74</v>
      </c>
      <c r="R305" t="s">
        <v>74</v>
      </c>
      <c r="S305" t="s">
        <v>74</v>
      </c>
      <c r="T305" t="s">
        <v>6172</v>
      </c>
      <c r="U305" t="s">
        <v>6173</v>
      </c>
      <c r="V305" t="s">
        <v>6174</v>
      </c>
      <c r="W305" t="s">
        <v>6175</v>
      </c>
      <c r="X305" t="s">
        <v>6176</v>
      </c>
      <c r="Y305" t="s">
        <v>6177</v>
      </c>
      <c r="Z305" t="s">
        <v>6178</v>
      </c>
      <c r="AA305" t="s">
        <v>6179</v>
      </c>
      <c r="AB305" t="s">
        <v>6180</v>
      </c>
      <c r="AC305" t="s">
        <v>6181</v>
      </c>
      <c r="AD305" t="s">
        <v>6182</v>
      </c>
      <c r="AE305" t="s">
        <v>6183</v>
      </c>
      <c r="AF305" t="s">
        <v>74</v>
      </c>
      <c r="AG305">
        <v>38</v>
      </c>
      <c r="AH305">
        <v>3</v>
      </c>
      <c r="AI305">
        <v>4</v>
      </c>
      <c r="AJ305">
        <v>3</v>
      </c>
      <c r="AK305">
        <v>19</v>
      </c>
      <c r="AL305" t="s">
        <v>6184</v>
      </c>
      <c r="AM305" t="s">
        <v>3248</v>
      </c>
      <c r="AN305" t="s">
        <v>6185</v>
      </c>
      <c r="AO305" t="s">
        <v>6186</v>
      </c>
      <c r="AP305" t="s">
        <v>74</v>
      </c>
      <c r="AQ305" t="s">
        <v>74</v>
      </c>
      <c r="AR305" t="s">
        <v>6187</v>
      </c>
      <c r="AS305" t="s">
        <v>6188</v>
      </c>
      <c r="AT305" t="s">
        <v>74</v>
      </c>
      <c r="AU305">
        <v>2018</v>
      </c>
      <c r="AV305">
        <v>67</v>
      </c>
      <c r="AW305">
        <v>3</v>
      </c>
      <c r="AX305" t="s">
        <v>74</v>
      </c>
      <c r="AY305" t="s">
        <v>74</v>
      </c>
      <c r="AZ305" t="s">
        <v>74</v>
      </c>
      <c r="BA305" t="s">
        <v>74</v>
      </c>
      <c r="BB305">
        <v>283</v>
      </c>
      <c r="BC305">
        <v>290</v>
      </c>
      <c r="BD305" t="s">
        <v>74</v>
      </c>
      <c r="BE305" t="s">
        <v>6189</v>
      </c>
      <c r="BF305" t="str">
        <f>HYPERLINK("http://dx.doi.org/10.21307/pjm-2018-033","http://dx.doi.org/10.21307/pjm-2018-033")</f>
        <v>http://dx.doi.org/10.21307/pjm-2018-033</v>
      </c>
      <c r="BG305" t="s">
        <v>74</v>
      </c>
      <c r="BH305" t="s">
        <v>74</v>
      </c>
      <c r="BI305">
        <v>8</v>
      </c>
      <c r="BJ305" t="s">
        <v>3806</v>
      </c>
      <c r="BK305" t="s">
        <v>101</v>
      </c>
      <c r="BL305" t="s">
        <v>3806</v>
      </c>
      <c r="BM305" t="s">
        <v>6190</v>
      </c>
      <c r="BN305">
        <v>30451444</v>
      </c>
      <c r="BO305" t="s">
        <v>681</v>
      </c>
      <c r="BP305" t="s">
        <v>74</v>
      </c>
      <c r="BQ305" t="s">
        <v>74</v>
      </c>
      <c r="BR305" t="s">
        <v>105</v>
      </c>
      <c r="BS305" t="s">
        <v>6191</v>
      </c>
      <c r="BT305" t="str">
        <f>HYPERLINK("https%3A%2F%2Fwww.webofscience.com%2Fwos%2Fwoscc%2Ffull-record%2FWOS:000446808100004","View Full Record in Web of Science")</f>
        <v>View Full Record in Web of Science</v>
      </c>
    </row>
    <row r="306" spans="1:72" x14ac:dyDescent="0.15">
      <c r="A306" t="s">
        <v>72</v>
      </c>
      <c r="B306" t="s">
        <v>6192</v>
      </c>
      <c r="C306" t="s">
        <v>74</v>
      </c>
      <c r="D306" t="s">
        <v>74</v>
      </c>
      <c r="E306" t="s">
        <v>74</v>
      </c>
      <c r="F306" t="s">
        <v>6193</v>
      </c>
      <c r="G306" t="s">
        <v>74</v>
      </c>
      <c r="H306" t="s">
        <v>74</v>
      </c>
      <c r="I306" t="s">
        <v>6194</v>
      </c>
      <c r="J306" t="s">
        <v>6195</v>
      </c>
      <c r="K306" t="s">
        <v>74</v>
      </c>
      <c r="L306" t="s">
        <v>74</v>
      </c>
      <c r="M306" t="s">
        <v>78</v>
      </c>
      <c r="N306" t="s">
        <v>79</v>
      </c>
      <c r="O306" t="s">
        <v>74</v>
      </c>
      <c r="P306" t="s">
        <v>74</v>
      </c>
      <c r="Q306" t="s">
        <v>74</v>
      </c>
      <c r="R306" t="s">
        <v>74</v>
      </c>
      <c r="S306" t="s">
        <v>74</v>
      </c>
      <c r="T306" t="s">
        <v>6196</v>
      </c>
      <c r="U306" t="s">
        <v>6197</v>
      </c>
      <c r="V306" t="s">
        <v>6198</v>
      </c>
      <c r="W306" t="s">
        <v>6199</v>
      </c>
      <c r="X306" t="s">
        <v>6200</v>
      </c>
      <c r="Y306" t="s">
        <v>6201</v>
      </c>
      <c r="Z306" t="s">
        <v>6202</v>
      </c>
      <c r="AA306" t="s">
        <v>6203</v>
      </c>
      <c r="AB306" t="s">
        <v>6204</v>
      </c>
      <c r="AC306" t="s">
        <v>6205</v>
      </c>
      <c r="AD306" t="s">
        <v>6206</v>
      </c>
      <c r="AE306" t="s">
        <v>6207</v>
      </c>
      <c r="AF306" t="s">
        <v>74</v>
      </c>
      <c r="AG306">
        <v>68</v>
      </c>
      <c r="AH306">
        <v>3</v>
      </c>
      <c r="AI306">
        <v>3</v>
      </c>
      <c r="AJ306">
        <v>0</v>
      </c>
      <c r="AK306">
        <v>8</v>
      </c>
      <c r="AL306" t="s">
        <v>1700</v>
      </c>
      <c r="AM306" t="s">
        <v>1701</v>
      </c>
      <c r="AN306" t="s">
        <v>1702</v>
      </c>
      <c r="AO306" t="s">
        <v>6208</v>
      </c>
      <c r="AP306" t="s">
        <v>6209</v>
      </c>
      <c r="AQ306" t="s">
        <v>74</v>
      </c>
      <c r="AR306" t="s">
        <v>6210</v>
      </c>
      <c r="AS306" t="s">
        <v>6211</v>
      </c>
      <c r="AT306" t="s">
        <v>74</v>
      </c>
      <c r="AU306">
        <v>2018</v>
      </c>
      <c r="AV306">
        <v>16</v>
      </c>
      <c r="AW306">
        <v>6</v>
      </c>
      <c r="AX306" t="s">
        <v>74</v>
      </c>
      <c r="AY306" t="s">
        <v>74</v>
      </c>
      <c r="AZ306" t="s">
        <v>74</v>
      </c>
      <c r="BA306" t="s">
        <v>74</v>
      </c>
      <c r="BB306">
        <v>576</v>
      </c>
      <c r="BC306">
        <v>586</v>
      </c>
      <c r="BD306" t="s">
        <v>74</v>
      </c>
      <c r="BE306" t="s">
        <v>6212</v>
      </c>
      <c r="BF306" t="str">
        <f>HYPERLINK("http://dx.doi.org/10.1080/14772000.2018.1457099","http://dx.doi.org/10.1080/14772000.2018.1457099")</f>
        <v>http://dx.doi.org/10.1080/14772000.2018.1457099</v>
      </c>
      <c r="BG306" t="s">
        <v>74</v>
      </c>
      <c r="BH306" t="s">
        <v>74</v>
      </c>
      <c r="BI306">
        <v>11</v>
      </c>
      <c r="BJ306" t="s">
        <v>6213</v>
      </c>
      <c r="BK306" t="s">
        <v>101</v>
      </c>
      <c r="BL306" t="s">
        <v>6214</v>
      </c>
      <c r="BM306" t="s">
        <v>6215</v>
      </c>
      <c r="BN306" t="s">
        <v>74</v>
      </c>
      <c r="BO306" t="s">
        <v>74</v>
      </c>
      <c r="BP306" t="s">
        <v>74</v>
      </c>
      <c r="BQ306" t="s">
        <v>74</v>
      </c>
      <c r="BR306" t="s">
        <v>105</v>
      </c>
      <c r="BS306" t="s">
        <v>6216</v>
      </c>
      <c r="BT306" t="str">
        <f>HYPERLINK("https%3A%2F%2Fwww.webofscience.com%2Fwos%2Fwoscc%2Ffull-record%2FWOS:000447395300006","View Full Record in Web of Science")</f>
        <v>View Full Record in Web of Science</v>
      </c>
    </row>
    <row r="307" spans="1:72" x14ac:dyDescent="0.15">
      <c r="A307" t="s">
        <v>72</v>
      </c>
      <c r="B307" t="s">
        <v>6217</v>
      </c>
      <c r="C307" t="s">
        <v>74</v>
      </c>
      <c r="D307" t="s">
        <v>74</v>
      </c>
      <c r="E307" t="s">
        <v>74</v>
      </c>
      <c r="F307" t="s">
        <v>6218</v>
      </c>
      <c r="G307" t="s">
        <v>74</v>
      </c>
      <c r="H307" t="s">
        <v>74</v>
      </c>
      <c r="I307" t="s">
        <v>6219</v>
      </c>
      <c r="J307" t="s">
        <v>3406</v>
      </c>
      <c r="K307" t="s">
        <v>74</v>
      </c>
      <c r="L307" t="s">
        <v>74</v>
      </c>
      <c r="M307" t="s">
        <v>78</v>
      </c>
      <c r="N307" t="s">
        <v>79</v>
      </c>
      <c r="O307" t="s">
        <v>74</v>
      </c>
      <c r="P307" t="s">
        <v>74</v>
      </c>
      <c r="Q307" t="s">
        <v>74</v>
      </c>
      <c r="R307" t="s">
        <v>74</v>
      </c>
      <c r="S307" t="s">
        <v>74</v>
      </c>
      <c r="T307" t="s">
        <v>6220</v>
      </c>
      <c r="U307" t="s">
        <v>6221</v>
      </c>
      <c r="V307" t="s">
        <v>6222</v>
      </c>
      <c r="W307" t="s">
        <v>6223</v>
      </c>
      <c r="X307" t="s">
        <v>6224</v>
      </c>
      <c r="Y307" t="s">
        <v>6225</v>
      </c>
      <c r="Z307" t="s">
        <v>74</v>
      </c>
      <c r="AA307" t="s">
        <v>6226</v>
      </c>
      <c r="AB307" t="s">
        <v>6227</v>
      </c>
      <c r="AC307" t="s">
        <v>74</v>
      </c>
      <c r="AD307" t="s">
        <v>74</v>
      </c>
      <c r="AE307" t="s">
        <v>74</v>
      </c>
      <c r="AF307" t="s">
        <v>74</v>
      </c>
      <c r="AG307">
        <v>67</v>
      </c>
      <c r="AH307">
        <v>43</v>
      </c>
      <c r="AI307">
        <v>46</v>
      </c>
      <c r="AJ307">
        <v>0</v>
      </c>
      <c r="AK307">
        <v>9</v>
      </c>
      <c r="AL307" t="s">
        <v>3417</v>
      </c>
      <c r="AM307" t="s">
        <v>3418</v>
      </c>
      <c r="AN307" t="s">
        <v>3419</v>
      </c>
      <c r="AO307" t="s">
        <v>3420</v>
      </c>
      <c r="AP307" t="s">
        <v>74</v>
      </c>
      <c r="AQ307" t="s">
        <v>74</v>
      </c>
      <c r="AR307" t="s">
        <v>3421</v>
      </c>
      <c r="AS307" t="s">
        <v>3422</v>
      </c>
      <c r="AT307" t="s">
        <v>74</v>
      </c>
      <c r="AU307">
        <v>2018</v>
      </c>
      <c r="AV307">
        <v>23</v>
      </c>
      <c r="AW307">
        <v>3</v>
      </c>
      <c r="AX307" t="s">
        <v>74</v>
      </c>
      <c r="AY307" t="s">
        <v>74</v>
      </c>
      <c r="AZ307" t="s">
        <v>74</v>
      </c>
      <c r="BA307" t="s">
        <v>74</v>
      </c>
      <c r="BB307" t="s">
        <v>74</v>
      </c>
      <c r="BC307" t="s">
        <v>74</v>
      </c>
      <c r="BD307">
        <v>24</v>
      </c>
      <c r="BE307" t="s">
        <v>6228</v>
      </c>
      <c r="BF307" t="str">
        <f>HYPERLINK("http://dx.doi.org/10.5751/ES-10397-230324","http://dx.doi.org/10.5751/ES-10397-230324")</f>
        <v>http://dx.doi.org/10.5751/ES-10397-230324</v>
      </c>
      <c r="BG307" t="s">
        <v>74</v>
      </c>
      <c r="BH307" t="s">
        <v>74</v>
      </c>
      <c r="BI307">
        <v>11</v>
      </c>
      <c r="BJ307" t="s">
        <v>3424</v>
      </c>
      <c r="BK307" t="s">
        <v>2471</v>
      </c>
      <c r="BL307" t="s">
        <v>1120</v>
      </c>
      <c r="BM307" t="s">
        <v>6229</v>
      </c>
      <c r="BN307" t="s">
        <v>74</v>
      </c>
      <c r="BO307" t="s">
        <v>186</v>
      </c>
      <c r="BP307" t="s">
        <v>74</v>
      </c>
      <c r="BQ307" t="s">
        <v>74</v>
      </c>
      <c r="BR307" t="s">
        <v>105</v>
      </c>
      <c r="BS307" t="s">
        <v>6230</v>
      </c>
      <c r="BT307" t="str">
        <f>HYPERLINK("https%3A%2F%2Fwww.webofscience.com%2Fwos%2Fwoscc%2Ffull-record%2FWOS:000446321000042","View Full Record in Web of Science")</f>
        <v>View Full Record in Web of Science</v>
      </c>
    </row>
    <row r="308" spans="1:72" x14ac:dyDescent="0.15">
      <c r="A308" t="s">
        <v>72</v>
      </c>
      <c r="B308" t="s">
        <v>6231</v>
      </c>
      <c r="C308" t="s">
        <v>74</v>
      </c>
      <c r="D308" t="s">
        <v>74</v>
      </c>
      <c r="E308" t="s">
        <v>74</v>
      </c>
      <c r="F308" t="s">
        <v>6232</v>
      </c>
      <c r="G308" t="s">
        <v>74</v>
      </c>
      <c r="H308" t="s">
        <v>74</v>
      </c>
      <c r="I308" t="s">
        <v>6233</v>
      </c>
      <c r="J308" t="s">
        <v>3454</v>
      </c>
      <c r="K308" t="s">
        <v>74</v>
      </c>
      <c r="L308" t="s">
        <v>74</v>
      </c>
      <c r="M308" t="s">
        <v>78</v>
      </c>
      <c r="N308" t="s">
        <v>79</v>
      </c>
      <c r="O308" t="s">
        <v>74</v>
      </c>
      <c r="P308" t="s">
        <v>74</v>
      </c>
      <c r="Q308" t="s">
        <v>74</v>
      </c>
      <c r="R308" t="s">
        <v>74</v>
      </c>
      <c r="S308" t="s">
        <v>74</v>
      </c>
      <c r="T308" t="s">
        <v>6234</v>
      </c>
      <c r="U308" t="s">
        <v>6235</v>
      </c>
      <c r="V308" t="s">
        <v>6236</v>
      </c>
      <c r="W308" t="s">
        <v>6237</v>
      </c>
      <c r="X308" t="s">
        <v>6238</v>
      </c>
      <c r="Y308" t="s">
        <v>6239</v>
      </c>
      <c r="Z308" t="s">
        <v>6240</v>
      </c>
      <c r="AA308" t="s">
        <v>6241</v>
      </c>
      <c r="AB308" t="s">
        <v>6242</v>
      </c>
      <c r="AC308" t="s">
        <v>6243</v>
      </c>
      <c r="AD308" t="s">
        <v>6244</v>
      </c>
      <c r="AE308" t="s">
        <v>6245</v>
      </c>
      <c r="AF308" t="s">
        <v>74</v>
      </c>
      <c r="AG308">
        <v>58</v>
      </c>
      <c r="AH308">
        <v>8</v>
      </c>
      <c r="AI308">
        <v>10</v>
      </c>
      <c r="AJ308">
        <v>1</v>
      </c>
      <c r="AK308">
        <v>9</v>
      </c>
      <c r="AL308" t="s">
        <v>512</v>
      </c>
      <c r="AM308" t="s">
        <v>513</v>
      </c>
      <c r="AN308" t="s">
        <v>514</v>
      </c>
      <c r="AO308" t="s">
        <v>3466</v>
      </c>
      <c r="AP308" t="s">
        <v>3467</v>
      </c>
      <c r="AQ308" t="s">
        <v>74</v>
      </c>
      <c r="AR308" t="s">
        <v>3468</v>
      </c>
      <c r="AS308" t="s">
        <v>3469</v>
      </c>
      <c r="AT308" t="s">
        <v>74</v>
      </c>
      <c r="AU308">
        <v>2018</v>
      </c>
      <c r="AV308">
        <v>37</v>
      </c>
      <c r="AW308" t="s">
        <v>74</v>
      </c>
      <c r="AX308" t="s">
        <v>74</v>
      </c>
      <c r="AY308" t="s">
        <v>74</v>
      </c>
      <c r="AZ308" t="s">
        <v>74</v>
      </c>
      <c r="BA308" t="s">
        <v>74</v>
      </c>
      <c r="BB308">
        <v>45</v>
      </c>
      <c r="BC308">
        <v>54</v>
      </c>
      <c r="BD308" t="s">
        <v>74</v>
      </c>
      <c r="BE308" t="s">
        <v>6246</v>
      </c>
      <c r="BF308" t="str">
        <f>HYPERLINK("http://dx.doi.org/10.3354/esr00912","http://dx.doi.org/10.3354/esr00912")</f>
        <v>http://dx.doi.org/10.3354/esr00912</v>
      </c>
      <c r="BG308" t="s">
        <v>74</v>
      </c>
      <c r="BH308" t="s">
        <v>74</v>
      </c>
      <c r="BI308">
        <v>10</v>
      </c>
      <c r="BJ308" t="s">
        <v>3471</v>
      </c>
      <c r="BK308" t="s">
        <v>101</v>
      </c>
      <c r="BL308" t="s">
        <v>3472</v>
      </c>
      <c r="BM308" t="s">
        <v>6247</v>
      </c>
      <c r="BN308" t="s">
        <v>74</v>
      </c>
      <c r="BO308" t="s">
        <v>5413</v>
      </c>
      <c r="BP308" t="s">
        <v>74</v>
      </c>
      <c r="BQ308" t="s">
        <v>74</v>
      </c>
      <c r="BR308" t="s">
        <v>105</v>
      </c>
      <c r="BS308" t="s">
        <v>6248</v>
      </c>
      <c r="BT308" t="str">
        <f>HYPERLINK("https%3A%2F%2Fwww.webofscience.com%2Fwos%2Fwoscc%2Ffull-record%2FWOS:000446485400005","View Full Record in Web of Science")</f>
        <v>View Full Record in Web of Science</v>
      </c>
    </row>
    <row r="309" spans="1:72" x14ac:dyDescent="0.15">
      <c r="A309" t="s">
        <v>72</v>
      </c>
      <c r="B309" t="s">
        <v>6249</v>
      </c>
      <c r="C309" t="s">
        <v>74</v>
      </c>
      <c r="D309" t="s">
        <v>74</v>
      </c>
      <c r="E309" t="s">
        <v>74</v>
      </c>
      <c r="F309" t="s">
        <v>6250</v>
      </c>
      <c r="G309" t="s">
        <v>74</v>
      </c>
      <c r="H309" t="s">
        <v>74</v>
      </c>
      <c r="I309" t="s">
        <v>6251</v>
      </c>
      <c r="J309" t="s">
        <v>5147</v>
      </c>
      <c r="K309" t="s">
        <v>74</v>
      </c>
      <c r="L309" t="s">
        <v>74</v>
      </c>
      <c r="M309" t="s">
        <v>78</v>
      </c>
      <c r="N309" t="s">
        <v>79</v>
      </c>
      <c r="O309" t="s">
        <v>74</v>
      </c>
      <c r="P309" t="s">
        <v>74</v>
      </c>
      <c r="Q309" t="s">
        <v>74</v>
      </c>
      <c r="R309" t="s">
        <v>74</v>
      </c>
      <c r="S309" t="s">
        <v>74</v>
      </c>
      <c r="T309" t="s">
        <v>6252</v>
      </c>
      <c r="U309" t="s">
        <v>6253</v>
      </c>
      <c r="V309" t="s">
        <v>6254</v>
      </c>
      <c r="W309" t="s">
        <v>6255</v>
      </c>
      <c r="X309" t="s">
        <v>6256</v>
      </c>
      <c r="Y309" t="s">
        <v>6257</v>
      </c>
      <c r="Z309" t="s">
        <v>6258</v>
      </c>
      <c r="AA309" t="s">
        <v>6259</v>
      </c>
      <c r="AB309" t="s">
        <v>6260</v>
      </c>
      <c r="AC309" t="s">
        <v>6261</v>
      </c>
      <c r="AD309" t="s">
        <v>6262</v>
      </c>
      <c r="AE309" t="s">
        <v>6263</v>
      </c>
      <c r="AF309" t="s">
        <v>74</v>
      </c>
      <c r="AG309">
        <v>114</v>
      </c>
      <c r="AH309">
        <v>11</v>
      </c>
      <c r="AI309">
        <v>11</v>
      </c>
      <c r="AJ309">
        <v>1</v>
      </c>
      <c r="AK309">
        <v>9</v>
      </c>
      <c r="AL309" t="s">
        <v>5160</v>
      </c>
      <c r="AM309" t="s">
        <v>5161</v>
      </c>
      <c r="AN309" t="s">
        <v>5162</v>
      </c>
      <c r="AO309" t="s">
        <v>5163</v>
      </c>
      <c r="AP309" t="s">
        <v>5164</v>
      </c>
      <c r="AQ309" t="s">
        <v>74</v>
      </c>
      <c r="AR309" t="s">
        <v>5165</v>
      </c>
      <c r="AS309" t="s">
        <v>5166</v>
      </c>
      <c r="AT309" t="s">
        <v>74</v>
      </c>
      <c r="AU309">
        <v>2018</v>
      </c>
      <c r="AV309">
        <v>14</v>
      </c>
      <c r="AW309">
        <v>7</v>
      </c>
      <c r="AX309" t="s">
        <v>74</v>
      </c>
      <c r="AY309" t="s">
        <v>74</v>
      </c>
      <c r="AZ309" t="s">
        <v>74</v>
      </c>
      <c r="BA309" t="s">
        <v>74</v>
      </c>
      <c r="BB309">
        <v>682</v>
      </c>
      <c r="BC309">
        <v>716</v>
      </c>
      <c r="BD309" t="s">
        <v>74</v>
      </c>
      <c r="BE309" t="s">
        <v>6264</v>
      </c>
      <c r="BF309" t="str">
        <f>HYPERLINK("http://dx.doi.org/10.1080/17451000.2018.1506136","http://dx.doi.org/10.1080/17451000.2018.1506136")</f>
        <v>http://dx.doi.org/10.1080/17451000.2018.1506136</v>
      </c>
      <c r="BG309" t="s">
        <v>74</v>
      </c>
      <c r="BH309" t="s">
        <v>74</v>
      </c>
      <c r="BI309">
        <v>35</v>
      </c>
      <c r="BJ309" t="s">
        <v>5168</v>
      </c>
      <c r="BK309" t="s">
        <v>101</v>
      </c>
      <c r="BL309" t="s">
        <v>610</v>
      </c>
      <c r="BM309" t="s">
        <v>6265</v>
      </c>
      <c r="BN309" t="s">
        <v>74</v>
      </c>
      <c r="BO309" t="s">
        <v>74</v>
      </c>
      <c r="BP309" t="s">
        <v>74</v>
      </c>
      <c r="BQ309" t="s">
        <v>74</v>
      </c>
      <c r="BR309" t="s">
        <v>105</v>
      </c>
      <c r="BS309" t="s">
        <v>6266</v>
      </c>
      <c r="BT309" t="str">
        <f>HYPERLINK("https%3A%2F%2Fwww.webofscience.com%2Fwos%2Fwoscc%2Ffull-record%2FWOS:000445875600003","View Full Record in Web of Science")</f>
        <v>View Full Record in Web of Science</v>
      </c>
    </row>
    <row r="310" spans="1:72" x14ac:dyDescent="0.15">
      <c r="A310" t="s">
        <v>1831</v>
      </c>
      <c r="B310" t="s">
        <v>6267</v>
      </c>
      <c r="C310" t="s">
        <v>74</v>
      </c>
      <c r="D310" t="s">
        <v>6268</v>
      </c>
      <c r="E310" t="s">
        <v>74</v>
      </c>
      <c r="F310" t="s">
        <v>6269</v>
      </c>
      <c r="G310" t="s">
        <v>74</v>
      </c>
      <c r="H310" t="s">
        <v>74</v>
      </c>
      <c r="I310" t="s">
        <v>6270</v>
      </c>
      <c r="J310" t="s">
        <v>6271</v>
      </c>
      <c r="K310" t="s">
        <v>6272</v>
      </c>
      <c r="L310" t="s">
        <v>74</v>
      </c>
      <c r="M310" t="s">
        <v>78</v>
      </c>
      <c r="N310" t="s">
        <v>1862</v>
      </c>
      <c r="O310" t="s">
        <v>74</v>
      </c>
      <c r="P310" t="s">
        <v>74</v>
      </c>
      <c r="Q310" t="s">
        <v>74</v>
      </c>
      <c r="R310" t="s">
        <v>74</v>
      </c>
      <c r="S310" t="s">
        <v>74</v>
      </c>
      <c r="T310" t="s">
        <v>74</v>
      </c>
      <c r="U310" t="s">
        <v>74</v>
      </c>
      <c r="V310" t="s">
        <v>6273</v>
      </c>
      <c r="W310" t="s">
        <v>6274</v>
      </c>
      <c r="X310" t="s">
        <v>6275</v>
      </c>
      <c r="Y310" t="s">
        <v>6276</v>
      </c>
      <c r="Z310" t="s">
        <v>6277</v>
      </c>
      <c r="AA310" t="s">
        <v>74</v>
      </c>
      <c r="AB310" t="s">
        <v>74</v>
      </c>
      <c r="AC310" t="s">
        <v>74</v>
      </c>
      <c r="AD310" t="s">
        <v>74</v>
      </c>
      <c r="AE310" t="s">
        <v>74</v>
      </c>
      <c r="AF310" t="s">
        <v>74</v>
      </c>
      <c r="AG310">
        <v>9</v>
      </c>
      <c r="AH310">
        <v>0</v>
      </c>
      <c r="AI310">
        <v>0</v>
      </c>
      <c r="AJ310">
        <v>0</v>
      </c>
      <c r="AK310">
        <v>0</v>
      </c>
      <c r="AL310" t="s">
        <v>1898</v>
      </c>
      <c r="AM310" t="s">
        <v>1899</v>
      </c>
      <c r="AN310" t="s">
        <v>1900</v>
      </c>
      <c r="AO310" t="s">
        <v>6278</v>
      </c>
      <c r="AP310" t="s">
        <v>6279</v>
      </c>
      <c r="AQ310" t="s">
        <v>6280</v>
      </c>
      <c r="AR310" t="s">
        <v>6281</v>
      </c>
      <c r="AS310" t="s">
        <v>6282</v>
      </c>
      <c r="AT310" t="s">
        <v>74</v>
      </c>
      <c r="AU310">
        <v>2018</v>
      </c>
      <c r="AV310">
        <v>2</v>
      </c>
      <c r="AW310" t="s">
        <v>74</v>
      </c>
      <c r="AX310" t="s">
        <v>74</v>
      </c>
      <c r="AY310" t="s">
        <v>74</v>
      </c>
      <c r="AZ310" t="s">
        <v>74</v>
      </c>
      <c r="BA310" t="s">
        <v>74</v>
      </c>
      <c r="BB310">
        <v>51</v>
      </c>
      <c r="BC310">
        <v>67</v>
      </c>
      <c r="BD310" t="s">
        <v>74</v>
      </c>
      <c r="BE310" t="s">
        <v>6283</v>
      </c>
      <c r="BF310" t="str">
        <f>HYPERLINK("http://dx.doi.org/10.1007/978-3-319-75064-4_7","http://dx.doi.org/10.1007/978-3-319-75064-4_7")</f>
        <v>http://dx.doi.org/10.1007/978-3-319-75064-4_7</v>
      </c>
      <c r="BG310" t="s">
        <v>6284</v>
      </c>
      <c r="BH310" t="s">
        <v>74</v>
      </c>
      <c r="BI310">
        <v>17</v>
      </c>
      <c r="BJ310" t="s">
        <v>6285</v>
      </c>
      <c r="BK310" t="s">
        <v>2102</v>
      </c>
      <c r="BL310" t="s">
        <v>6286</v>
      </c>
      <c r="BM310" t="s">
        <v>6287</v>
      </c>
      <c r="BN310" t="s">
        <v>74</v>
      </c>
      <c r="BO310" t="s">
        <v>74</v>
      </c>
      <c r="BP310" t="s">
        <v>74</v>
      </c>
      <c r="BQ310" t="s">
        <v>74</v>
      </c>
      <c r="BR310" t="s">
        <v>105</v>
      </c>
      <c r="BS310" t="s">
        <v>6288</v>
      </c>
      <c r="BT310" t="str">
        <f>HYPERLINK("https%3A%2F%2Fwww.webofscience.com%2Fwos%2Fwoscc%2Ffull-record%2FWOS:000441055500007","View Full Record in Web of Science")</f>
        <v>View Full Record in Web of Science</v>
      </c>
    </row>
    <row r="311" spans="1:72" x14ac:dyDescent="0.15">
      <c r="A311" t="s">
        <v>2085</v>
      </c>
      <c r="B311" t="s">
        <v>6289</v>
      </c>
      <c r="C311" t="s">
        <v>74</v>
      </c>
      <c r="D311" t="s">
        <v>6290</v>
      </c>
      <c r="E311" t="s">
        <v>74</v>
      </c>
      <c r="F311" t="s">
        <v>6291</v>
      </c>
      <c r="G311" t="s">
        <v>74</v>
      </c>
      <c r="H311" t="s">
        <v>74</v>
      </c>
      <c r="I311" t="s">
        <v>6292</v>
      </c>
      <c r="J311" t="s">
        <v>6293</v>
      </c>
      <c r="K311" t="s">
        <v>6294</v>
      </c>
      <c r="L311" t="s">
        <v>74</v>
      </c>
      <c r="M311" t="s">
        <v>78</v>
      </c>
      <c r="N311" t="s">
        <v>1862</v>
      </c>
      <c r="O311" t="s">
        <v>74</v>
      </c>
      <c r="P311" t="s">
        <v>74</v>
      </c>
      <c r="Q311" t="s">
        <v>74</v>
      </c>
      <c r="R311" t="s">
        <v>74</v>
      </c>
      <c r="S311" t="s">
        <v>74</v>
      </c>
      <c r="T311" t="s">
        <v>74</v>
      </c>
      <c r="U311" t="s">
        <v>74</v>
      </c>
      <c r="V311" t="s">
        <v>74</v>
      </c>
      <c r="W311" t="s">
        <v>6295</v>
      </c>
      <c r="X311" t="s">
        <v>6296</v>
      </c>
      <c r="Y311" t="s">
        <v>6297</v>
      </c>
      <c r="Z311" t="s">
        <v>6298</v>
      </c>
      <c r="AA311" t="s">
        <v>74</v>
      </c>
      <c r="AB311" t="s">
        <v>6299</v>
      </c>
      <c r="AC311" t="s">
        <v>74</v>
      </c>
      <c r="AD311" t="s">
        <v>74</v>
      </c>
      <c r="AE311" t="s">
        <v>74</v>
      </c>
      <c r="AF311" t="s">
        <v>74</v>
      </c>
      <c r="AG311">
        <v>35</v>
      </c>
      <c r="AH311">
        <v>0</v>
      </c>
      <c r="AI311">
        <v>0</v>
      </c>
      <c r="AJ311">
        <v>0</v>
      </c>
      <c r="AK311">
        <v>0</v>
      </c>
      <c r="AL311" t="s">
        <v>1973</v>
      </c>
      <c r="AM311" t="s">
        <v>1797</v>
      </c>
      <c r="AN311" t="s">
        <v>1974</v>
      </c>
      <c r="AO311" t="s">
        <v>74</v>
      </c>
      <c r="AP311" t="s">
        <v>74</v>
      </c>
      <c r="AQ311" t="s">
        <v>6300</v>
      </c>
      <c r="AR311" t="s">
        <v>6301</v>
      </c>
      <c r="AS311" t="s">
        <v>74</v>
      </c>
      <c r="AT311" t="s">
        <v>74</v>
      </c>
      <c r="AU311">
        <v>2018</v>
      </c>
      <c r="AV311" t="s">
        <v>74</v>
      </c>
      <c r="AW311" t="s">
        <v>74</v>
      </c>
      <c r="AX311" t="s">
        <v>74</v>
      </c>
      <c r="AY311" t="s">
        <v>74</v>
      </c>
      <c r="AZ311" t="s">
        <v>74</v>
      </c>
      <c r="BA311" t="s">
        <v>74</v>
      </c>
      <c r="BB311">
        <v>129</v>
      </c>
      <c r="BC311">
        <v>141</v>
      </c>
      <c r="BD311" t="s">
        <v>74</v>
      </c>
      <c r="BE311" t="s">
        <v>6302</v>
      </c>
      <c r="BF311" t="str">
        <f>HYPERLINK("http://dx.doi.org/10.1007/978-3-319-73408-8_9","http://dx.doi.org/10.1007/978-3-319-73408-8_9")</f>
        <v>http://dx.doi.org/10.1007/978-3-319-73408-8_9</v>
      </c>
      <c r="BG311" t="s">
        <v>6303</v>
      </c>
      <c r="BH311" t="s">
        <v>74</v>
      </c>
      <c r="BI311">
        <v>13</v>
      </c>
      <c r="BJ311" t="s">
        <v>3400</v>
      </c>
      <c r="BK311" t="s">
        <v>2102</v>
      </c>
      <c r="BL311" t="s">
        <v>3400</v>
      </c>
      <c r="BM311" t="s">
        <v>6304</v>
      </c>
      <c r="BN311" t="s">
        <v>74</v>
      </c>
      <c r="BO311" t="s">
        <v>74</v>
      </c>
      <c r="BP311" t="s">
        <v>74</v>
      </c>
      <c r="BQ311" t="s">
        <v>74</v>
      </c>
      <c r="BR311" t="s">
        <v>105</v>
      </c>
      <c r="BS311" t="s">
        <v>6305</v>
      </c>
      <c r="BT311" t="str">
        <f>HYPERLINK("https%3A%2F%2Fwww.webofscience.com%2Fwos%2Fwoscc%2Ffull-record%2FWOS:000441005000009","View Full Record in Web of Science")</f>
        <v>View Full Record in Web of Science</v>
      </c>
    </row>
    <row r="312" spans="1:72" x14ac:dyDescent="0.15">
      <c r="A312" t="s">
        <v>1776</v>
      </c>
      <c r="B312" t="s">
        <v>6306</v>
      </c>
      <c r="C312" t="s">
        <v>74</v>
      </c>
      <c r="D312" t="s">
        <v>74</v>
      </c>
      <c r="E312" t="s">
        <v>2181</v>
      </c>
      <c r="F312" t="s">
        <v>6307</v>
      </c>
      <c r="G312" t="s">
        <v>74</v>
      </c>
      <c r="H312" t="s">
        <v>6308</v>
      </c>
      <c r="I312" t="s">
        <v>6309</v>
      </c>
      <c r="J312" t="s">
        <v>6310</v>
      </c>
      <c r="K312" t="s">
        <v>6311</v>
      </c>
      <c r="L312" t="s">
        <v>74</v>
      </c>
      <c r="M312" t="s">
        <v>78</v>
      </c>
      <c r="N312" t="s">
        <v>1782</v>
      </c>
      <c r="O312" t="s">
        <v>6312</v>
      </c>
      <c r="P312" t="s">
        <v>6313</v>
      </c>
      <c r="Q312" t="s">
        <v>6314</v>
      </c>
      <c r="R312" t="s">
        <v>74</v>
      </c>
      <c r="S312" t="s">
        <v>6315</v>
      </c>
      <c r="T312" t="s">
        <v>74</v>
      </c>
      <c r="U312" t="s">
        <v>6316</v>
      </c>
      <c r="V312" t="s">
        <v>6317</v>
      </c>
      <c r="W312" t="s">
        <v>74</v>
      </c>
      <c r="X312" t="s">
        <v>74</v>
      </c>
      <c r="Y312" t="s">
        <v>74</v>
      </c>
      <c r="Z312" t="s">
        <v>74</v>
      </c>
      <c r="AA312" t="s">
        <v>6318</v>
      </c>
      <c r="AB312" t="s">
        <v>6319</v>
      </c>
      <c r="AC312" t="s">
        <v>74</v>
      </c>
      <c r="AD312" t="s">
        <v>74</v>
      </c>
      <c r="AE312" t="s">
        <v>74</v>
      </c>
      <c r="AF312" t="s">
        <v>74</v>
      </c>
      <c r="AG312">
        <v>33</v>
      </c>
      <c r="AH312">
        <v>13</v>
      </c>
      <c r="AI312">
        <v>13</v>
      </c>
      <c r="AJ312">
        <v>0</v>
      </c>
      <c r="AK312">
        <v>1</v>
      </c>
      <c r="AL312" t="s">
        <v>778</v>
      </c>
      <c r="AM312" t="s">
        <v>779</v>
      </c>
      <c r="AN312" t="s">
        <v>2200</v>
      </c>
      <c r="AO312" t="s">
        <v>6320</v>
      </c>
      <c r="AP312" t="s">
        <v>6321</v>
      </c>
      <c r="AQ312" t="s">
        <v>74</v>
      </c>
      <c r="AR312" t="s">
        <v>6322</v>
      </c>
      <c r="AS312" t="s">
        <v>74</v>
      </c>
      <c r="AT312" t="s">
        <v>74</v>
      </c>
      <c r="AU312">
        <v>2018</v>
      </c>
      <c r="AV312">
        <v>1029</v>
      </c>
      <c r="AW312" t="s">
        <v>74</v>
      </c>
      <c r="AX312" t="s">
        <v>74</v>
      </c>
      <c r="AY312" t="s">
        <v>74</v>
      </c>
      <c r="AZ312" t="s">
        <v>74</v>
      </c>
      <c r="BA312" t="s">
        <v>74</v>
      </c>
      <c r="BB312" t="s">
        <v>74</v>
      </c>
      <c r="BC312" t="s">
        <v>74</v>
      </c>
      <c r="BD312">
        <v>12001</v>
      </c>
      <c r="BE312" t="s">
        <v>6323</v>
      </c>
      <c r="BF312" t="str">
        <f>HYPERLINK("http://dx.doi.org/10.1088/1742-6596/1029/1/012001","http://dx.doi.org/10.1088/1742-6596/1029/1/012001")</f>
        <v>http://dx.doi.org/10.1088/1742-6596/1029/1/012001</v>
      </c>
      <c r="BG312" t="s">
        <v>74</v>
      </c>
      <c r="BH312" t="s">
        <v>74</v>
      </c>
      <c r="BI312">
        <v>8</v>
      </c>
      <c r="BJ312" t="s">
        <v>6324</v>
      </c>
      <c r="BK312" t="s">
        <v>1801</v>
      </c>
      <c r="BL312" t="s">
        <v>2082</v>
      </c>
      <c r="BM312" t="s">
        <v>6325</v>
      </c>
      <c r="BN312" t="s">
        <v>74</v>
      </c>
      <c r="BO312" t="s">
        <v>236</v>
      </c>
      <c r="BP312" t="s">
        <v>74</v>
      </c>
      <c r="BQ312" t="s">
        <v>74</v>
      </c>
      <c r="BR312" t="s">
        <v>105</v>
      </c>
      <c r="BS312" t="s">
        <v>6326</v>
      </c>
      <c r="BT312" t="str">
        <f>HYPERLINK("https%3A%2F%2Fwww.webofscience.com%2Fwos%2Fwoscc%2Ffull-record%2FWOS:000446091500001","View Full Record in Web of Science")</f>
        <v>View Full Record in Web of Science</v>
      </c>
    </row>
    <row r="313" spans="1:72" x14ac:dyDescent="0.15">
      <c r="A313" t="s">
        <v>72</v>
      </c>
      <c r="B313" t="s">
        <v>6327</v>
      </c>
      <c r="C313" t="s">
        <v>74</v>
      </c>
      <c r="D313" t="s">
        <v>74</v>
      </c>
      <c r="E313" t="s">
        <v>74</v>
      </c>
      <c r="F313" t="s">
        <v>6328</v>
      </c>
      <c r="G313" t="s">
        <v>74</v>
      </c>
      <c r="H313" t="s">
        <v>74</v>
      </c>
      <c r="I313" t="s">
        <v>6329</v>
      </c>
      <c r="J313" t="s">
        <v>6330</v>
      </c>
      <c r="K313" t="s">
        <v>74</v>
      </c>
      <c r="L313" t="s">
        <v>74</v>
      </c>
      <c r="M313" t="s">
        <v>78</v>
      </c>
      <c r="N313" t="s">
        <v>79</v>
      </c>
      <c r="O313" t="s">
        <v>74</v>
      </c>
      <c r="P313" t="s">
        <v>74</v>
      </c>
      <c r="Q313" t="s">
        <v>74</v>
      </c>
      <c r="R313" t="s">
        <v>74</v>
      </c>
      <c r="S313" t="s">
        <v>74</v>
      </c>
      <c r="T313" t="s">
        <v>6331</v>
      </c>
      <c r="U313" t="s">
        <v>6332</v>
      </c>
      <c r="V313" t="s">
        <v>6333</v>
      </c>
      <c r="W313" t="s">
        <v>6334</v>
      </c>
      <c r="X313" t="s">
        <v>6335</v>
      </c>
      <c r="Y313" t="s">
        <v>6336</v>
      </c>
      <c r="Z313" t="s">
        <v>6337</v>
      </c>
      <c r="AA313" t="s">
        <v>6338</v>
      </c>
      <c r="AB313" t="s">
        <v>6339</v>
      </c>
      <c r="AC313" t="s">
        <v>6340</v>
      </c>
      <c r="AD313" t="s">
        <v>6341</v>
      </c>
      <c r="AE313" t="s">
        <v>6342</v>
      </c>
      <c r="AF313" t="s">
        <v>74</v>
      </c>
      <c r="AG313">
        <v>23</v>
      </c>
      <c r="AH313">
        <v>0</v>
      </c>
      <c r="AI313">
        <v>0</v>
      </c>
      <c r="AJ313">
        <v>1</v>
      </c>
      <c r="AK313">
        <v>11</v>
      </c>
      <c r="AL313" t="s">
        <v>6343</v>
      </c>
      <c r="AM313" t="s">
        <v>6344</v>
      </c>
      <c r="AN313" t="s">
        <v>6345</v>
      </c>
      <c r="AO313" t="s">
        <v>6346</v>
      </c>
      <c r="AP313" t="s">
        <v>74</v>
      </c>
      <c r="AQ313" t="s">
        <v>74</v>
      </c>
      <c r="AR313" t="s">
        <v>6347</v>
      </c>
      <c r="AS313" t="s">
        <v>6348</v>
      </c>
      <c r="AT313" t="s">
        <v>74</v>
      </c>
      <c r="AU313">
        <v>2018</v>
      </c>
      <c r="AV313">
        <v>65</v>
      </c>
      <c r="AW313">
        <v>3</v>
      </c>
      <c r="AX313" t="s">
        <v>74</v>
      </c>
      <c r="AY313" t="s">
        <v>74</v>
      </c>
      <c r="AZ313" t="s">
        <v>74</v>
      </c>
      <c r="BA313" t="s">
        <v>74</v>
      </c>
      <c r="BB313">
        <v>42</v>
      </c>
      <c r="BC313">
        <v>46</v>
      </c>
      <c r="BD313" t="s">
        <v>74</v>
      </c>
      <c r="BE313" t="s">
        <v>6349</v>
      </c>
      <c r="BF313" t="str">
        <f>HYPERLINK("http://dx.doi.org/10.21077/ijf.2018.65.3.74214-05","http://dx.doi.org/10.21077/ijf.2018.65.3.74214-05")</f>
        <v>http://dx.doi.org/10.21077/ijf.2018.65.3.74214-05</v>
      </c>
      <c r="BG313" t="s">
        <v>74</v>
      </c>
      <c r="BH313" t="s">
        <v>74</v>
      </c>
      <c r="BI313">
        <v>5</v>
      </c>
      <c r="BJ313" t="s">
        <v>6350</v>
      </c>
      <c r="BK313" t="s">
        <v>101</v>
      </c>
      <c r="BL313" t="s">
        <v>6350</v>
      </c>
      <c r="BM313" t="s">
        <v>6351</v>
      </c>
      <c r="BN313" t="s">
        <v>74</v>
      </c>
      <c r="BO313" t="s">
        <v>74</v>
      </c>
      <c r="BP313" t="s">
        <v>74</v>
      </c>
      <c r="BQ313" t="s">
        <v>74</v>
      </c>
      <c r="BR313" t="s">
        <v>105</v>
      </c>
      <c r="BS313" t="s">
        <v>6352</v>
      </c>
      <c r="BT313" t="str">
        <f>HYPERLINK("https%3A%2F%2Fwww.webofscience.com%2Fwos%2Fwoscc%2Ffull-record%2FWOS:000445882700005","View Full Record in Web of Science")</f>
        <v>View Full Record in Web of Science</v>
      </c>
    </row>
    <row r="314" spans="1:72" x14ac:dyDescent="0.15">
      <c r="A314" t="s">
        <v>72</v>
      </c>
      <c r="B314" t="s">
        <v>6353</v>
      </c>
      <c r="C314" t="s">
        <v>74</v>
      </c>
      <c r="D314" t="s">
        <v>74</v>
      </c>
      <c r="E314" t="s">
        <v>74</v>
      </c>
      <c r="F314" t="s">
        <v>6354</v>
      </c>
      <c r="G314" t="s">
        <v>74</v>
      </c>
      <c r="H314" t="s">
        <v>74</v>
      </c>
      <c r="I314" t="s">
        <v>6355</v>
      </c>
      <c r="J314" t="s">
        <v>4853</v>
      </c>
      <c r="K314" t="s">
        <v>74</v>
      </c>
      <c r="L314" t="s">
        <v>74</v>
      </c>
      <c r="M314" t="s">
        <v>2986</v>
      </c>
      <c r="N314" t="s">
        <v>79</v>
      </c>
      <c r="O314" t="s">
        <v>74</v>
      </c>
      <c r="P314" t="s">
        <v>74</v>
      </c>
      <c r="Q314" t="s">
        <v>74</v>
      </c>
      <c r="R314" t="s">
        <v>74</v>
      </c>
      <c r="S314" t="s">
        <v>74</v>
      </c>
      <c r="T314" t="s">
        <v>6356</v>
      </c>
      <c r="U314" t="s">
        <v>74</v>
      </c>
      <c r="V314" t="s">
        <v>6357</v>
      </c>
      <c r="W314" t="s">
        <v>6358</v>
      </c>
      <c r="X314" t="s">
        <v>4857</v>
      </c>
      <c r="Y314" t="s">
        <v>6359</v>
      </c>
      <c r="Z314" t="s">
        <v>6360</v>
      </c>
      <c r="AA314" t="s">
        <v>6361</v>
      </c>
      <c r="AB314" t="s">
        <v>6362</v>
      </c>
      <c r="AC314" t="s">
        <v>74</v>
      </c>
      <c r="AD314" t="s">
        <v>74</v>
      </c>
      <c r="AE314" t="s">
        <v>74</v>
      </c>
      <c r="AF314" t="s">
        <v>74</v>
      </c>
      <c r="AG314">
        <v>10</v>
      </c>
      <c r="AH314">
        <v>1</v>
      </c>
      <c r="AI314">
        <v>4</v>
      </c>
      <c r="AJ314">
        <v>0</v>
      </c>
      <c r="AK314">
        <v>1</v>
      </c>
      <c r="AL314" t="s">
        <v>4865</v>
      </c>
      <c r="AM314" t="s">
        <v>2992</v>
      </c>
      <c r="AN314" t="s">
        <v>4866</v>
      </c>
      <c r="AO314" t="s">
        <v>4867</v>
      </c>
      <c r="AP314" t="s">
        <v>4868</v>
      </c>
      <c r="AQ314" t="s">
        <v>74</v>
      </c>
      <c r="AR314" t="s">
        <v>4869</v>
      </c>
      <c r="AS314" t="s">
        <v>4870</v>
      </c>
      <c r="AT314" t="s">
        <v>74</v>
      </c>
      <c r="AU314">
        <v>2018</v>
      </c>
      <c r="AV314">
        <v>58</v>
      </c>
      <c r="AW314">
        <v>3</v>
      </c>
      <c r="AX314" t="s">
        <v>74</v>
      </c>
      <c r="AY314" t="s">
        <v>74</v>
      </c>
      <c r="AZ314" t="s">
        <v>74</v>
      </c>
      <c r="BA314" t="s">
        <v>74</v>
      </c>
      <c r="BB314">
        <v>396</v>
      </c>
      <c r="BC314">
        <v>404</v>
      </c>
      <c r="BD314" t="s">
        <v>74</v>
      </c>
      <c r="BE314" t="s">
        <v>6363</v>
      </c>
      <c r="BF314" t="str">
        <f>HYPERLINK("http://dx.doi.org/10.15356/2076-6734-2018-3-396-404","http://dx.doi.org/10.15356/2076-6734-2018-3-396-404")</f>
        <v>http://dx.doi.org/10.15356/2076-6734-2018-3-396-404</v>
      </c>
      <c r="BG314" t="s">
        <v>74</v>
      </c>
      <c r="BH314" t="s">
        <v>74</v>
      </c>
      <c r="BI314">
        <v>9</v>
      </c>
      <c r="BJ314" t="s">
        <v>280</v>
      </c>
      <c r="BK314" t="s">
        <v>2081</v>
      </c>
      <c r="BL314" t="s">
        <v>281</v>
      </c>
      <c r="BM314" t="s">
        <v>4934</v>
      </c>
      <c r="BN314" t="s">
        <v>74</v>
      </c>
      <c r="BO314" t="s">
        <v>160</v>
      </c>
      <c r="BP314" t="s">
        <v>74</v>
      </c>
      <c r="BQ314" t="s">
        <v>74</v>
      </c>
      <c r="BR314" t="s">
        <v>105</v>
      </c>
      <c r="BS314" t="s">
        <v>6364</v>
      </c>
      <c r="BT314" t="str">
        <f>HYPERLINK("https%3A%2F%2Fwww.webofscience.com%2Fwos%2Fwoscc%2Ffull-record%2FWOS:000445738100010","View Full Record in Web of Science")</f>
        <v>View Full Record in Web of Science</v>
      </c>
    </row>
    <row r="315" spans="1:72" x14ac:dyDescent="0.15">
      <c r="A315" t="s">
        <v>72</v>
      </c>
      <c r="B315" t="s">
        <v>6365</v>
      </c>
      <c r="C315" t="s">
        <v>74</v>
      </c>
      <c r="D315" t="s">
        <v>74</v>
      </c>
      <c r="E315" t="s">
        <v>74</v>
      </c>
      <c r="F315" t="s">
        <v>6366</v>
      </c>
      <c r="G315" t="s">
        <v>74</v>
      </c>
      <c r="H315" t="s">
        <v>74</v>
      </c>
      <c r="I315" t="s">
        <v>6367</v>
      </c>
      <c r="J315" t="s">
        <v>5098</v>
      </c>
      <c r="K315" t="s">
        <v>74</v>
      </c>
      <c r="L315" t="s">
        <v>74</v>
      </c>
      <c r="M315" t="s">
        <v>78</v>
      </c>
      <c r="N315" t="s">
        <v>79</v>
      </c>
      <c r="O315" t="s">
        <v>74</v>
      </c>
      <c r="P315" t="s">
        <v>74</v>
      </c>
      <c r="Q315" t="s">
        <v>74</v>
      </c>
      <c r="R315" t="s">
        <v>74</v>
      </c>
      <c r="S315" t="s">
        <v>74</v>
      </c>
      <c r="T315" t="s">
        <v>6368</v>
      </c>
      <c r="U315" t="s">
        <v>6369</v>
      </c>
      <c r="V315" t="s">
        <v>6370</v>
      </c>
      <c r="W315" t="s">
        <v>6371</v>
      </c>
      <c r="X315" t="s">
        <v>2912</v>
      </c>
      <c r="Y315" t="s">
        <v>6372</v>
      </c>
      <c r="Z315" t="s">
        <v>6373</v>
      </c>
      <c r="AA315" t="s">
        <v>6374</v>
      </c>
      <c r="AB315" t="s">
        <v>6375</v>
      </c>
      <c r="AC315" t="s">
        <v>6376</v>
      </c>
      <c r="AD315" t="s">
        <v>6376</v>
      </c>
      <c r="AE315" t="s">
        <v>6377</v>
      </c>
      <c r="AF315" t="s">
        <v>74</v>
      </c>
      <c r="AG315">
        <v>50</v>
      </c>
      <c r="AH315">
        <v>5</v>
      </c>
      <c r="AI315">
        <v>6</v>
      </c>
      <c r="AJ315">
        <v>0</v>
      </c>
      <c r="AK315">
        <v>4</v>
      </c>
      <c r="AL315" t="s">
        <v>5110</v>
      </c>
      <c r="AM315" t="s">
        <v>5111</v>
      </c>
      <c r="AN315" t="s">
        <v>5112</v>
      </c>
      <c r="AO315" t="s">
        <v>5113</v>
      </c>
      <c r="AP315" t="s">
        <v>5114</v>
      </c>
      <c r="AQ315" t="s">
        <v>74</v>
      </c>
      <c r="AR315" t="s">
        <v>5115</v>
      </c>
      <c r="AS315" t="s">
        <v>5116</v>
      </c>
      <c r="AT315" t="s">
        <v>74</v>
      </c>
      <c r="AU315">
        <v>2018</v>
      </c>
      <c r="AV315">
        <v>69</v>
      </c>
      <c r="AW315">
        <v>10</v>
      </c>
      <c r="AX315" t="s">
        <v>74</v>
      </c>
      <c r="AY315" t="s">
        <v>74</v>
      </c>
      <c r="AZ315" t="s">
        <v>74</v>
      </c>
      <c r="BA315" t="s">
        <v>74</v>
      </c>
      <c r="BB315">
        <v>1604</v>
      </c>
      <c r="BC315">
        <v>1613</v>
      </c>
      <c r="BD315" t="s">
        <v>74</v>
      </c>
      <c r="BE315" t="s">
        <v>6378</v>
      </c>
      <c r="BF315" t="str">
        <f>HYPERLINK("http://dx.doi.org/10.1071/MF17386","http://dx.doi.org/10.1071/MF17386")</f>
        <v>http://dx.doi.org/10.1071/MF17386</v>
      </c>
      <c r="BG315" t="s">
        <v>74</v>
      </c>
      <c r="BH315" t="s">
        <v>74</v>
      </c>
      <c r="BI315">
        <v>10</v>
      </c>
      <c r="BJ315" t="s">
        <v>5118</v>
      </c>
      <c r="BK315" t="s">
        <v>101</v>
      </c>
      <c r="BL315" t="s">
        <v>5119</v>
      </c>
      <c r="BM315" t="s">
        <v>6379</v>
      </c>
      <c r="BN315" t="s">
        <v>74</v>
      </c>
      <c r="BO315" t="s">
        <v>74</v>
      </c>
      <c r="BP315" t="s">
        <v>74</v>
      </c>
      <c r="BQ315" t="s">
        <v>74</v>
      </c>
      <c r="BR315" t="s">
        <v>105</v>
      </c>
      <c r="BS315" t="s">
        <v>6380</v>
      </c>
      <c r="BT315" t="str">
        <f>HYPERLINK("https%3A%2F%2Fwww.webofscience.com%2Fwos%2Fwoscc%2Ffull-record%2FWOS:000445239400011","View Full Record in Web of Science")</f>
        <v>View Full Record in Web of Science</v>
      </c>
    </row>
    <row r="316" spans="1:72" x14ac:dyDescent="0.15">
      <c r="A316" t="s">
        <v>72</v>
      </c>
      <c r="B316" t="s">
        <v>6381</v>
      </c>
      <c r="C316" t="s">
        <v>74</v>
      </c>
      <c r="D316" t="s">
        <v>74</v>
      </c>
      <c r="E316" t="s">
        <v>74</v>
      </c>
      <c r="F316" t="s">
        <v>6382</v>
      </c>
      <c r="G316" t="s">
        <v>74</v>
      </c>
      <c r="H316" t="s">
        <v>74</v>
      </c>
      <c r="I316" t="s">
        <v>6383</v>
      </c>
      <c r="J316" t="s">
        <v>6384</v>
      </c>
      <c r="K316" t="s">
        <v>74</v>
      </c>
      <c r="L316" t="s">
        <v>74</v>
      </c>
      <c r="M316" t="s">
        <v>78</v>
      </c>
      <c r="N316" t="s">
        <v>79</v>
      </c>
      <c r="O316" t="s">
        <v>74</v>
      </c>
      <c r="P316" t="s">
        <v>74</v>
      </c>
      <c r="Q316" t="s">
        <v>74</v>
      </c>
      <c r="R316" t="s">
        <v>74</v>
      </c>
      <c r="S316" t="s">
        <v>74</v>
      </c>
      <c r="T316" t="s">
        <v>6385</v>
      </c>
      <c r="U316" t="s">
        <v>6386</v>
      </c>
      <c r="V316" t="s">
        <v>74</v>
      </c>
      <c r="W316" t="s">
        <v>6387</v>
      </c>
      <c r="X316" t="s">
        <v>6388</v>
      </c>
      <c r="Y316" t="s">
        <v>6389</v>
      </c>
      <c r="Z316" t="s">
        <v>74</v>
      </c>
      <c r="AA316" t="s">
        <v>6390</v>
      </c>
      <c r="AB316" t="s">
        <v>6391</v>
      </c>
      <c r="AC316" t="s">
        <v>6392</v>
      </c>
      <c r="AD316" t="s">
        <v>6393</v>
      </c>
      <c r="AE316" t="s">
        <v>6394</v>
      </c>
      <c r="AF316" t="s">
        <v>74</v>
      </c>
      <c r="AG316">
        <v>26</v>
      </c>
      <c r="AH316">
        <v>4</v>
      </c>
      <c r="AI316">
        <v>5</v>
      </c>
      <c r="AJ316">
        <v>0</v>
      </c>
      <c r="AK316">
        <v>1</v>
      </c>
      <c r="AL316" t="s">
        <v>6395</v>
      </c>
      <c r="AM316" t="s">
        <v>6396</v>
      </c>
      <c r="AN316" t="s">
        <v>6397</v>
      </c>
      <c r="AO316" t="s">
        <v>6398</v>
      </c>
      <c r="AP316" t="s">
        <v>6399</v>
      </c>
      <c r="AQ316" t="s">
        <v>74</v>
      </c>
      <c r="AR316" t="s">
        <v>6384</v>
      </c>
      <c r="AS316" t="s">
        <v>6384</v>
      </c>
      <c r="AT316" t="s">
        <v>74</v>
      </c>
      <c r="AU316">
        <v>2018</v>
      </c>
      <c r="AV316">
        <v>65</v>
      </c>
      <c r="AW316">
        <v>3</v>
      </c>
      <c r="AX316" t="s">
        <v>74</v>
      </c>
      <c r="AY316" t="s">
        <v>74</v>
      </c>
      <c r="AZ316" t="s">
        <v>74</v>
      </c>
      <c r="BA316" t="s">
        <v>74</v>
      </c>
      <c r="BB316">
        <v>168</v>
      </c>
      <c r="BC316">
        <v>173</v>
      </c>
      <c r="BD316" t="s">
        <v>74</v>
      </c>
      <c r="BE316" t="s">
        <v>74</v>
      </c>
      <c r="BF316" t="s">
        <v>74</v>
      </c>
      <c r="BG316" t="s">
        <v>74</v>
      </c>
      <c r="BH316" t="s">
        <v>74</v>
      </c>
      <c r="BI316">
        <v>6</v>
      </c>
      <c r="BJ316" t="s">
        <v>4328</v>
      </c>
      <c r="BK316" t="s">
        <v>101</v>
      </c>
      <c r="BL316" t="s">
        <v>655</v>
      </c>
      <c r="BM316" t="s">
        <v>6400</v>
      </c>
      <c r="BN316" t="s">
        <v>74</v>
      </c>
      <c r="BO316" t="s">
        <v>74</v>
      </c>
      <c r="BP316" t="s">
        <v>74</v>
      </c>
      <c r="BQ316" t="s">
        <v>74</v>
      </c>
      <c r="BR316" t="s">
        <v>105</v>
      </c>
      <c r="BS316" t="s">
        <v>6401</v>
      </c>
      <c r="BT316" t="str">
        <f>HYPERLINK("https%3A%2F%2Fwww.webofscience.com%2Fwos%2Fwoscc%2Ffull-record%2FWOS:000445206000005","View Full Record in Web of Science")</f>
        <v>View Full Record in Web of Science</v>
      </c>
    </row>
    <row r="317" spans="1:72" x14ac:dyDescent="0.15">
      <c r="A317" t="s">
        <v>72</v>
      </c>
      <c r="B317" t="s">
        <v>6402</v>
      </c>
      <c r="C317" t="s">
        <v>74</v>
      </c>
      <c r="D317" t="s">
        <v>74</v>
      </c>
      <c r="E317" t="s">
        <v>74</v>
      </c>
      <c r="F317" t="s">
        <v>6403</v>
      </c>
      <c r="G317" t="s">
        <v>74</v>
      </c>
      <c r="H317" t="s">
        <v>74</v>
      </c>
      <c r="I317" t="s">
        <v>6404</v>
      </c>
      <c r="J317" t="s">
        <v>6405</v>
      </c>
      <c r="K317" t="s">
        <v>74</v>
      </c>
      <c r="L317" t="s">
        <v>74</v>
      </c>
      <c r="M317" t="s">
        <v>78</v>
      </c>
      <c r="N317" t="s">
        <v>79</v>
      </c>
      <c r="O317" t="s">
        <v>74</v>
      </c>
      <c r="P317" t="s">
        <v>74</v>
      </c>
      <c r="Q317" t="s">
        <v>74</v>
      </c>
      <c r="R317" t="s">
        <v>74</v>
      </c>
      <c r="S317" t="s">
        <v>74</v>
      </c>
      <c r="T317" t="s">
        <v>6406</v>
      </c>
      <c r="U317" t="s">
        <v>74</v>
      </c>
      <c r="V317" t="s">
        <v>74</v>
      </c>
      <c r="W317" t="s">
        <v>6407</v>
      </c>
      <c r="X317" t="s">
        <v>74</v>
      </c>
      <c r="Y317" t="s">
        <v>6408</v>
      </c>
      <c r="Z317" t="s">
        <v>6409</v>
      </c>
      <c r="AA317" t="s">
        <v>74</v>
      </c>
      <c r="AB317" t="s">
        <v>6410</v>
      </c>
      <c r="AC317" t="s">
        <v>6411</v>
      </c>
      <c r="AD317" t="s">
        <v>6411</v>
      </c>
      <c r="AE317" t="s">
        <v>6412</v>
      </c>
      <c r="AF317" t="s">
        <v>74</v>
      </c>
      <c r="AG317">
        <v>3</v>
      </c>
      <c r="AH317">
        <v>0</v>
      </c>
      <c r="AI317">
        <v>0</v>
      </c>
      <c r="AJ317">
        <v>0</v>
      </c>
      <c r="AK317">
        <v>3</v>
      </c>
      <c r="AL317" t="s">
        <v>2917</v>
      </c>
      <c r="AM317" t="s">
        <v>1701</v>
      </c>
      <c r="AN317" t="s">
        <v>2918</v>
      </c>
      <c r="AO317" t="s">
        <v>6413</v>
      </c>
      <c r="AP317" t="s">
        <v>6414</v>
      </c>
      <c r="AQ317" t="s">
        <v>74</v>
      </c>
      <c r="AR317" t="s">
        <v>6415</v>
      </c>
      <c r="AS317" t="s">
        <v>6416</v>
      </c>
      <c r="AT317" t="s">
        <v>74</v>
      </c>
      <c r="AU317">
        <v>2018</v>
      </c>
      <c r="AV317">
        <v>63</v>
      </c>
      <c r="AW317" t="s">
        <v>74</v>
      </c>
      <c r="AX317" t="s">
        <v>74</v>
      </c>
      <c r="AY317">
        <v>1</v>
      </c>
      <c r="AZ317" t="s">
        <v>1146</v>
      </c>
      <c r="BA317" t="s">
        <v>74</v>
      </c>
      <c r="BB317">
        <v>400</v>
      </c>
      <c r="BC317">
        <v>403</v>
      </c>
      <c r="BD317" t="s">
        <v>74</v>
      </c>
      <c r="BE317" t="s">
        <v>6417</v>
      </c>
      <c r="BF317" t="str">
        <f>HYPERLINK("http://dx.doi.org/10.1080/00393630.2018.1504512","http://dx.doi.org/10.1080/00393630.2018.1504512")</f>
        <v>http://dx.doi.org/10.1080/00393630.2018.1504512</v>
      </c>
      <c r="BG317" t="s">
        <v>74</v>
      </c>
      <c r="BH317" t="s">
        <v>74</v>
      </c>
      <c r="BI317">
        <v>4</v>
      </c>
      <c r="BJ317" t="s">
        <v>6418</v>
      </c>
      <c r="BK317" t="s">
        <v>6419</v>
      </c>
      <c r="BL317" t="s">
        <v>6420</v>
      </c>
      <c r="BM317" t="s">
        <v>6421</v>
      </c>
      <c r="BN317" t="s">
        <v>74</v>
      </c>
      <c r="BO317" t="s">
        <v>74</v>
      </c>
      <c r="BP317" t="s">
        <v>74</v>
      </c>
      <c r="BQ317" t="s">
        <v>74</v>
      </c>
      <c r="BR317" t="s">
        <v>105</v>
      </c>
      <c r="BS317" t="s">
        <v>6422</v>
      </c>
      <c r="BT317" t="str">
        <f>HYPERLINK("https%3A%2F%2Fwww.webofscience.com%2Fwos%2Fwoscc%2Ffull-record%2FWOS:000444444400075","View Full Record in Web of Science")</f>
        <v>View Full Record in Web of Science</v>
      </c>
    </row>
    <row r="318" spans="1:72" x14ac:dyDescent="0.15">
      <c r="A318" t="s">
        <v>72</v>
      </c>
      <c r="B318" t="s">
        <v>6423</v>
      </c>
      <c r="C318" t="s">
        <v>74</v>
      </c>
      <c r="D318" t="s">
        <v>74</v>
      </c>
      <c r="E318" t="s">
        <v>74</v>
      </c>
      <c r="F318" t="s">
        <v>6424</v>
      </c>
      <c r="G318" t="s">
        <v>74</v>
      </c>
      <c r="H318" t="s">
        <v>74</v>
      </c>
      <c r="I318" t="s">
        <v>6425</v>
      </c>
      <c r="J318" t="s">
        <v>6426</v>
      </c>
      <c r="K318" t="s">
        <v>74</v>
      </c>
      <c r="L318" t="s">
        <v>74</v>
      </c>
      <c r="M318" t="s">
        <v>78</v>
      </c>
      <c r="N318" t="s">
        <v>79</v>
      </c>
      <c r="O318" t="s">
        <v>74</v>
      </c>
      <c r="P318" t="s">
        <v>74</v>
      </c>
      <c r="Q318" t="s">
        <v>74</v>
      </c>
      <c r="R318" t="s">
        <v>74</v>
      </c>
      <c r="S318" t="s">
        <v>74</v>
      </c>
      <c r="T318" t="s">
        <v>74</v>
      </c>
      <c r="U318" t="s">
        <v>6427</v>
      </c>
      <c r="V318" t="s">
        <v>6428</v>
      </c>
      <c r="W318" t="s">
        <v>6429</v>
      </c>
      <c r="X318" t="s">
        <v>6430</v>
      </c>
      <c r="Y318" t="s">
        <v>6431</v>
      </c>
      <c r="Z318" t="s">
        <v>6432</v>
      </c>
      <c r="AA318" t="s">
        <v>74</v>
      </c>
      <c r="AB318" t="s">
        <v>74</v>
      </c>
      <c r="AC318" t="s">
        <v>6433</v>
      </c>
      <c r="AD318" t="s">
        <v>6434</v>
      </c>
      <c r="AE318" t="s">
        <v>6435</v>
      </c>
      <c r="AF318" t="s">
        <v>74</v>
      </c>
      <c r="AG318">
        <v>75</v>
      </c>
      <c r="AH318">
        <v>2</v>
      </c>
      <c r="AI318">
        <v>2</v>
      </c>
      <c r="AJ318">
        <v>0</v>
      </c>
      <c r="AK318">
        <v>6</v>
      </c>
      <c r="AL318" t="s">
        <v>2917</v>
      </c>
      <c r="AM318" t="s">
        <v>1701</v>
      </c>
      <c r="AN318" t="s">
        <v>2918</v>
      </c>
      <c r="AO318" t="s">
        <v>6436</v>
      </c>
      <c r="AP318" t="s">
        <v>6437</v>
      </c>
      <c r="AQ318" t="s">
        <v>74</v>
      </c>
      <c r="AR318" t="s">
        <v>6438</v>
      </c>
      <c r="AS318" t="s">
        <v>6439</v>
      </c>
      <c r="AT318" t="s">
        <v>74</v>
      </c>
      <c r="AU318">
        <v>2018</v>
      </c>
      <c r="AV318">
        <v>21</v>
      </c>
      <c r="AW318">
        <v>2</v>
      </c>
      <c r="AX318" t="s">
        <v>74</v>
      </c>
      <c r="AY318" t="s">
        <v>74</v>
      </c>
      <c r="AZ318" t="s">
        <v>74</v>
      </c>
      <c r="BA318" t="s">
        <v>74</v>
      </c>
      <c r="BB318">
        <v>194</v>
      </c>
      <c r="BC318">
        <v>214</v>
      </c>
      <c r="BD318" t="s">
        <v>74</v>
      </c>
      <c r="BE318" t="s">
        <v>6440</v>
      </c>
      <c r="BF318" t="str">
        <f>HYPERLINK("http://dx.doi.org/10.1080/21550085.2018.1509483","http://dx.doi.org/10.1080/21550085.2018.1509483")</f>
        <v>http://dx.doi.org/10.1080/21550085.2018.1509483</v>
      </c>
      <c r="BG318" t="s">
        <v>74</v>
      </c>
      <c r="BH318" t="s">
        <v>74</v>
      </c>
      <c r="BI318">
        <v>21</v>
      </c>
      <c r="BJ318" t="s">
        <v>6441</v>
      </c>
      <c r="BK318" t="s">
        <v>2081</v>
      </c>
      <c r="BL318" t="s">
        <v>1120</v>
      </c>
      <c r="BM318" t="s">
        <v>6442</v>
      </c>
      <c r="BN318" t="s">
        <v>74</v>
      </c>
      <c r="BO318" t="s">
        <v>432</v>
      </c>
      <c r="BP318" t="s">
        <v>74</v>
      </c>
      <c r="BQ318" t="s">
        <v>74</v>
      </c>
      <c r="BR318" t="s">
        <v>105</v>
      </c>
      <c r="BS318" t="s">
        <v>6443</v>
      </c>
      <c r="BT318" t="str">
        <f>HYPERLINK("https%3A%2F%2Fwww.webofscience.com%2Fwos%2Fwoscc%2Ffull-record%2FWOS:000444483100008","View Full Record in Web of Science")</f>
        <v>View Full Record in Web of Science</v>
      </c>
    </row>
    <row r="319" spans="1:72" x14ac:dyDescent="0.15">
      <c r="A319" t="s">
        <v>72</v>
      </c>
      <c r="B319" t="s">
        <v>6444</v>
      </c>
      <c r="C319" t="s">
        <v>74</v>
      </c>
      <c r="D319" t="s">
        <v>74</v>
      </c>
      <c r="E319" t="s">
        <v>74</v>
      </c>
      <c r="F319" t="s">
        <v>6445</v>
      </c>
      <c r="G319" t="s">
        <v>74</v>
      </c>
      <c r="H319" t="s">
        <v>74</v>
      </c>
      <c r="I319" t="s">
        <v>6446</v>
      </c>
      <c r="J319" t="s">
        <v>6447</v>
      </c>
      <c r="K319" t="s">
        <v>74</v>
      </c>
      <c r="L319" t="s">
        <v>74</v>
      </c>
      <c r="M319" t="s">
        <v>78</v>
      </c>
      <c r="N319" t="s">
        <v>79</v>
      </c>
      <c r="O319" t="s">
        <v>74</v>
      </c>
      <c r="P319" t="s">
        <v>74</v>
      </c>
      <c r="Q319" t="s">
        <v>74</v>
      </c>
      <c r="R319" t="s">
        <v>74</v>
      </c>
      <c r="S319" t="s">
        <v>74</v>
      </c>
      <c r="T319" t="s">
        <v>6448</v>
      </c>
      <c r="U319" t="s">
        <v>6449</v>
      </c>
      <c r="V319" t="s">
        <v>6450</v>
      </c>
      <c r="W319" t="s">
        <v>6451</v>
      </c>
      <c r="X319" t="s">
        <v>3664</v>
      </c>
      <c r="Y319" t="s">
        <v>6452</v>
      </c>
      <c r="Z319" t="s">
        <v>6453</v>
      </c>
      <c r="AA319" t="s">
        <v>6454</v>
      </c>
      <c r="AB319" t="s">
        <v>6455</v>
      </c>
      <c r="AC319" t="s">
        <v>6456</v>
      </c>
      <c r="AD319" t="s">
        <v>6457</v>
      </c>
      <c r="AE319" t="s">
        <v>6458</v>
      </c>
      <c r="AF319" t="s">
        <v>74</v>
      </c>
      <c r="AG319">
        <v>51</v>
      </c>
      <c r="AH319">
        <v>4</v>
      </c>
      <c r="AI319">
        <v>4</v>
      </c>
      <c r="AJ319">
        <v>2</v>
      </c>
      <c r="AK319">
        <v>14</v>
      </c>
      <c r="AL319" t="s">
        <v>4791</v>
      </c>
      <c r="AM319" t="s">
        <v>4792</v>
      </c>
      <c r="AN319" t="s">
        <v>4793</v>
      </c>
      <c r="AO319" t="s">
        <v>6459</v>
      </c>
      <c r="AP319" t="s">
        <v>6460</v>
      </c>
      <c r="AQ319" t="s">
        <v>74</v>
      </c>
      <c r="AR319" t="s">
        <v>6461</v>
      </c>
      <c r="AS319" t="s">
        <v>6462</v>
      </c>
      <c r="AT319" t="s">
        <v>74</v>
      </c>
      <c r="AU319">
        <v>2018</v>
      </c>
      <c r="AV319">
        <v>41</v>
      </c>
      <c r="AW319">
        <v>4</v>
      </c>
      <c r="AX319" t="s">
        <v>74</v>
      </c>
      <c r="AY319" t="s">
        <v>74</v>
      </c>
      <c r="AZ319" t="s">
        <v>74</v>
      </c>
      <c r="BA319" t="s">
        <v>74</v>
      </c>
      <c r="BB319">
        <v>353</v>
      </c>
      <c r="BC319">
        <v>367</v>
      </c>
      <c r="BD319" t="s">
        <v>74</v>
      </c>
      <c r="BE319" t="s">
        <v>6463</v>
      </c>
      <c r="BF319" t="str">
        <f>HYPERLINK("http://dx.doi.org/10.1080/01490419.2018.1454370","http://dx.doi.org/10.1080/01490419.2018.1454370")</f>
        <v>http://dx.doi.org/10.1080/01490419.2018.1454370</v>
      </c>
      <c r="BG319" t="s">
        <v>74</v>
      </c>
      <c r="BH319" t="s">
        <v>74</v>
      </c>
      <c r="BI319">
        <v>15</v>
      </c>
      <c r="BJ319" t="s">
        <v>6464</v>
      </c>
      <c r="BK319" t="s">
        <v>101</v>
      </c>
      <c r="BL319" t="s">
        <v>6464</v>
      </c>
      <c r="BM319" t="s">
        <v>6465</v>
      </c>
      <c r="BN319" t="s">
        <v>74</v>
      </c>
      <c r="BO319" t="s">
        <v>74</v>
      </c>
      <c r="BP319" t="s">
        <v>74</v>
      </c>
      <c r="BQ319" t="s">
        <v>74</v>
      </c>
      <c r="BR319" t="s">
        <v>105</v>
      </c>
      <c r="BS319" t="s">
        <v>6466</v>
      </c>
      <c r="BT319" t="str">
        <f>HYPERLINK("https%3A%2F%2Fwww.webofscience.com%2Fwos%2Fwoscc%2Ffull-record%2FWOS:000444440400003","View Full Record in Web of Science")</f>
        <v>View Full Record in Web of Science</v>
      </c>
    </row>
    <row r="320" spans="1:72" x14ac:dyDescent="0.15">
      <c r="A320" t="s">
        <v>72</v>
      </c>
      <c r="B320" t="s">
        <v>6467</v>
      </c>
      <c r="C320" t="s">
        <v>74</v>
      </c>
      <c r="D320" t="s">
        <v>74</v>
      </c>
      <c r="E320" t="s">
        <v>74</v>
      </c>
      <c r="F320" t="s">
        <v>6468</v>
      </c>
      <c r="G320" t="s">
        <v>74</v>
      </c>
      <c r="H320" t="s">
        <v>74</v>
      </c>
      <c r="I320" t="s">
        <v>6469</v>
      </c>
      <c r="J320" t="s">
        <v>6470</v>
      </c>
      <c r="K320" t="s">
        <v>74</v>
      </c>
      <c r="L320" t="s">
        <v>74</v>
      </c>
      <c r="M320" t="s">
        <v>78</v>
      </c>
      <c r="N320" t="s">
        <v>79</v>
      </c>
      <c r="O320" t="s">
        <v>74</v>
      </c>
      <c r="P320" t="s">
        <v>74</v>
      </c>
      <c r="Q320" t="s">
        <v>74</v>
      </c>
      <c r="R320" t="s">
        <v>74</v>
      </c>
      <c r="S320" t="s">
        <v>74</v>
      </c>
      <c r="T320" t="s">
        <v>74</v>
      </c>
      <c r="U320" t="s">
        <v>6471</v>
      </c>
      <c r="V320" t="s">
        <v>74</v>
      </c>
      <c r="W320" t="s">
        <v>6472</v>
      </c>
      <c r="X320" t="s">
        <v>6473</v>
      </c>
      <c r="Y320" t="s">
        <v>6474</v>
      </c>
      <c r="Z320" t="s">
        <v>6475</v>
      </c>
      <c r="AA320" t="s">
        <v>6476</v>
      </c>
      <c r="AB320" t="s">
        <v>6477</v>
      </c>
      <c r="AC320" t="s">
        <v>6478</v>
      </c>
      <c r="AD320" t="s">
        <v>6479</v>
      </c>
      <c r="AE320" t="s">
        <v>74</v>
      </c>
      <c r="AF320" t="s">
        <v>74</v>
      </c>
      <c r="AG320">
        <v>533</v>
      </c>
      <c r="AH320">
        <v>95</v>
      </c>
      <c r="AI320">
        <v>97</v>
      </c>
      <c r="AJ320">
        <v>0</v>
      </c>
      <c r="AK320">
        <v>36</v>
      </c>
      <c r="AL320" t="s">
        <v>1700</v>
      </c>
      <c r="AM320" t="s">
        <v>1701</v>
      </c>
      <c r="AN320" t="s">
        <v>1702</v>
      </c>
      <c r="AO320" t="s">
        <v>6480</v>
      </c>
      <c r="AP320" t="s">
        <v>6481</v>
      </c>
      <c r="AQ320" t="s">
        <v>74</v>
      </c>
      <c r="AR320" t="s">
        <v>6482</v>
      </c>
      <c r="AS320" t="s">
        <v>6483</v>
      </c>
      <c r="AT320" t="s">
        <v>74</v>
      </c>
      <c r="AU320">
        <v>2018</v>
      </c>
      <c r="AV320">
        <v>11</v>
      </c>
      <c r="AW320" t="s">
        <v>74</v>
      </c>
      <c r="AX320" t="s">
        <v>74</v>
      </c>
      <c r="AY320">
        <v>1</v>
      </c>
      <c r="AZ320" t="s">
        <v>74</v>
      </c>
      <c r="BA320" t="s">
        <v>74</v>
      </c>
      <c r="BB320" t="s">
        <v>6484</v>
      </c>
      <c r="BC320" t="s">
        <v>6485</v>
      </c>
      <c r="BD320" t="s">
        <v>74</v>
      </c>
      <c r="BE320" t="s">
        <v>6486</v>
      </c>
      <c r="BF320" t="str">
        <f>HYPERLINK("http://dx.doi.org/10.1080/1755876X.2018.1489208","http://dx.doi.org/10.1080/1755876X.2018.1489208")</f>
        <v>http://dx.doi.org/10.1080/1755876X.2018.1489208</v>
      </c>
      <c r="BG320" t="s">
        <v>74</v>
      </c>
      <c r="BH320" t="s">
        <v>74</v>
      </c>
      <c r="BI320">
        <v>142</v>
      </c>
      <c r="BJ320" t="s">
        <v>4750</v>
      </c>
      <c r="BK320" t="s">
        <v>101</v>
      </c>
      <c r="BL320" t="s">
        <v>4750</v>
      </c>
      <c r="BM320" t="s">
        <v>6487</v>
      </c>
      <c r="BN320" t="s">
        <v>74</v>
      </c>
      <c r="BO320" t="s">
        <v>6488</v>
      </c>
      <c r="BP320" t="s">
        <v>74</v>
      </c>
      <c r="BQ320" t="s">
        <v>74</v>
      </c>
      <c r="BR320" t="s">
        <v>105</v>
      </c>
      <c r="BS320" t="s">
        <v>6489</v>
      </c>
      <c r="BT320" t="str">
        <f>HYPERLINK("https%3A%2F%2Fwww.webofscience.com%2Fwos%2Fwoscc%2Ffull-record%2FWOS:000443999300001","View Full Record in Web of Science")</f>
        <v>View Full Record in Web of Science</v>
      </c>
    </row>
    <row r="321" spans="1:72" x14ac:dyDescent="0.15">
      <c r="A321" t="s">
        <v>1776</v>
      </c>
      <c r="B321" t="s">
        <v>6490</v>
      </c>
      <c r="C321" t="s">
        <v>74</v>
      </c>
      <c r="D321" t="s">
        <v>74</v>
      </c>
      <c r="E321" t="s">
        <v>1778</v>
      </c>
      <c r="F321" t="s">
        <v>6491</v>
      </c>
      <c r="G321" t="s">
        <v>74</v>
      </c>
      <c r="H321" t="s">
        <v>74</v>
      </c>
      <c r="I321" t="s">
        <v>6492</v>
      </c>
      <c r="J321" t="s">
        <v>6493</v>
      </c>
      <c r="K321" t="s">
        <v>6494</v>
      </c>
      <c r="L321" t="s">
        <v>74</v>
      </c>
      <c r="M321" t="s">
        <v>78</v>
      </c>
      <c r="N321" t="s">
        <v>1782</v>
      </c>
      <c r="O321" t="s">
        <v>6494</v>
      </c>
      <c r="P321" t="s">
        <v>6495</v>
      </c>
      <c r="Q321" t="s">
        <v>6496</v>
      </c>
      <c r="R321" t="s">
        <v>74</v>
      </c>
      <c r="S321" t="s">
        <v>74</v>
      </c>
      <c r="T321" t="s">
        <v>6497</v>
      </c>
      <c r="U321" t="s">
        <v>6498</v>
      </c>
      <c r="V321" t="s">
        <v>6499</v>
      </c>
      <c r="W321" t="s">
        <v>6500</v>
      </c>
      <c r="X321" t="s">
        <v>6501</v>
      </c>
      <c r="Y321" t="s">
        <v>6502</v>
      </c>
      <c r="Z321" t="s">
        <v>74</v>
      </c>
      <c r="AA321" t="s">
        <v>74</v>
      </c>
      <c r="AB321" t="s">
        <v>74</v>
      </c>
      <c r="AC321" t="s">
        <v>6503</v>
      </c>
      <c r="AD321" t="s">
        <v>6504</v>
      </c>
      <c r="AE321" t="s">
        <v>6505</v>
      </c>
      <c r="AF321" t="s">
        <v>74</v>
      </c>
      <c r="AG321">
        <v>14</v>
      </c>
      <c r="AH321">
        <v>2</v>
      </c>
      <c r="AI321">
        <v>4</v>
      </c>
      <c r="AJ321">
        <v>0</v>
      </c>
      <c r="AK321">
        <v>2</v>
      </c>
      <c r="AL321" t="s">
        <v>1778</v>
      </c>
      <c r="AM321" t="s">
        <v>1797</v>
      </c>
      <c r="AN321" t="s">
        <v>1798</v>
      </c>
      <c r="AO321" t="s">
        <v>6506</v>
      </c>
      <c r="AP321" t="s">
        <v>74</v>
      </c>
      <c r="AQ321" t="s">
        <v>6507</v>
      </c>
      <c r="AR321" t="s">
        <v>6508</v>
      </c>
      <c r="AS321" t="s">
        <v>74</v>
      </c>
      <c r="AT321" t="s">
        <v>74</v>
      </c>
      <c r="AU321">
        <v>2018</v>
      </c>
      <c r="AV321" t="s">
        <v>74</v>
      </c>
      <c r="AW321" t="s">
        <v>74</v>
      </c>
      <c r="AX321" t="s">
        <v>74</v>
      </c>
      <c r="AY321" t="s">
        <v>74</v>
      </c>
      <c r="AZ321" t="s">
        <v>74</v>
      </c>
      <c r="BA321" t="s">
        <v>74</v>
      </c>
      <c r="BB321">
        <v>1033</v>
      </c>
      <c r="BC321">
        <v>1036</v>
      </c>
      <c r="BD321" t="s">
        <v>74</v>
      </c>
      <c r="BE321" t="s">
        <v>74</v>
      </c>
      <c r="BF321" t="s">
        <v>74</v>
      </c>
      <c r="BG321" t="s">
        <v>74</v>
      </c>
      <c r="BH321" t="s">
        <v>74</v>
      </c>
      <c r="BI321">
        <v>4</v>
      </c>
      <c r="BJ321" t="s">
        <v>4669</v>
      </c>
      <c r="BK321" t="s">
        <v>1801</v>
      </c>
      <c r="BL321" t="s">
        <v>4670</v>
      </c>
      <c r="BM321" t="s">
        <v>6509</v>
      </c>
      <c r="BN321" t="s">
        <v>74</v>
      </c>
      <c r="BO321" t="s">
        <v>74</v>
      </c>
      <c r="BP321" t="s">
        <v>74</v>
      </c>
      <c r="BQ321" t="s">
        <v>74</v>
      </c>
      <c r="BR321" t="s">
        <v>105</v>
      </c>
      <c r="BS321" t="s">
        <v>6510</v>
      </c>
      <c r="BT321" t="str">
        <f>HYPERLINK("https%3A%2F%2Fwww.webofscience.com%2Fwos%2Fwoscc%2Ffull-record%2FWOS:000442172700183","View Full Record in Web of Science")</f>
        <v>View Full Record in Web of Science</v>
      </c>
    </row>
    <row r="322" spans="1:72" x14ac:dyDescent="0.15">
      <c r="A322" t="s">
        <v>72</v>
      </c>
      <c r="B322" t="s">
        <v>6511</v>
      </c>
      <c r="C322" t="s">
        <v>74</v>
      </c>
      <c r="D322" t="s">
        <v>74</v>
      </c>
      <c r="E322" t="s">
        <v>74</v>
      </c>
      <c r="F322" t="s">
        <v>6512</v>
      </c>
      <c r="G322" t="s">
        <v>74</v>
      </c>
      <c r="H322" t="s">
        <v>74</v>
      </c>
      <c r="I322" t="s">
        <v>6513</v>
      </c>
      <c r="J322" t="s">
        <v>6514</v>
      </c>
      <c r="K322" t="s">
        <v>74</v>
      </c>
      <c r="L322" t="s">
        <v>74</v>
      </c>
      <c r="M322" t="s">
        <v>78</v>
      </c>
      <c r="N322" t="s">
        <v>79</v>
      </c>
      <c r="O322" t="s">
        <v>74</v>
      </c>
      <c r="P322" t="s">
        <v>74</v>
      </c>
      <c r="Q322" t="s">
        <v>74</v>
      </c>
      <c r="R322" t="s">
        <v>74</v>
      </c>
      <c r="S322" t="s">
        <v>74</v>
      </c>
      <c r="T322" t="s">
        <v>6515</v>
      </c>
      <c r="U322" t="s">
        <v>6516</v>
      </c>
      <c r="V322" t="s">
        <v>6517</v>
      </c>
      <c r="W322" t="s">
        <v>6518</v>
      </c>
      <c r="X322" t="s">
        <v>6519</v>
      </c>
      <c r="Y322" t="s">
        <v>6520</v>
      </c>
      <c r="Z322" t="s">
        <v>6521</v>
      </c>
      <c r="AA322" t="s">
        <v>6522</v>
      </c>
      <c r="AB322" t="s">
        <v>6523</v>
      </c>
      <c r="AC322" t="s">
        <v>6524</v>
      </c>
      <c r="AD322" t="s">
        <v>6525</v>
      </c>
      <c r="AE322" t="s">
        <v>6526</v>
      </c>
      <c r="AF322" t="s">
        <v>74</v>
      </c>
      <c r="AG322">
        <v>62</v>
      </c>
      <c r="AH322">
        <v>53</v>
      </c>
      <c r="AI322">
        <v>53</v>
      </c>
      <c r="AJ322">
        <v>0</v>
      </c>
      <c r="AK322">
        <v>21</v>
      </c>
      <c r="AL322" t="s">
        <v>1700</v>
      </c>
      <c r="AM322" t="s">
        <v>1701</v>
      </c>
      <c r="AN322" t="s">
        <v>1702</v>
      </c>
      <c r="AO322" t="s">
        <v>6527</v>
      </c>
      <c r="AP322" t="s">
        <v>6528</v>
      </c>
      <c r="AQ322" t="s">
        <v>74</v>
      </c>
      <c r="AR322" t="s">
        <v>6529</v>
      </c>
      <c r="AS322" t="s">
        <v>6530</v>
      </c>
      <c r="AT322" t="s">
        <v>74</v>
      </c>
      <c r="AU322">
        <v>2018</v>
      </c>
      <c r="AV322">
        <v>52</v>
      </c>
      <c r="AW322">
        <v>3</v>
      </c>
      <c r="AX322" t="s">
        <v>74</v>
      </c>
      <c r="AY322" t="s">
        <v>74</v>
      </c>
      <c r="AZ322" t="s">
        <v>74</v>
      </c>
      <c r="BA322" t="s">
        <v>74</v>
      </c>
      <c r="BB322">
        <v>309</v>
      </c>
      <c r="BC322">
        <v>335</v>
      </c>
      <c r="BD322" t="s">
        <v>74</v>
      </c>
      <c r="BE322" t="s">
        <v>6531</v>
      </c>
      <c r="BF322" t="str">
        <f>HYPERLINK("http://dx.doi.org/10.1080/00288330.2017.1390772","http://dx.doi.org/10.1080/00288330.2017.1390772")</f>
        <v>http://dx.doi.org/10.1080/00288330.2017.1390772</v>
      </c>
      <c r="BG322" t="s">
        <v>74</v>
      </c>
      <c r="BH322" t="s">
        <v>74</v>
      </c>
      <c r="BI322">
        <v>27</v>
      </c>
      <c r="BJ322" t="s">
        <v>5119</v>
      </c>
      <c r="BK322" t="s">
        <v>101</v>
      </c>
      <c r="BL322" t="s">
        <v>5119</v>
      </c>
      <c r="BM322" t="s">
        <v>6532</v>
      </c>
      <c r="BN322" t="s">
        <v>74</v>
      </c>
      <c r="BO322" t="s">
        <v>74</v>
      </c>
      <c r="BP322" t="s">
        <v>74</v>
      </c>
      <c r="BQ322" t="s">
        <v>74</v>
      </c>
      <c r="BR322" t="s">
        <v>105</v>
      </c>
      <c r="BS322" t="s">
        <v>6533</v>
      </c>
      <c r="BT322" t="str">
        <f>HYPERLINK("https%3A%2F%2Fwww.webofscience.com%2Fwos%2Fwoscc%2Ffull-record%2FWOS:000442757700001","View Full Record in Web of Science")</f>
        <v>View Full Record in Web of Science</v>
      </c>
    </row>
    <row r="323" spans="1:72" x14ac:dyDescent="0.15">
      <c r="A323" t="s">
        <v>1831</v>
      </c>
      <c r="B323" t="s">
        <v>6534</v>
      </c>
      <c r="C323" t="s">
        <v>74</v>
      </c>
      <c r="D323" t="s">
        <v>6535</v>
      </c>
      <c r="E323" t="s">
        <v>74</v>
      </c>
      <c r="F323" t="s">
        <v>6536</v>
      </c>
      <c r="G323" t="s">
        <v>74</v>
      </c>
      <c r="H323" t="s">
        <v>74</v>
      </c>
      <c r="I323" t="s">
        <v>6537</v>
      </c>
      <c r="J323" t="s">
        <v>6538</v>
      </c>
      <c r="K323" t="s">
        <v>6539</v>
      </c>
      <c r="L323" t="s">
        <v>74</v>
      </c>
      <c r="M323" t="s">
        <v>78</v>
      </c>
      <c r="N323" t="s">
        <v>1862</v>
      </c>
      <c r="O323" t="s">
        <v>74</v>
      </c>
      <c r="P323" t="s">
        <v>74</v>
      </c>
      <c r="Q323" t="s">
        <v>74</v>
      </c>
      <c r="R323" t="s">
        <v>74</v>
      </c>
      <c r="S323" t="s">
        <v>74</v>
      </c>
      <c r="T323" t="s">
        <v>74</v>
      </c>
      <c r="U323" t="s">
        <v>74</v>
      </c>
      <c r="V323" t="s">
        <v>6540</v>
      </c>
      <c r="W323" t="s">
        <v>6541</v>
      </c>
      <c r="X323" t="s">
        <v>74</v>
      </c>
      <c r="Y323" t="s">
        <v>6542</v>
      </c>
      <c r="Z323" t="s">
        <v>6543</v>
      </c>
      <c r="AA323" t="s">
        <v>74</v>
      </c>
      <c r="AB323" t="s">
        <v>74</v>
      </c>
      <c r="AC323" t="s">
        <v>74</v>
      </c>
      <c r="AD323" t="s">
        <v>74</v>
      </c>
      <c r="AE323" t="s">
        <v>74</v>
      </c>
      <c r="AF323" t="s">
        <v>74</v>
      </c>
      <c r="AG323">
        <v>0</v>
      </c>
      <c r="AH323">
        <v>0</v>
      </c>
      <c r="AI323">
        <v>0</v>
      </c>
      <c r="AJ323">
        <v>0</v>
      </c>
      <c r="AK323">
        <v>1</v>
      </c>
      <c r="AL323" t="s">
        <v>1848</v>
      </c>
      <c r="AM323" t="s">
        <v>698</v>
      </c>
      <c r="AN323" t="s">
        <v>1849</v>
      </c>
      <c r="AO323" t="s">
        <v>6544</v>
      </c>
      <c r="AP323" t="s">
        <v>6545</v>
      </c>
      <c r="AQ323" t="s">
        <v>6546</v>
      </c>
      <c r="AR323" t="s">
        <v>6547</v>
      </c>
      <c r="AS323" t="s">
        <v>74</v>
      </c>
      <c r="AT323" t="s">
        <v>74</v>
      </c>
      <c r="AU323">
        <v>2018</v>
      </c>
      <c r="AV323">
        <v>23</v>
      </c>
      <c r="AW323" t="s">
        <v>74</v>
      </c>
      <c r="AX323" t="s">
        <v>74</v>
      </c>
      <c r="AY323" t="s">
        <v>74</v>
      </c>
      <c r="AZ323" t="s">
        <v>74</v>
      </c>
      <c r="BA323" t="s">
        <v>74</v>
      </c>
      <c r="BB323">
        <v>593</v>
      </c>
      <c r="BC323">
        <v>597</v>
      </c>
      <c r="BD323" t="s">
        <v>74</v>
      </c>
      <c r="BE323" t="s">
        <v>6548</v>
      </c>
      <c r="BF323" t="str">
        <f>HYPERLINK("http://dx.doi.org/10.1007/978-3-319-57577-3_35","http://dx.doi.org/10.1007/978-3-319-57577-3_35")</f>
        <v>http://dx.doi.org/10.1007/978-3-319-57577-3_35</v>
      </c>
      <c r="BG323" t="s">
        <v>6549</v>
      </c>
      <c r="BH323" t="s">
        <v>74</v>
      </c>
      <c r="BI323">
        <v>5</v>
      </c>
      <c r="BJ323" t="s">
        <v>280</v>
      </c>
      <c r="BK323" t="s">
        <v>1856</v>
      </c>
      <c r="BL323" t="s">
        <v>281</v>
      </c>
      <c r="BM323" t="s">
        <v>6550</v>
      </c>
      <c r="BN323" t="s">
        <v>74</v>
      </c>
      <c r="BO323" t="s">
        <v>74</v>
      </c>
      <c r="BP323" t="s">
        <v>74</v>
      </c>
      <c r="BQ323" t="s">
        <v>74</v>
      </c>
      <c r="BR323" t="s">
        <v>105</v>
      </c>
      <c r="BS323" t="s">
        <v>6551</v>
      </c>
      <c r="BT323" t="str">
        <f>HYPERLINK("https%3A%2F%2Fwww.webofscience.com%2Fwos%2Fwoscc%2Ffull-record%2FWOS:000437098200036","View Full Record in Web of Science")</f>
        <v>View Full Record in Web of Science</v>
      </c>
    </row>
    <row r="324" spans="1:72" x14ac:dyDescent="0.15">
      <c r="A324" t="s">
        <v>72</v>
      </c>
      <c r="B324" t="s">
        <v>6552</v>
      </c>
      <c r="C324" t="s">
        <v>74</v>
      </c>
      <c r="D324" t="s">
        <v>74</v>
      </c>
      <c r="E324" t="s">
        <v>74</v>
      </c>
      <c r="F324" t="s">
        <v>6553</v>
      </c>
      <c r="G324" t="s">
        <v>74</v>
      </c>
      <c r="H324" t="s">
        <v>74</v>
      </c>
      <c r="I324" t="s">
        <v>6554</v>
      </c>
      <c r="J324" t="s">
        <v>6555</v>
      </c>
      <c r="K324" t="s">
        <v>74</v>
      </c>
      <c r="L324" t="s">
        <v>74</v>
      </c>
      <c r="M324" t="s">
        <v>78</v>
      </c>
      <c r="N324" t="s">
        <v>79</v>
      </c>
      <c r="O324" t="s">
        <v>74</v>
      </c>
      <c r="P324" t="s">
        <v>74</v>
      </c>
      <c r="Q324" t="s">
        <v>74</v>
      </c>
      <c r="R324" t="s">
        <v>74</v>
      </c>
      <c r="S324" t="s">
        <v>74</v>
      </c>
      <c r="T324" t="s">
        <v>6556</v>
      </c>
      <c r="U324" t="s">
        <v>6557</v>
      </c>
      <c r="V324" t="s">
        <v>6558</v>
      </c>
      <c r="W324" t="s">
        <v>6559</v>
      </c>
      <c r="X324" t="s">
        <v>6560</v>
      </c>
      <c r="Y324" t="s">
        <v>6561</v>
      </c>
      <c r="Z324" t="s">
        <v>6562</v>
      </c>
      <c r="AA324" t="s">
        <v>6563</v>
      </c>
      <c r="AB324" t="s">
        <v>6564</v>
      </c>
      <c r="AC324" t="s">
        <v>6565</v>
      </c>
      <c r="AD324" t="s">
        <v>6566</v>
      </c>
      <c r="AE324" t="s">
        <v>6567</v>
      </c>
      <c r="AF324" t="s">
        <v>74</v>
      </c>
      <c r="AG324">
        <v>57</v>
      </c>
      <c r="AH324">
        <v>6</v>
      </c>
      <c r="AI324">
        <v>6</v>
      </c>
      <c r="AJ324">
        <v>0</v>
      </c>
      <c r="AK324">
        <v>5</v>
      </c>
      <c r="AL324" t="s">
        <v>5110</v>
      </c>
      <c r="AM324" t="s">
        <v>5111</v>
      </c>
      <c r="AN324" t="s">
        <v>5112</v>
      </c>
      <c r="AO324" t="s">
        <v>6568</v>
      </c>
      <c r="AP324" t="s">
        <v>6569</v>
      </c>
      <c r="AQ324" t="s">
        <v>74</v>
      </c>
      <c r="AR324" t="s">
        <v>6570</v>
      </c>
      <c r="AS324" t="s">
        <v>6571</v>
      </c>
      <c r="AT324" t="s">
        <v>74</v>
      </c>
      <c r="AU324">
        <v>2018</v>
      </c>
      <c r="AV324">
        <v>32</v>
      </c>
      <c r="AW324">
        <v>4</v>
      </c>
      <c r="AX324" t="s">
        <v>74</v>
      </c>
      <c r="AY324" t="s">
        <v>74</v>
      </c>
      <c r="AZ324" t="s">
        <v>74</v>
      </c>
      <c r="BA324" t="s">
        <v>74</v>
      </c>
      <c r="BB324">
        <v>827</v>
      </c>
      <c r="BC324">
        <v>841</v>
      </c>
      <c r="BD324" t="s">
        <v>74</v>
      </c>
      <c r="BE324" t="s">
        <v>6572</v>
      </c>
      <c r="BF324" t="str">
        <f>HYPERLINK("http://dx.doi.org/10.1071/IS17033","http://dx.doi.org/10.1071/IS17033")</f>
        <v>http://dx.doi.org/10.1071/IS17033</v>
      </c>
      <c r="BG324" t="s">
        <v>74</v>
      </c>
      <c r="BH324" t="s">
        <v>74</v>
      </c>
      <c r="BI324">
        <v>15</v>
      </c>
      <c r="BJ324" t="s">
        <v>6573</v>
      </c>
      <c r="BK324" t="s">
        <v>101</v>
      </c>
      <c r="BL324" t="s">
        <v>6573</v>
      </c>
      <c r="BM324" t="s">
        <v>6574</v>
      </c>
      <c r="BN324" t="s">
        <v>74</v>
      </c>
      <c r="BO324" t="s">
        <v>74</v>
      </c>
      <c r="BP324" t="s">
        <v>74</v>
      </c>
      <c r="BQ324" t="s">
        <v>74</v>
      </c>
      <c r="BR324" t="s">
        <v>105</v>
      </c>
      <c r="BS324" t="s">
        <v>6575</v>
      </c>
      <c r="BT324" t="str">
        <f>HYPERLINK("https%3A%2F%2Fwww.webofscience.com%2Fwos%2Fwoscc%2Ffull-record%2FWOS:000441998900005","View Full Record in Web of Science")</f>
        <v>View Full Record in Web of Science</v>
      </c>
    </row>
    <row r="325" spans="1:72" x14ac:dyDescent="0.15">
      <c r="A325" t="s">
        <v>72</v>
      </c>
      <c r="B325" t="s">
        <v>6576</v>
      </c>
      <c r="C325" t="s">
        <v>74</v>
      </c>
      <c r="D325" t="s">
        <v>74</v>
      </c>
      <c r="E325" t="s">
        <v>74</v>
      </c>
      <c r="F325" t="s">
        <v>6577</v>
      </c>
      <c r="G325" t="s">
        <v>74</v>
      </c>
      <c r="H325" t="s">
        <v>74</v>
      </c>
      <c r="I325" t="s">
        <v>6578</v>
      </c>
      <c r="J325" t="s">
        <v>6579</v>
      </c>
      <c r="K325" t="s">
        <v>74</v>
      </c>
      <c r="L325" t="s">
        <v>74</v>
      </c>
      <c r="M325" t="s">
        <v>78</v>
      </c>
      <c r="N325" t="s">
        <v>79</v>
      </c>
      <c r="O325" t="s">
        <v>74</v>
      </c>
      <c r="P325" t="s">
        <v>74</v>
      </c>
      <c r="Q325" t="s">
        <v>74</v>
      </c>
      <c r="R325" t="s">
        <v>74</v>
      </c>
      <c r="S325" t="s">
        <v>74</v>
      </c>
      <c r="T325" t="s">
        <v>6580</v>
      </c>
      <c r="U325" t="s">
        <v>6581</v>
      </c>
      <c r="V325" t="s">
        <v>6582</v>
      </c>
      <c r="W325" t="s">
        <v>6583</v>
      </c>
      <c r="X325" t="s">
        <v>6584</v>
      </c>
      <c r="Y325" t="s">
        <v>6585</v>
      </c>
      <c r="Z325" t="s">
        <v>6586</v>
      </c>
      <c r="AA325" t="s">
        <v>6587</v>
      </c>
      <c r="AB325" t="s">
        <v>6588</v>
      </c>
      <c r="AC325" t="s">
        <v>6589</v>
      </c>
      <c r="AD325" t="s">
        <v>6590</v>
      </c>
      <c r="AE325" t="s">
        <v>6591</v>
      </c>
      <c r="AF325" t="s">
        <v>74</v>
      </c>
      <c r="AG325">
        <v>64</v>
      </c>
      <c r="AH325">
        <v>18</v>
      </c>
      <c r="AI325">
        <v>22</v>
      </c>
      <c r="AJ325">
        <v>1</v>
      </c>
      <c r="AK325">
        <v>7</v>
      </c>
      <c r="AL325" t="s">
        <v>1700</v>
      </c>
      <c r="AM325" t="s">
        <v>1701</v>
      </c>
      <c r="AN325" t="s">
        <v>1702</v>
      </c>
      <c r="AO325" t="s">
        <v>6592</v>
      </c>
      <c r="AP325" t="s">
        <v>6593</v>
      </c>
      <c r="AQ325" t="s">
        <v>74</v>
      </c>
      <c r="AR325" t="s">
        <v>6594</v>
      </c>
      <c r="AS325" t="s">
        <v>6595</v>
      </c>
      <c r="AT325" t="s">
        <v>74</v>
      </c>
      <c r="AU325">
        <v>2018</v>
      </c>
      <c r="AV325">
        <v>40</v>
      </c>
      <c r="AW325">
        <v>3</v>
      </c>
      <c r="AX325" t="s">
        <v>74</v>
      </c>
      <c r="AY325" t="s">
        <v>74</v>
      </c>
      <c r="AZ325" t="s">
        <v>74</v>
      </c>
      <c r="BA325" t="s">
        <v>74</v>
      </c>
      <c r="BB325">
        <v>251</v>
      </c>
      <c r="BC325">
        <v>264</v>
      </c>
      <c r="BD325" t="s">
        <v>74</v>
      </c>
      <c r="BE325" t="s">
        <v>6596</v>
      </c>
      <c r="BF325" t="str">
        <f>HYPERLINK("http://dx.doi.org/10.1080/03736687.2018.1472850","http://dx.doi.org/10.1080/03736687.2018.1472850")</f>
        <v>http://dx.doi.org/10.1080/03736687.2018.1472850</v>
      </c>
      <c r="BG325" t="s">
        <v>74</v>
      </c>
      <c r="BH325" t="s">
        <v>74</v>
      </c>
      <c r="BI325">
        <v>14</v>
      </c>
      <c r="BJ325" t="s">
        <v>492</v>
      </c>
      <c r="BK325" t="s">
        <v>101</v>
      </c>
      <c r="BL325" t="s">
        <v>492</v>
      </c>
      <c r="BM325" t="s">
        <v>6597</v>
      </c>
      <c r="BN325" t="s">
        <v>74</v>
      </c>
      <c r="BO325" t="s">
        <v>74</v>
      </c>
      <c r="BP325" t="s">
        <v>74</v>
      </c>
      <c r="BQ325" t="s">
        <v>74</v>
      </c>
      <c r="BR325" t="s">
        <v>105</v>
      </c>
      <c r="BS325" t="s">
        <v>6598</v>
      </c>
      <c r="BT325" t="str">
        <f>HYPERLINK("https%3A%2F%2Fwww.webofscience.com%2Fwos%2Fwoscc%2Ffull-record%2FWOS:000441652000004","View Full Record in Web of Science")</f>
        <v>View Full Record in Web of Science</v>
      </c>
    </row>
    <row r="326" spans="1:72" x14ac:dyDescent="0.15">
      <c r="A326" t="s">
        <v>72</v>
      </c>
      <c r="B326" t="s">
        <v>6599</v>
      </c>
      <c r="C326" t="s">
        <v>74</v>
      </c>
      <c r="D326" t="s">
        <v>74</v>
      </c>
      <c r="E326" t="s">
        <v>74</v>
      </c>
      <c r="F326" t="s">
        <v>6600</v>
      </c>
      <c r="G326" t="s">
        <v>74</v>
      </c>
      <c r="H326" t="s">
        <v>74</v>
      </c>
      <c r="I326" t="s">
        <v>6601</v>
      </c>
      <c r="J326" t="s">
        <v>6602</v>
      </c>
      <c r="K326" t="s">
        <v>74</v>
      </c>
      <c r="L326" t="s">
        <v>74</v>
      </c>
      <c r="M326" t="s">
        <v>6603</v>
      </c>
      <c r="N326" t="s">
        <v>79</v>
      </c>
      <c r="O326" t="s">
        <v>74</v>
      </c>
      <c r="P326" t="s">
        <v>74</v>
      </c>
      <c r="Q326" t="s">
        <v>74</v>
      </c>
      <c r="R326" t="s">
        <v>74</v>
      </c>
      <c r="S326" t="s">
        <v>74</v>
      </c>
      <c r="T326" t="s">
        <v>6604</v>
      </c>
      <c r="U326" t="s">
        <v>6605</v>
      </c>
      <c r="V326" t="s">
        <v>6606</v>
      </c>
      <c r="W326" t="s">
        <v>6607</v>
      </c>
      <c r="X326" t="s">
        <v>6608</v>
      </c>
      <c r="Y326" t="s">
        <v>6609</v>
      </c>
      <c r="Z326" t="s">
        <v>74</v>
      </c>
      <c r="AA326" t="s">
        <v>6610</v>
      </c>
      <c r="AB326" t="s">
        <v>6611</v>
      </c>
      <c r="AC326" t="s">
        <v>74</v>
      </c>
      <c r="AD326" t="s">
        <v>74</v>
      </c>
      <c r="AE326" t="s">
        <v>74</v>
      </c>
      <c r="AF326" t="s">
        <v>74</v>
      </c>
      <c r="AG326">
        <v>15</v>
      </c>
      <c r="AH326">
        <v>7</v>
      </c>
      <c r="AI326">
        <v>7</v>
      </c>
      <c r="AJ326">
        <v>0</v>
      </c>
      <c r="AK326">
        <v>6</v>
      </c>
      <c r="AL326" t="s">
        <v>6612</v>
      </c>
      <c r="AM326" t="s">
        <v>6613</v>
      </c>
      <c r="AN326" t="s">
        <v>6614</v>
      </c>
      <c r="AO326" t="s">
        <v>6615</v>
      </c>
      <c r="AP326" t="s">
        <v>6616</v>
      </c>
      <c r="AQ326" t="s">
        <v>74</v>
      </c>
      <c r="AR326" t="s">
        <v>6617</v>
      </c>
      <c r="AS326" t="s">
        <v>6618</v>
      </c>
      <c r="AT326" t="s">
        <v>74</v>
      </c>
      <c r="AU326">
        <v>2018</v>
      </c>
      <c r="AV326">
        <v>24</v>
      </c>
      <c r="AW326">
        <v>3</v>
      </c>
      <c r="AX326" t="s">
        <v>74</v>
      </c>
      <c r="AY326" t="s">
        <v>74</v>
      </c>
      <c r="AZ326" t="s">
        <v>74</v>
      </c>
      <c r="BA326" t="s">
        <v>74</v>
      </c>
      <c r="BB326">
        <v>10</v>
      </c>
      <c r="BC326">
        <v>22</v>
      </c>
      <c r="BD326" t="s">
        <v>74</v>
      </c>
      <c r="BE326" t="s">
        <v>6619</v>
      </c>
      <c r="BF326" t="str">
        <f>HYPERLINK("http://dx.doi.org/10.15407/knit2018.03.010","http://dx.doi.org/10.15407/knit2018.03.010")</f>
        <v>http://dx.doi.org/10.15407/knit2018.03.010</v>
      </c>
      <c r="BG326" t="s">
        <v>74</v>
      </c>
      <c r="BH326" t="s">
        <v>74</v>
      </c>
      <c r="BI326">
        <v>13</v>
      </c>
      <c r="BJ326" t="s">
        <v>787</v>
      </c>
      <c r="BK326" t="s">
        <v>2081</v>
      </c>
      <c r="BL326" t="s">
        <v>787</v>
      </c>
      <c r="BM326" t="s">
        <v>6620</v>
      </c>
      <c r="BN326" t="s">
        <v>74</v>
      </c>
      <c r="BO326" t="s">
        <v>1434</v>
      </c>
      <c r="BP326" t="s">
        <v>74</v>
      </c>
      <c r="BQ326" t="s">
        <v>74</v>
      </c>
      <c r="BR326" t="s">
        <v>105</v>
      </c>
      <c r="BS326" t="s">
        <v>6621</v>
      </c>
      <c r="BT326" t="str">
        <f>HYPERLINK("https%3A%2F%2Fwww.webofscience.com%2Fwos%2Fwoscc%2Ffull-record%2FWOS:000442127500002","View Full Record in Web of Science")</f>
        <v>View Full Record in Web of Science</v>
      </c>
    </row>
    <row r="327" spans="1:72" x14ac:dyDescent="0.15">
      <c r="A327" t="s">
        <v>72</v>
      </c>
      <c r="B327" t="s">
        <v>6622</v>
      </c>
      <c r="C327" t="s">
        <v>74</v>
      </c>
      <c r="D327" t="s">
        <v>74</v>
      </c>
      <c r="E327" t="s">
        <v>74</v>
      </c>
      <c r="F327" t="s">
        <v>6623</v>
      </c>
      <c r="G327" t="s">
        <v>74</v>
      </c>
      <c r="H327" t="s">
        <v>74</v>
      </c>
      <c r="I327" t="s">
        <v>6624</v>
      </c>
      <c r="J327" t="s">
        <v>6625</v>
      </c>
      <c r="K327" t="s">
        <v>74</v>
      </c>
      <c r="L327" t="s">
        <v>74</v>
      </c>
      <c r="M327" t="s">
        <v>78</v>
      </c>
      <c r="N327" t="s">
        <v>79</v>
      </c>
      <c r="O327" t="s">
        <v>74</v>
      </c>
      <c r="P327" t="s">
        <v>74</v>
      </c>
      <c r="Q327" t="s">
        <v>74</v>
      </c>
      <c r="R327" t="s">
        <v>74</v>
      </c>
      <c r="S327" t="s">
        <v>74</v>
      </c>
      <c r="T327" t="s">
        <v>6626</v>
      </c>
      <c r="U327" t="s">
        <v>6627</v>
      </c>
      <c r="V327" t="s">
        <v>6628</v>
      </c>
      <c r="W327" t="s">
        <v>6629</v>
      </c>
      <c r="X327" t="s">
        <v>6630</v>
      </c>
      <c r="Y327" t="s">
        <v>6631</v>
      </c>
      <c r="Z327" t="s">
        <v>6632</v>
      </c>
      <c r="AA327" t="s">
        <v>74</v>
      </c>
      <c r="AB327" t="s">
        <v>6633</v>
      </c>
      <c r="AC327" t="s">
        <v>74</v>
      </c>
      <c r="AD327" t="s">
        <v>74</v>
      </c>
      <c r="AE327" t="s">
        <v>74</v>
      </c>
      <c r="AF327" t="s">
        <v>74</v>
      </c>
      <c r="AG327">
        <v>61</v>
      </c>
      <c r="AH327">
        <v>0</v>
      </c>
      <c r="AI327">
        <v>0</v>
      </c>
      <c r="AJ327">
        <v>0</v>
      </c>
      <c r="AK327">
        <v>2</v>
      </c>
      <c r="AL327" t="s">
        <v>2917</v>
      </c>
      <c r="AM327" t="s">
        <v>1701</v>
      </c>
      <c r="AN327" t="s">
        <v>2918</v>
      </c>
      <c r="AO327" t="s">
        <v>6634</v>
      </c>
      <c r="AP327" t="s">
        <v>6635</v>
      </c>
      <c r="AQ327" t="s">
        <v>74</v>
      </c>
      <c r="AR327" t="s">
        <v>6636</v>
      </c>
      <c r="AS327" t="s">
        <v>6637</v>
      </c>
      <c r="AT327" t="s">
        <v>74</v>
      </c>
      <c r="AU327">
        <v>2018</v>
      </c>
      <c r="AV327">
        <v>35</v>
      </c>
      <c r="AW327">
        <v>3</v>
      </c>
      <c r="AX327" t="s">
        <v>74</v>
      </c>
      <c r="AY327" t="s">
        <v>74</v>
      </c>
      <c r="AZ327" t="s">
        <v>74</v>
      </c>
      <c r="BA327" t="s">
        <v>74</v>
      </c>
      <c r="BB327">
        <v>388</v>
      </c>
      <c r="BC327">
        <v>412</v>
      </c>
      <c r="BD327" t="s">
        <v>74</v>
      </c>
      <c r="BE327" t="s">
        <v>6638</v>
      </c>
      <c r="BF327" t="str">
        <f>HYPERLINK("http://dx.doi.org/10.1080/08873631.2018.1435937","http://dx.doi.org/10.1080/08873631.2018.1435937")</f>
        <v>http://dx.doi.org/10.1080/08873631.2018.1435937</v>
      </c>
      <c r="BG327" t="s">
        <v>74</v>
      </c>
      <c r="BH327" t="s">
        <v>74</v>
      </c>
      <c r="BI327">
        <v>25</v>
      </c>
      <c r="BJ327" t="s">
        <v>3400</v>
      </c>
      <c r="BK327" t="s">
        <v>2081</v>
      </c>
      <c r="BL327" t="s">
        <v>3400</v>
      </c>
      <c r="BM327" t="s">
        <v>6639</v>
      </c>
      <c r="BN327" t="s">
        <v>74</v>
      </c>
      <c r="BO327" t="s">
        <v>74</v>
      </c>
      <c r="BP327" t="s">
        <v>74</v>
      </c>
      <c r="BQ327" t="s">
        <v>74</v>
      </c>
      <c r="BR327" t="s">
        <v>105</v>
      </c>
      <c r="BS327" t="s">
        <v>6640</v>
      </c>
      <c r="BT327" t="str">
        <f>HYPERLINK("https%3A%2F%2Fwww.webofscience.com%2Fwos%2Fwoscc%2Ffull-record%2FWOS:000441309700005","View Full Record in Web of Science")</f>
        <v>View Full Record in Web of Science</v>
      </c>
    </row>
    <row r="328" spans="1:72" x14ac:dyDescent="0.15">
      <c r="A328" t="s">
        <v>72</v>
      </c>
      <c r="B328" t="s">
        <v>6641</v>
      </c>
      <c r="C328" t="s">
        <v>74</v>
      </c>
      <c r="D328" t="s">
        <v>74</v>
      </c>
      <c r="E328" t="s">
        <v>74</v>
      </c>
      <c r="F328" t="s">
        <v>6642</v>
      </c>
      <c r="G328" t="s">
        <v>74</v>
      </c>
      <c r="H328" t="s">
        <v>74</v>
      </c>
      <c r="I328" t="s">
        <v>6643</v>
      </c>
      <c r="J328" t="s">
        <v>6644</v>
      </c>
      <c r="K328" t="s">
        <v>74</v>
      </c>
      <c r="L328" t="s">
        <v>74</v>
      </c>
      <c r="M328" t="s">
        <v>78</v>
      </c>
      <c r="N328" t="s">
        <v>79</v>
      </c>
      <c r="O328" t="s">
        <v>74</v>
      </c>
      <c r="P328" t="s">
        <v>74</v>
      </c>
      <c r="Q328" t="s">
        <v>74</v>
      </c>
      <c r="R328" t="s">
        <v>74</v>
      </c>
      <c r="S328" t="s">
        <v>74</v>
      </c>
      <c r="T328" t="s">
        <v>74</v>
      </c>
      <c r="U328" t="s">
        <v>6645</v>
      </c>
      <c r="V328" t="s">
        <v>6646</v>
      </c>
      <c r="W328" t="s">
        <v>6647</v>
      </c>
      <c r="X328" t="s">
        <v>2299</v>
      </c>
      <c r="Y328" t="s">
        <v>6648</v>
      </c>
      <c r="Z328" t="s">
        <v>6649</v>
      </c>
      <c r="AA328" t="s">
        <v>74</v>
      </c>
      <c r="AB328" t="s">
        <v>6650</v>
      </c>
      <c r="AC328" t="s">
        <v>74</v>
      </c>
      <c r="AD328" t="s">
        <v>74</v>
      </c>
      <c r="AE328" t="s">
        <v>74</v>
      </c>
      <c r="AF328" t="s">
        <v>74</v>
      </c>
      <c r="AG328">
        <v>34</v>
      </c>
      <c r="AH328">
        <v>9</v>
      </c>
      <c r="AI328">
        <v>10</v>
      </c>
      <c r="AJ328">
        <v>0</v>
      </c>
      <c r="AK328">
        <v>15</v>
      </c>
      <c r="AL328" t="s">
        <v>6651</v>
      </c>
      <c r="AM328" t="s">
        <v>6652</v>
      </c>
      <c r="AN328" t="s">
        <v>6653</v>
      </c>
      <c r="AO328" t="s">
        <v>6654</v>
      </c>
      <c r="AP328" t="s">
        <v>6655</v>
      </c>
      <c r="AQ328" t="s">
        <v>74</v>
      </c>
      <c r="AR328" t="s">
        <v>6656</v>
      </c>
      <c r="AS328" t="s">
        <v>6657</v>
      </c>
      <c r="AT328" t="s">
        <v>74</v>
      </c>
      <c r="AU328">
        <v>2018</v>
      </c>
      <c r="AV328" t="s">
        <v>6658</v>
      </c>
      <c r="AW328">
        <v>1</v>
      </c>
      <c r="AX328" t="s">
        <v>74</v>
      </c>
      <c r="AY328" t="s">
        <v>74</v>
      </c>
      <c r="AZ328" t="s">
        <v>74</v>
      </c>
      <c r="BA328" t="s">
        <v>74</v>
      </c>
      <c r="BB328">
        <v>13</v>
      </c>
      <c r="BC328">
        <v>27</v>
      </c>
      <c r="BD328" t="s">
        <v>74</v>
      </c>
      <c r="BE328" t="s">
        <v>6659</v>
      </c>
      <c r="BF328" t="str">
        <f>HYPERLINK("http://dx.doi.org/10.3318/BIOE.2018.02","http://dx.doi.org/10.3318/BIOE.2018.02")</f>
        <v>http://dx.doi.org/10.3318/BIOE.2018.02</v>
      </c>
      <c r="BG328" t="s">
        <v>74</v>
      </c>
      <c r="BH328" t="s">
        <v>74</v>
      </c>
      <c r="BI328">
        <v>15</v>
      </c>
      <c r="BJ328" t="s">
        <v>6660</v>
      </c>
      <c r="BK328" t="s">
        <v>101</v>
      </c>
      <c r="BL328" t="s">
        <v>6661</v>
      </c>
      <c r="BM328" t="s">
        <v>6662</v>
      </c>
      <c r="BN328" t="s">
        <v>74</v>
      </c>
      <c r="BO328" t="s">
        <v>74</v>
      </c>
      <c r="BP328" t="s">
        <v>74</v>
      </c>
      <c r="BQ328" t="s">
        <v>74</v>
      </c>
      <c r="BR328" t="s">
        <v>105</v>
      </c>
      <c r="BS328" t="s">
        <v>6663</v>
      </c>
      <c r="BT328" t="str">
        <f>HYPERLINK("https%3A%2F%2Fwww.webofscience.com%2Fwos%2Fwoscc%2Ffull-record%2FWOS:000440879900002","View Full Record in Web of Science")</f>
        <v>View Full Record in Web of Science</v>
      </c>
    </row>
    <row r="329" spans="1:72" x14ac:dyDescent="0.15">
      <c r="A329" t="s">
        <v>72</v>
      </c>
      <c r="B329" t="s">
        <v>6664</v>
      </c>
      <c r="C329" t="s">
        <v>74</v>
      </c>
      <c r="D329" t="s">
        <v>74</v>
      </c>
      <c r="E329" t="s">
        <v>74</v>
      </c>
      <c r="F329" t="s">
        <v>6665</v>
      </c>
      <c r="G329" t="s">
        <v>74</v>
      </c>
      <c r="H329" t="s">
        <v>74</v>
      </c>
      <c r="I329" t="s">
        <v>6666</v>
      </c>
      <c r="J329" t="s">
        <v>6667</v>
      </c>
      <c r="K329" t="s">
        <v>74</v>
      </c>
      <c r="L329" t="s">
        <v>74</v>
      </c>
      <c r="M329" t="s">
        <v>78</v>
      </c>
      <c r="N329" t="s">
        <v>79</v>
      </c>
      <c r="O329" t="s">
        <v>74</v>
      </c>
      <c r="P329" t="s">
        <v>74</v>
      </c>
      <c r="Q329" t="s">
        <v>74</v>
      </c>
      <c r="R329" t="s">
        <v>74</v>
      </c>
      <c r="S329" t="s">
        <v>74</v>
      </c>
      <c r="T329" t="s">
        <v>6668</v>
      </c>
      <c r="U329" t="s">
        <v>6669</v>
      </c>
      <c r="V329" t="s">
        <v>6670</v>
      </c>
      <c r="W329" t="s">
        <v>6671</v>
      </c>
      <c r="X329" t="s">
        <v>6672</v>
      </c>
      <c r="Y329" t="s">
        <v>6673</v>
      </c>
      <c r="Z329" t="s">
        <v>6674</v>
      </c>
      <c r="AA329" t="s">
        <v>6675</v>
      </c>
      <c r="AB329" t="s">
        <v>74</v>
      </c>
      <c r="AC329" t="s">
        <v>6676</v>
      </c>
      <c r="AD329" t="s">
        <v>6677</v>
      </c>
      <c r="AE329" t="s">
        <v>6678</v>
      </c>
      <c r="AF329" t="s">
        <v>74</v>
      </c>
      <c r="AG329">
        <v>38</v>
      </c>
      <c r="AH329">
        <v>15</v>
      </c>
      <c r="AI329">
        <v>15</v>
      </c>
      <c r="AJ329">
        <v>2</v>
      </c>
      <c r="AK329">
        <v>17</v>
      </c>
      <c r="AL329" t="s">
        <v>1700</v>
      </c>
      <c r="AM329" t="s">
        <v>1701</v>
      </c>
      <c r="AN329" t="s">
        <v>1702</v>
      </c>
      <c r="AO329" t="s">
        <v>6679</v>
      </c>
      <c r="AP329" t="s">
        <v>6680</v>
      </c>
      <c r="AQ329" t="s">
        <v>74</v>
      </c>
      <c r="AR329" t="s">
        <v>6681</v>
      </c>
      <c r="AS329" t="s">
        <v>6682</v>
      </c>
      <c r="AT329" t="s">
        <v>74</v>
      </c>
      <c r="AU329">
        <v>2018</v>
      </c>
      <c r="AV329">
        <v>56</v>
      </c>
      <c r="AW329">
        <v>3</v>
      </c>
      <c r="AX329" t="s">
        <v>74</v>
      </c>
      <c r="AY329" t="s">
        <v>74</v>
      </c>
      <c r="AZ329" t="s">
        <v>74</v>
      </c>
      <c r="BA329" t="s">
        <v>74</v>
      </c>
      <c r="BB329">
        <v>276</v>
      </c>
      <c r="BC329">
        <v>290</v>
      </c>
      <c r="BD329" t="s">
        <v>74</v>
      </c>
      <c r="BE329" t="s">
        <v>6683</v>
      </c>
      <c r="BF329" t="str">
        <f>HYPERLINK("http://dx.doi.org/10.1080/0028825X.2018.1478861","http://dx.doi.org/10.1080/0028825X.2018.1478861")</f>
        <v>http://dx.doi.org/10.1080/0028825X.2018.1478861</v>
      </c>
      <c r="BG329" t="s">
        <v>74</v>
      </c>
      <c r="BH329" t="s">
        <v>74</v>
      </c>
      <c r="BI329">
        <v>15</v>
      </c>
      <c r="BJ329" t="s">
        <v>492</v>
      </c>
      <c r="BK329" t="s">
        <v>101</v>
      </c>
      <c r="BL329" t="s">
        <v>492</v>
      </c>
      <c r="BM329" t="s">
        <v>6684</v>
      </c>
      <c r="BN329" t="s">
        <v>74</v>
      </c>
      <c r="BO329" t="s">
        <v>74</v>
      </c>
      <c r="BP329" t="s">
        <v>74</v>
      </c>
      <c r="BQ329" t="s">
        <v>74</v>
      </c>
      <c r="BR329" t="s">
        <v>105</v>
      </c>
      <c r="BS329" t="s">
        <v>6685</v>
      </c>
      <c r="BT329" t="str">
        <f>HYPERLINK("https%3A%2F%2Fwww.webofscience.com%2Fwos%2Fwoscc%2Ffull-record%2FWOS:000440750000004","View Full Record in Web of Science")</f>
        <v>View Full Record in Web of Science</v>
      </c>
    </row>
    <row r="330" spans="1:72" x14ac:dyDescent="0.15">
      <c r="A330" t="s">
        <v>72</v>
      </c>
      <c r="B330" t="s">
        <v>6686</v>
      </c>
      <c r="C330" t="s">
        <v>74</v>
      </c>
      <c r="D330" t="s">
        <v>74</v>
      </c>
      <c r="E330" t="s">
        <v>74</v>
      </c>
      <c r="F330" t="s">
        <v>6687</v>
      </c>
      <c r="G330" t="s">
        <v>74</v>
      </c>
      <c r="H330" t="s">
        <v>74</v>
      </c>
      <c r="I330" t="s">
        <v>6688</v>
      </c>
      <c r="J330" t="s">
        <v>6689</v>
      </c>
      <c r="K330" t="s">
        <v>74</v>
      </c>
      <c r="L330" t="s">
        <v>74</v>
      </c>
      <c r="M330" t="s">
        <v>78</v>
      </c>
      <c r="N330" t="s">
        <v>79</v>
      </c>
      <c r="O330" t="s">
        <v>74</v>
      </c>
      <c r="P330" t="s">
        <v>74</v>
      </c>
      <c r="Q330" t="s">
        <v>74</v>
      </c>
      <c r="R330" t="s">
        <v>74</v>
      </c>
      <c r="S330" t="s">
        <v>74</v>
      </c>
      <c r="T330" t="s">
        <v>6690</v>
      </c>
      <c r="U330" t="s">
        <v>6691</v>
      </c>
      <c r="V330" t="s">
        <v>6692</v>
      </c>
      <c r="W330" t="s">
        <v>6693</v>
      </c>
      <c r="X330" t="s">
        <v>6694</v>
      </c>
      <c r="Y330" t="s">
        <v>6695</v>
      </c>
      <c r="Z330" t="s">
        <v>6696</v>
      </c>
      <c r="AA330" t="s">
        <v>6697</v>
      </c>
      <c r="AB330" t="s">
        <v>6698</v>
      </c>
      <c r="AC330" t="s">
        <v>6699</v>
      </c>
      <c r="AD330" t="s">
        <v>6700</v>
      </c>
      <c r="AE330" t="s">
        <v>6701</v>
      </c>
      <c r="AF330" t="s">
        <v>74</v>
      </c>
      <c r="AG330">
        <v>70</v>
      </c>
      <c r="AH330">
        <v>17</v>
      </c>
      <c r="AI330">
        <v>18</v>
      </c>
      <c r="AJ330">
        <v>1</v>
      </c>
      <c r="AK330">
        <v>35</v>
      </c>
      <c r="AL330" t="s">
        <v>512</v>
      </c>
      <c r="AM330" t="s">
        <v>513</v>
      </c>
      <c r="AN330" t="s">
        <v>514</v>
      </c>
      <c r="AO330" t="s">
        <v>6702</v>
      </c>
      <c r="AP330" t="s">
        <v>6703</v>
      </c>
      <c r="AQ330" t="s">
        <v>74</v>
      </c>
      <c r="AR330" t="s">
        <v>6704</v>
      </c>
      <c r="AS330" t="s">
        <v>6705</v>
      </c>
      <c r="AT330" t="s">
        <v>74</v>
      </c>
      <c r="AU330">
        <v>2018</v>
      </c>
      <c r="AV330">
        <v>10</v>
      </c>
      <c r="AW330" t="s">
        <v>74</v>
      </c>
      <c r="AX330" t="s">
        <v>74</v>
      </c>
      <c r="AY330" t="s">
        <v>74</v>
      </c>
      <c r="AZ330" t="s">
        <v>74</v>
      </c>
      <c r="BA330" t="s">
        <v>74</v>
      </c>
      <c r="BB330">
        <v>345</v>
      </c>
      <c r="BC330">
        <v>361</v>
      </c>
      <c r="BD330" t="s">
        <v>74</v>
      </c>
      <c r="BE330" t="s">
        <v>6706</v>
      </c>
      <c r="BF330" t="str">
        <f>HYPERLINK("http://dx.doi.org/10.3354/aei00274","http://dx.doi.org/10.3354/aei00274")</f>
        <v>http://dx.doi.org/10.3354/aei00274</v>
      </c>
      <c r="BG330" t="s">
        <v>74</v>
      </c>
      <c r="BH330" t="s">
        <v>74</v>
      </c>
      <c r="BI330">
        <v>17</v>
      </c>
      <c r="BJ330" t="s">
        <v>6707</v>
      </c>
      <c r="BK330" t="s">
        <v>101</v>
      </c>
      <c r="BL330" t="s">
        <v>6707</v>
      </c>
      <c r="BM330" t="s">
        <v>6708</v>
      </c>
      <c r="BN330" t="s">
        <v>74</v>
      </c>
      <c r="BO330" t="s">
        <v>560</v>
      </c>
      <c r="BP330" t="s">
        <v>74</v>
      </c>
      <c r="BQ330" t="s">
        <v>74</v>
      </c>
      <c r="BR330" t="s">
        <v>105</v>
      </c>
      <c r="BS330" t="s">
        <v>6709</v>
      </c>
      <c r="BT330" t="str">
        <f>HYPERLINK("https%3A%2F%2Fwww.webofscience.com%2Fwos%2Fwoscc%2Ffull-record%2FWOS:000440521500003","View Full Record in Web of Science")</f>
        <v>View Full Record in Web of Science</v>
      </c>
    </row>
    <row r="331" spans="1:72" x14ac:dyDescent="0.15">
      <c r="A331" t="s">
        <v>72</v>
      </c>
      <c r="B331" t="s">
        <v>6710</v>
      </c>
      <c r="C331" t="s">
        <v>74</v>
      </c>
      <c r="D331" t="s">
        <v>74</v>
      </c>
      <c r="E331" t="s">
        <v>74</v>
      </c>
      <c r="F331" t="s">
        <v>6711</v>
      </c>
      <c r="G331" t="s">
        <v>74</v>
      </c>
      <c r="H331" t="s">
        <v>74</v>
      </c>
      <c r="I331" t="s">
        <v>6712</v>
      </c>
      <c r="J331" t="s">
        <v>6713</v>
      </c>
      <c r="K331" t="s">
        <v>74</v>
      </c>
      <c r="L331" t="s">
        <v>74</v>
      </c>
      <c r="M331" t="s">
        <v>6603</v>
      </c>
      <c r="N331" t="s">
        <v>79</v>
      </c>
      <c r="O331" t="s">
        <v>74</v>
      </c>
      <c r="P331" t="s">
        <v>74</v>
      </c>
      <c r="Q331" t="s">
        <v>74</v>
      </c>
      <c r="R331" t="s">
        <v>74</v>
      </c>
      <c r="S331" t="s">
        <v>74</v>
      </c>
      <c r="T331" t="s">
        <v>6714</v>
      </c>
      <c r="U331" t="s">
        <v>74</v>
      </c>
      <c r="V331" t="s">
        <v>6715</v>
      </c>
      <c r="W331" t="s">
        <v>6716</v>
      </c>
      <c r="X331" t="s">
        <v>6717</v>
      </c>
      <c r="Y331" t="s">
        <v>6718</v>
      </c>
      <c r="Z331" t="s">
        <v>74</v>
      </c>
      <c r="AA331" t="s">
        <v>6719</v>
      </c>
      <c r="AB331" t="s">
        <v>6720</v>
      </c>
      <c r="AC331" t="s">
        <v>74</v>
      </c>
      <c r="AD331" t="s">
        <v>74</v>
      </c>
      <c r="AE331" t="s">
        <v>74</v>
      </c>
      <c r="AF331" t="s">
        <v>74</v>
      </c>
      <c r="AG331">
        <v>18</v>
      </c>
      <c r="AH331">
        <v>2</v>
      </c>
      <c r="AI331">
        <v>2</v>
      </c>
      <c r="AJ331">
        <v>0</v>
      </c>
      <c r="AK331">
        <v>0</v>
      </c>
      <c r="AL331" t="s">
        <v>6721</v>
      </c>
      <c r="AM331" t="s">
        <v>6722</v>
      </c>
      <c r="AN331" t="s">
        <v>6723</v>
      </c>
      <c r="AO331" t="s">
        <v>6724</v>
      </c>
      <c r="AP331" t="s">
        <v>6725</v>
      </c>
      <c r="AQ331" t="s">
        <v>74</v>
      </c>
      <c r="AR331" t="s">
        <v>6726</v>
      </c>
      <c r="AS331" t="s">
        <v>6727</v>
      </c>
      <c r="AT331" t="s">
        <v>74</v>
      </c>
      <c r="AU331">
        <v>2018</v>
      </c>
      <c r="AV331">
        <v>40</v>
      </c>
      <c r="AW331">
        <v>3</v>
      </c>
      <c r="AX331" t="s">
        <v>74</v>
      </c>
      <c r="AY331" t="s">
        <v>74</v>
      </c>
      <c r="AZ331" t="s">
        <v>74</v>
      </c>
      <c r="BA331" t="s">
        <v>74</v>
      </c>
      <c r="BB331">
        <v>179</v>
      </c>
      <c r="BC331">
        <v>191</v>
      </c>
      <c r="BD331" t="s">
        <v>74</v>
      </c>
      <c r="BE331" t="s">
        <v>6728</v>
      </c>
      <c r="BF331" t="str">
        <f>HYPERLINK("http://dx.doi.org/10.24028/gzh.0203-3100.v40i3.2018.137199","http://dx.doi.org/10.24028/gzh.0203-3100.v40i3.2018.137199")</f>
        <v>http://dx.doi.org/10.24028/gzh.0203-3100.v40i3.2018.137199</v>
      </c>
      <c r="BG331" t="s">
        <v>74</v>
      </c>
      <c r="BH331" t="s">
        <v>74</v>
      </c>
      <c r="BI331">
        <v>13</v>
      </c>
      <c r="BJ331" t="s">
        <v>1148</v>
      </c>
      <c r="BK331" t="s">
        <v>2081</v>
      </c>
      <c r="BL331" t="s">
        <v>1148</v>
      </c>
      <c r="BM331" t="s">
        <v>6729</v>
      </c>
      <c r="BN331" t="s">
        <v>74</v>
      </c>
      <c r="BO331" t="s">
        <v>1150</v>
      </c>
      <c r="BP331" t="s">
        <v>74</v>
      </c>
      <c r="BQ331" t="s">
        <v>74</v>
      </c>
      <c r="BR331" t="s">
        <v>105</v>
      </c>
      <c r="BS331" t="s">
        <v>6730</v>
      </c>
      <c r="BT331" t="str">
        <f>HYPERLINK("https%3A%2F%2Fwww.webofscience.com%2Fwos%2Fwoscc%2Ffull-record%2FWOS:000439918300010","View Full Record in Web of Science")</f>
        <v>View Full Record in Web of Science</v>
      </c>
    </row>
    <row r="332" spans="1:72" x14ac:dyDescent="0.15">
      <c r="A332" t="s">
        <v>72</v>
      </c>
      <c r="B332" t="s">
        <v>6731</v>
      </c>
      <c r="C332" t="s">
        <v>74</v>
      </c>
      <c r="D332" t="s">
        <v>74</v>
      </c>
      <c r="E332" t="s">
        <v>74</v>
      </c>
      <c r="F332" t="s">
        <v>6732</v>
      </c>
      <c r="G332" t="s">
        <v>74</v>
      </c>
      <c r="H332" t="s">
        <v>74</v>
      </c>
      <c r="I332" t="s">
        <v>6733</v>
      </c>
      <c r="J332" t="s">
        <v>6734</v>
      </c>
      <c r="K332" t="s">
        <v>74</v>
      </c>
      <c r="L332" t="s">
        <v>74</v>
      </c>
      <c r="M332" t="s">
        <v>78</v>
      </c>
      <c r="N332" t="s">
        <v>79</v>
      </c>
      <c r="O332" t="s">
        <v>74</v>
      </c>
      <c r="P332" t="s">
        <v>74</v>
      </c>
      <c r="Q332" t="s">
        <v>74</v>
      </c>
      <c r="R332" t="s">
        <v>74</v>
      </c>
      <c r="S332" t="s">
        <v>74</v>
      </c>
      <c r="T332" t="s">
        <v>6735</v>
      </c>
      <c r="U332" t="s">
        <v>74</v>
      </c>
      <c r="V332" t="s">
        <v>6736</v>
      </c>
      <c r="W332" t="s">
        <v>6737</v>
      </c>
      <c r="X332" t="s">
        <v>6738</v>
      </c>
      <c r="Y332" t="s">
        <v>6739</v>
      </c>
      <c r="Z332" t="s">
        <v>6740</v>
      </c>
      <c r="AA332" t="s">
        <v>6741</v>
      </c>
      <c r="AB332" t="s">
        <v>6742</v>
      </c>
      <c r="AC332" t="s">
        <v>6743</v>
      </c>
      <c r="AD332" t="s">
        <v>6744</v>
      </c>
      <c r="AE332" t="s">
        <v>6745</v>
      </c>
      <c r="AF332" t="s">
        <v>74</v>
      </c>
      <c r="AG332">
        <v>4</v>
      </c>
      <c r="AH332">
        <v>1</v>
      </c>
      <c r="AI332">
        <v>1</v>
      </c>
      <c r="AJ332">
        <v>0</v>
      </c>
      <c r="AK332">
        <v>4</v>
      </c>
      <c r="AL332" t="s">
        <v>1700</v>
      </c>
      <c r="AM332" t="s">
        <v>1701</v>
      </c>
      <c r="AN332" t="s">
        <v>1702</v>
      </c>
      <c r="AO332" t="s">
        <v>6746</v>
      </c>
      <c r="AP332" t="s">
        <v>74</v>
      </c>
      <c r="AQ332" t="s">
        <v>74</v>
      </c>
      <c r="AR332" t="s">
        <v>6747</v>
      </c>
      <c r="AS332" t="s">
        <v>6748</v>
      </c>
      <c r="AT332" t="s">
        <v>74</v>
      </c>
      <c r="AU332">
        <v>2018</v>
      </c>
      <c r="AV332">
        <v>3</v>
      </c>
      <c r="AW332">
        <v>1</v>
      </c>
      <c r="AX332" t="s">
        <v>74</v>
      </c>
      <c r="AY332" t="s">
        <v>74</v>
      </c>
      <c r="AZ332" t="s">
        <v>74</v>
      </c>
      <c r="BA332" t="s">
        <v>74</v>
      </c>
      <c r="BB332">
        <v>151</v>
      </c>
      <c r="BC332">
        <v>152</v>
      </c>
      <c r="BD332" t="s">
        <v>74</v>
      </c>
      <c r="BE332" t="s">
        <v>6749</v>
      </c>
      <c r="BF332" t="str">
        <f>HYPERLINK("http://dx.doi.org/10.1080/23802359.2017.1383200","http://dx.doi.org/10.1080/23802359.2017.1383200")</f>
        <v>http://dx.doi.org/10.1080/23802359.2017.1383200</v>
      </c>
      <c r="BG332" t="s">
        <v>74</v>
      </c>
      <c r="BH332" t="s">
        <v>74</v>
      </c>
      <c r="BI332">
        <v>2</v>
      </c>
      <c r="BJ332" t="s">
        <v>6750</v>
      </c>
      <c r="BK332" t="s">
        <v>101</v>
      </c>
      <c r="BL332" t="s">
        <v>6750</v>
      </c>
      <c r="BM332" t="s">
        <v>6751</v>
      </c>
      <c r="BN332">
        <v>33474102</v>
      </c>
      <c r="BO332" t="s">
        <v>681</v>
      </c>
      <c r="BP332" t="s">
        <v>74</v>
      </c>
      <c r="BQ332" t="s">
        <v>74</v>
      </c>
      <c r="BR332" t="s">
        <v>105</v>
      </c>
      <c r="BS332" t="s">
        <v>6752</v>
      </c>
      <c r="BT332" t="str">
        <f>HYPERLINK("https%3A%2F%2Fwww.webofscience.com%2Fwos%2Fwoscc%2Ffull-record%2FWOS:000438695900068","View Full Record in Web of Science")</f>
        <v>View Full Record in Web of Science</v>
      </c>
    </row>
    <row r="333" spans="1:72" x14ac:dyDescent="0.15">
      <c r="A333" t="s">
        <v>72</v>
      </c>
      <c r="B333" t="s">
        <v>6753</v>
      </c>
      <c r="C333" t="s">
        <v>74</v>
      </c>
      <c r="D333" t="s">
        <v>74</v>
      </c>
      <c r="E333" t="s">
        <v>74</v>
      </c>
      <c r="F333" t="s">
        <v>6754</v>
      </c>
      <c r="G333" t="s">
        <v>74</v>
      </c>
      <c r="H333" t="s">
        <v>74</v>
      </c>
      <c r="I333" t="s">
        <v>6755</v>
      </c>
      <c r="J333" t="s">
        <v>6756</v>
      </c>
      <c r="K333" t="s">
        <v>74</v>
      </c>
      <c r="L333" t="s">
        <v>74</v>
      </c>
      <c r="M333" t="s">
        <v>2986</v>
      </c>
      <c r="N333" t="s">
        <v>79</v>
      </c>
      <c r="O333" t="s">
        <v>74</v>
      </c>
      <c r="P333" t="s">
        <v>74</v>
      </c>
      <c r="Q333" t="s">
        <v>74</v>
      </c>
      <c r="R333" t="s">
        <v>74</v>
      </c>
      <c r="S333" t="s">
        <v>74</v>
      </c>
      <c r="T333" t="s">
        <v>6757</v>
      </c>
      <c r="U333" t="s">
        <v>6758</v>
      </c>
      <c r="V333" t="s">
        <v>6759</v>
      </c>
      <c r="W333" t="s">
        <v>6760</v>
      </c>
      <c r="X333" t="s">
        <v>6761</v>
      </c>
      <c r="Y333" t="s">
        <v>6762</v>
      </c>
      <c r="Z333" t="s">
        <v>6763</v>
      </c>
      <c r="AA333" t="s">
        <v>6764</v>
      </c>
      <c r="AB333" t="s">
        <v>6765</v>
      </c>
      <c r="AC333" t="s">
        <v>74</v>
      </c>
      <c r="AD333" t="s">
        <v>74</v>
      </c>
      <c r="AE333" t="s">
        <v>74</v>
      </c>
      <c r="AF333" t="s">
        <v>74</v>
      </c>
      <c r="AG333">
        <v>13</v>
      </c>
      <c r="AH333">
        <v>2</v>
      </c>
      <c r="AI333">
        <v>2</v>
      </c>
      <c r="AJ333">
        <v>0</v>
      </c>
      <c r="AK333">
        <v>2</v>
      </c>
      <c r="AL333" t="s">
        <v>6766</v>
      </c>
      <c r="AM333" t="s">
        <v>6613</v>
      </c>
      <c r="AN333" t="s">
        <v>6767</v>
      </c>
      <c r="AO333" t="s">
        <v>6768</v>
      </c>
      <c r="AP333" t="s">
        <v>74</v>
      </c>
      <c r="AQ333" t="s">
        <v>74</v>
      </c>
      <c r="AR333" t="s">
        <v>6769</v>
      </c>
      <c r="AS333" t="s">
        <v>6770</v>
      </c>
      <c r="AT333" t="s">
        <v>74</v>
      </c>
      <c r="AU333">
        <v>2018</v>
      </c>
      <c r="AV333" t="s">
        <v>74</v>
      </c>
      <c r="AW333">
        <v>1</v>
      </c>
      <c r="AX333" t="s">
        <v>74</v>
      </c>
      <c r="AY333" t="s">
        <v>74</v>
      </c>
      <c r="AZ333" t="s">
        <v>74</v>
      </c>
      <c r="BA333" t="s">
        <v>74</v>
      </c>
      <c r="BB333">
        <v>7</v>
      </c>
      <c r="BC333">
        <v>15</v>
      </c>
      <c r="BD333" t="s">
        <v>74</v>
      </c>
      <c r="BE333" t="s">
        <v>6771</v>
      </c>
      <c r="BF333" t="str">
        <f>HYPERLINK("http://dx.doi.org/10.17721/1728-2713.80.01","http://dx.doi.org/10.17721/1728-2713.80.01")</f>
        <v>http://dx.doi.org/10.17721/1728-2713.80.01</v>
      </c>
      <c r="BG333" t="s">
        <v>74</v>
      </c>
      <c r="BH333" t="s">
        <v>74</v>
      </c>
      <c r="BI333">
        <v>9</v>
      </c>
      <c r="BJ333" t="s">
        <v>281</v>
      </c>
      <c r="BK333" t="s">
        <v>2081</v>
      </c>
      <c r="BL333" t="s">
        <v>281</v>
      </c>
      <c r="BM333" t="s">
        <v>6772</v>
      </c>
      <c r="BN333" t="s">
        <v>74</v>
      </c>
      <c r="BO333" t="s">
        <v>306</v>
      </c>
      <c r="BP333" t="s">
        <v>74</v>
      </c>
      <c r="BQ333" t="s">
        <v>74</v>
      </c>
      <c r="BR333" t="s">
        <v>105</v>
      </c>
      <c r="BS333" t="s">
        <v>6773</v>
      </c>
      <c r="BT333" t="str">
        <f>HYPERLINK("https%3A%2F%2Fwww.webofscience.com%2Fwos%2Fwoscc%2Ffull-record%2FWOS:000438945400001","View Full Record in Web of Science")</f>
        <v>View Full Record in Web of Science</v>
      </c>
    </row>
    <row r="334" spans="1:72" x14ac:dyDescent="0.15">
      <c r="A334" t="s">
        <v>72</v>
      </c>
      <c r="B334" t="s">
        <v>6774</v>
      </c>
      <c r="C334" t="s">
        <v>74</v>
      </c>
      <c r="D334" t="s">
        <v>74</v>
      </c>
      <c r="E334" t="s">
        <v>74</v>
      </c>
      <c r="F334" t="s">
        <v>6775</v>
      </c>
      <c r="G334" t="s">
        <v>74</v>
      </c>
      <c r="H334" t="s">
        <v>74</v>
      </c>
      <c r="I334" t="s">
        <v>6776</v>
      </c>
      <c r="J334" t="s">
        <v>5594</v>
      </c>
      <c r="K334" t="s">
        <v>74</v>
      </c>
      <c r="L334" t="s">
        <v>74</v>
      </c>
      <c r="M334" t="s">
        <v>78</v>
      </c>
      <c r="N334" t="s">
        <v>79</v>
      </c>
      <c r="O334" t="s">
        <v>74</v>
      </c>
      <c r="P334" t="s">
        <v>74</v>
      </c>
      <c r="Q334" t="s">
        <v>74</v>
      </c>
      <c r="R334" t="s">
        <v>74</v>
      </c>
      <c r="S334" t="s">
        <v>74</v>
      </c>
      <c r="T334" t="s">
        <v>6777</v>
      </c>
      <c r="U334" t="s">
        <v>6778</v>
      </c>
      <c r="V334" t="s">
        <v>6779</v>
      </c>
      <c r="W334" t="s">
        <v>6780</v>
      </c>
      <c r="X334" t="s">
        <v>6781</v>
      </c>
      <c r="Y334" t="s">
        <v>6782</v>
      </c>
      <c r="Z334" t="s">
        <v>6783</v>
      </c>
      <c r="AA334" t="s">
        <v>6784</v>
      </c>
      <c r="AB334" t="s">
        <v>6785</v>
      </c>
      <c r="AC334" t="s">
        <v>6786</v>
      </c>
      <c r="AD334" t="s">
        <v>6787</v>
      </c>
      <c r="AE334" t="s">
        <v>6788</v>
      </c>
      <c r="AF334" t="s">
        <v>74</v>
      </c>
      <c r="AG334">
        <v>27</v>
      </c>
      <c r="AH334">
        <v>1</v>
      </c>
      <c r="AI334">
        <v>2</v>
      </c>
      <c r="AJ334">
        <v>0</v>
      </c>
      <c r="AK334">
        <v>18</v>
      </c>
      <c r="AL334" t="s">
        <v>5607</v>
      </c>
      <c r="AM334" t="s">
        <v>5608</v>
      </c>
      <c r="AN334" t="s">
        <v>5609</v>
      </c>
      <c r="AO334" t="s">
        <v>5610</v>
      </c>
      <c r="AP334" t="s">
        <v>5611</v>
      </c>
      <c r="AQ334" t="s">
        <v>74</v>
      </c>
      <c r="AR334" t="s">
        <v>5612</v>
      </c>
      <c r="AS334" t="s">
        <v>5613</v>
      </c>
      <c r="AT334" t="s">
        <v>74</v>
      </c>
      <c r="AU334">
        <v>2018</v>
      </c>
      <c r="AV334">
        <v>39</v>
      </c>
      <c r="AW334">
        <v>2</v>
      </c>
      <c r="AX334" t="s">
        <v>74</v>
      </c>
      <c r="AY334" t="s">
        <v>74</v>
      </c>
      <c r="AZ334" t="s">
        <v>74</v>
      </c>
      <c r="BA334" t="s">
        <v>74</v>
      </c>
      <c r="BB334">
        <v>313</v>
      </c>
      <c r="BC334">
        <v>328</v>
      </c>
      <c r="BD334" t="s">
        <v>74</v>
      </c>
      <c r="BE334" t="s">
        <v>6789</v>
      </c>
      <c r="BF334" t="str">
        <f>HYPERLINK("http://dx.doi.org/10.24425/118749","http://dx.doi.org/10.24425/118749")</f>
        <v>http://dx.doi.org/10.24425/118749</v>
      </c>
      <c r="BG334" t="s">
        <v>74</v>
      </c>
      <c r="BH334" t="s">
        <v>74</v>
      </c>
      <c r="BI334">
        <v>16</v>
      </c>
      <c r="BJ334" t="s">
        <v>157</v>
      </c>
      <c r="BK334" t="s">
        <v>101</v>
      </c>
      <c r="BL334" t="s">
        <v>158</v>
      </c>
      <c r="BM334" t="s">
        <v>6790</v>
      </c>
      <c r="BN334" t="s">
        <v>74</v>
      </c>
      <c r="BO334" t="s">
        <v>74</v>
      </c>
      <c r="BP334" t="s">
        <v>74</v>
      </c>
      <c r="BQ334" t="s">
        <v>74</v>
      </c>
      <c r="BR334" t="s">
        <v>105</v>
      </c>
      <c r="BS334" t="s">
        <v>6791</v>
      </c>
      <c r="BT334" t="str">
        <f>HYPERLINK("https%3A%2F%2Fwww.webofscience.com%2Fwos%2Fwoscc%2Ffull-record%2FWOS:000438610000005","View Full Record in Web of Science")</f>
        <v>View Full Record in Web of Science</v>
      </c>
    </row>
    <row r="335" spans="1:72" x14ac:dyDescent="0.15">
      <c r="A335" t="s">
        <v>72</v>
      </c>
      <c r="B335" t="s">
        <v>6792</v>
      </c>
      <c r="C335" t="s">
        <v>74</v>
      </c>
      <c r="D335" t="s">
        <v>74</v>
      </c>
      <c r="E335" t="s">
        <v>74</v>
      </c>
      <c r="F335" t="s">
        <v>6793</v>
      </c>
      <c r="G335" t="s">
        <v>74</v>
      </c>
      <c r="H335" t="s">
        <v>74</v>
      </c>
      <c r="I335" t="s">
        <v>6794</v>
      </c>
      <c r="J335" t="s">
        <v>6795</v>
      </c>
      <c r="K335" t="s">
        <v>74</v>
      </c>
      <c r="L335" t="s">
        <v>74</v>
      </c>
      <c r="M335" t="s">
        <v>78</v>
      </c>
      <c r="N335" t="s">
        <v>79</v>
      </c>
      <c r="O335" t="s">
        <v>74</v>
      </c>
      <c r="P335" t="s">
        <v>74</v>
      </c>
      <c r="Q335" t="s">
        <v>74</v>
      </c>
      <c r="R335" t="s">
        <v>74</v>
      </c>
      <c r="S335" t="s">
        <v>74</v>
      </c>
      <c r="T335" t="s">
        <v>6796</v>
      </c>
      <c r="U335" t="s">
        <v>6797</v>
      </c>
      <c r="V335" t="s">
        <v>6798</v>
      </c>
      <c r="W335" t="s">
        <v>6799</v>
      </c>
      <c r="X335" t="s">
        <v>6800</v>
      </c>
      <c r="Y335" t="s">
        <v>6801</v>
      </c>
      <c r="Z335" t="s">
        <v>6802</v>
      </c>
      <c r="AA335" t="s">
        <v>6803</v>
      </c>
      <c r="AB335" t="s">
        <v>6804</v>
      </c>
      <c r="AC335" t="s">
        <v>6805</v>
      </c>
      <c r="AD335" t="s">
        <v>6806</v>
      </c>
      <c r="AE335" t="s">
        <v>6807</v>
      </c>
      <c r="AF335" t="s">
        <v>74</v>
      </c>
      <c r="AG335">
        <v>54</v>
      </c>
      <c r="AH335">
        <v>4</v>
      </c>
      <c r="AI335">
        <v>4</v>
      </c>
      <c r="AJ335">
        <v>0</v>
      </c>
      <c r="AK335">
        <v>1</v>
      </c>
      <c r="AL335" t="s">
        <v>6808</v>
      </c>
      <c r="AM335" t="s">
        <v>6809</v>
      </c>
      <c r="AN335" t="s">
        <v>6810</v>
      </c>
      <c r="AO335" t="s">
        <v>6811</v>
      </c>
      <c r="AP335" t="s">
        <v>6812</v>
      </c>
      <c r="AQ335" t="s">
        <v>74</v>
      </c>
      <c r="AR335" t="s">
        <v>6813</v>
      </c>
      <c r="AS335" t="s">
        <v>6814</v>
      </c>
      <c r="AT335" t="s">
        <v>74</v>
      </c>
      <c r="AU335">
        <v>2018</v>
      </c>
      <c r="AV335">
        <v>44</v>
      </c>
      <c r="AW335">
        <v>1</v>
      </c>
      <c r="AX335" t="s">
        <v>74</v>
      </c>
      <c r="AY335" t="s">
        <v>74</v>
      </c>
      <c r="AZ335" t="s">
        <v>74</v>
      </c>
      <c r="BA335" t="s">
        <v>74</v>
      </c>
      <c r="BB335">
        <v>293</v>
      </c>
      <c r="BC335">
        <v>320</v>
      </c>
      <c r="BD335" t="s">
        <v>74</v>
      </c>
      <c r="BE335" t="s">
        <v>6815</v>
      </c>
      <c r="BF335" t="str">
        <f>HYPERLINK("http://dx.doi.org/10.18172/cig.3373","http://dx.doi.org/10.18172/cig.3373")</f>
        <v>http://dx.doi.org/10.18172/cig.3373</v>
      </c>
      <c r="BG335" t="s">
        <v>74</v>
      </c>
      <c r="BH335" t="s">
        <v>74</v>
      </c>
      <c r="BI335">
        <v>28</v>
      </c>
      <c r="BJ335" t="s">
        <v>6816</v>
      </c>
      <c r="BK335" t="s">
        <v>2081</v>
      </c>
      <c r="BL335" t="s">
        <v>6817</v>
      </c>
      <c r="BM335" t="s">
        <v>6818</v>
      </c>
      <c r="BN335" t="s">
        <v>74</v>
      </c>
      <c r="BO335" t="s">
        <v>560</v>
      </c>
      <c r="BP335" t="s">
        <v>74</v>
      </c>
      <c r="BQ335" t="s">
        <v>74</v>
      </c>
      <c r="BR335" t="s">
        <v>105</v>
      </c>
      <c r="BS335" t="s">
        <v>6819</v>
      </c>
      <c r="BT335" t="str">
        <f>HYPERLINK("https%3A%2F%2Fwww.webofscience.com%2Fwos%2Fwoscc%2Ffull-record%2FWOS:000437516100013","View Full Record in Web of Science")</f>
        <v>View Full Record in Web of Science</v>
      </c>
    </row>
    <row r="336" spans="1:72" x14ac:dyDescent="0.15">
      <c r="A336" t="s">
        <v>72</v>
      </c>
      <c r="B336" t="s">
        <v>6820</v>
      </c>
      <c r="C336" t="s">
        <v>74</v>
      </c>
      <c r="D336" t="s">
        <v>74</v>
      </c>
      <c r="E336" t="s">
        <v>74</v>
      </c>
      <c r="F336" t="s">
        <v>6821</v>
      </c>
      <c r="G336" t="s">
        <v>74</v>
      </c>
      <c r="H336" t="s">
        <v>74</v>
      </c>
      <c r="I336" t="s">
        <v>6822</v>
      </c>
      <c r="J336" t="s">
        <v>6823</v>
      </c>
      <c r="K336" t="s">
        <v>74</v>
      </c>
      <c r="L336" t="s">
        <v>74</v>
      </c>
      <c r="M336" t="s">
        <v>78</v>
      </c>
      <c r="N336" t="s">
        <v>79</v>
      </c>
      <c r="O336" t="s">
        <v>74</v>
      </c>
      <c r="P336" t="s">
        <v>74</v>
      </c>
      <c r="Q336" t="s">
        <v>74</v>
      </c>
      <c r="R336" t="s">
        <v>74</v>
      </c>
      <c r="S336" t="s">
        <v>74</v>
      </c>
      <c r="T336" t="s">
        <v>6824</v>
      </c>
      <c r="U336" t="s">
        <v>6825</v>
      </c>
      <c r="V336" t="s">
        <v>6826</v>
      </c>
      <c r="W336" t="s">
        <v>6827</v>
      </c>
      <c r="X336" t="s">
        <v>6828</v>
      </c>
      <c r="Y336" t="s">
        <v>6829</v>
      </c>
      <c r="Z336" t="s">
        <v>6830</v>
      </c>
      <c r="AA336" t="s">
        <v>6831</v>
      </c>
      <c r="AB336" t="s">
        <v>6832</v>
      </c>
      <c r="AC336" t="s">
        <v>6833</v>
      </c>
      <c r="AD336" t="s">
        <v>6834</v>
      </c>
      <c r="AE336" t="s">
        <v>6835</v>
      </c>
      <c r="AF336" t="s">
        <v>74</v>
      </c>
      <c r="AG336">
        <v>33</v>
      </c>
      <c r="AH336">
        <v>3</v>
      </c>
      <c r="AI336">
        <v>3</v>
      </c>
      <c r="AJ336">
        <v>0</v>
      </c>
      <c r="AK336">
        <v>5</v>
      </c>
      <c r="AL336" t="s">
        <v>6836</v>
      </c>
      <c r="AM336" t="s">
        <v>6837</v>
      </c>
      <c r="AN336" t="s">
        <v>6838</v>
      </c>
      <c r="AO336" t="s">
        <v>6839</v>
      </c>
      <c r="AP336" t="s">
        <v>6840</v>
      </c>
      <c r="AQ336" t="s">
        <v>74</v>
      </c>
      <c r="AR336" t="s">
        <v>6841</v>
      </c>
      <c r="AS336" t="s">
        <v>6842</v>
      </c>
      <c r="AT336" t="s">
        <v>74</v>
      </c>
      <c r="AU336">
        <v>2018</v>
      </c>
      <c r="AV336">
        <v>23</v>
      </c>
      <c r="AW336" t="s">
        <v>74</v>
      </c>
      <c r="AX336" t="s">
        <v>74</v>
      </c>
      <c r="AY336" t="s">
        <v>74</v>
      </c>
      <c r="AZ336" t="s">
        <v>74</v>
      </c>
      <c r="BA336" t="s">
        <v>74</v>
      </c>
      <c r="BB336" t="s">
        <v>74</v>
      </c>
      <c r="BC336" t="s">
        <v>74</v>
      </c>
      <c r="BD336" t="s">
        <v>6843</v>
      </c>
      <c r="BE336" t="s">
        <v>6844</v>
      </c>
      <c r="BF336" t="str">
        <f>HYPERLINK("http://dx.doi.org/10.1590/2318-0331.231820170081","http://dx.doi.org/10.1590/2318-0331.231820170081")</f>
        <v>http://dx.doi.org/10.1590/2318-0331.231820170081</v>
      </c>
      <c r="BG336" t="s">
        <v>74</v>
      </c>
      <c r="BH336" t="s">
        <v>74</v>
      </c>
      <c r="BI336">
        <v>10</v>
      </c>
      <c r="BJ336" t="s">
        <v>2953</v>
      </c>
      <c r="BK336" t="s">
        <v>2081</v>
      </c>
      <c r="BL336" t="s">
        <v>2953</v>
      </c>
      <c r="BM336" t="s">
        <v>6845</v>
      </c>
      <c r="BN336" t="s">
        <v>74</v>
      </c>
      <c r="BO336" t="s">
        <v>1725</v>
      </c>
      <c r="BP336" t="s">
        <v>74</v>
      </c>
      <c r="BQ336" t="s">
        <v>74</v>
      </c>
      <c r="BR336" t="s">
        <v>105</v>
      </c>
      <c r="BS336" t="s">
        <v>6846</v>
      </c>
      <c r="BT336" t="str">
        <f>HYPERLINK("https%3A%2F%2Fwww.webofscience.com%2Fwos%2Fwoscc%2Ffull-record%2FWOS:000438515500014","View Full Record in Web of Science")</f>
        <v>View Full Record in Web of Science</v>
      </c>
    </row>
    <row r="337" spans="1:72" x14ac:dyDescent="0.15">
      <c r="A337" t="s">
        <v>72</v>
      </c>
      <c r="B337" t="s">
        <v>6847</v>
      </c>
      <c r="C337" t="s">
        <v>74</v>
      </c>
      <c r="D337" t="s">
        <v>74</v>
      </c>
      <c r="E337" t="s">
        <v>74</v>
      </c>
      <c r="F337" t="s">
        <v>6848</v>
      </c>
      <c r="G337" t="s">
        <v>74</v>
      </c>
      <c r="H337" t="s">
        <v>74</v>
      </c>
      <c r="I337" t="s">
        <v>6849</v>
      </c>
      <c r="J337" t="s">
        <v>6850</v>
      </c>
      <c r="K337" t="s">
        <v>74</v>
      </c>
      <c r="L337" t="s">
        <v>74</v>
      </c>
      <c r="M337" t="s">
        <v>78</v>
      </c>
      <c r="N337" t="s">
        <v>79</v>
      </c>
      <c r="O337" t="s">
        <v>74</v>
      </c>
      <c r="P337" t="s">
        <v>74</v>
      </c>
      <c r="Q337" t="s">
        <v>74</v>
      </c>
      <c r="R337" t="s">
        <v>74</v>
      </c>
      <c r="S337" t="s">
        <v>74</v>
      </c>
      <c r="T337" t="s">
        <v>6851</v>
      </c>
      <c r="U337" t="s">
        <v>6852</v>
      </c>
      <c r="V337" t="s">
        <v>6853</v>
      </c>
      <c r="W337" t="s">
        <v>6854</v>
      </c>
      <c r="X337" t="s">
        <v>6855</v>
      </c>
      <c r="Y337" t="s">
        <v>6856</v>
      </c>
      <c r="Z337" t="s">
        <v>6857</v>
      </c>
      <c r="AA337" t="s">
        <v>74</v>
      </c>
      <c r="AB337" t="s">
        <v>74</v>
      </c>
      <c r="AC337" t="s">
        <v>6858</v>
      </c>
      <c r="AD337" t="s">
        <v>6859</v>
      </c>
      <c r="AE337" t="s">
        <v>6860</v>
      </c>
      <c r="AF337" t="s">
        <v>74</v>
      </c>
      <c r="AG337">
        <v>28</v>
      </c>
      <c r="AH337">
        <v>25</v>
      </c>
      <c r="AI337">
        <v>26</v>
      </c>
      <c r="AJ337">
        <v>1</v>
      </c>
      <c r="AK337">
        <v>14</v>
      </c>
      <c r="AL337" t="s">
        <v>6861</v>
      </c>
      <c r="AM337" t="s">
        <v>6862</v>
      </c>
      <c r="AN337" t="s">
        <v>6863</v>
      </c>
      <c r="AO337" t="s">
        <v>6864</v>
      </c>
      <c r="AP337" t="s">
        <v>74</v>
      </c>
      <c r="AQ337" t="s">
        <v>74</v>
      </c>
      <c r="AR337" t="s">
        <v>6865</v>
      </c>
      <c r="AS337" t="s">
        <v>6866</v>
      </c>
      <c r="AT337" t="s">
        <v>74</v>
      </c>
      <c r="AU337">
        <v>2018</v>
      </c>
      <c r="AV337">
        <v>15</v>
      </c>
      <c r="AW337">
        <v>9</v>
      </c>
      <c r="AX337" t="s">
        <v>74</v>
      </c>
      <c r="AY337" t="s">
        <v>74</v>
      </c>
      <c r="AZ337" t="s">
        <v>74</v>
      </c>
      <c r="BA337" t="s">
        <v>74</v>
      </c>
      <c r="BB337">
        <v>929</v>
      </c>
      <c r="BC337">
        <v>936</v>
      </c>
      <c r="BD337" t="s">
        <v>74</v>
      </c>
      <c r="BE337" t="s">
        <v>6867</v>
      </c>
      <c r="BF337" t="str">
        <f>HYPERLINK("http://dx.doi.org/10.7150/ijms.26410","http://dx.doi.org/10.7150/ijms.26410")</f>
        <v>http://dx.doi.org/10.7150/ijms.26410</v>
      </c>
      <c r="BG337" t="s">
        <v>74</v>
      </c>
      <c r="BH337" t="s">
        <v>74</v>
      </c>
      <c r="BI337">
        <v>8</v>
      </c>
      <c r="BJ337" t="s">
        <v>6868</v>
      </c>
      <c r="BK337" t="s">
        <v>101</v>
      </c>
      <c r="BL337" t="s">
        <v>6869</v>
      </c>
      <c r="BM337" t="s">
        <v>6870</v>
      </c>
      <c r="BN337">
        <v>30008606</v>
      </c>
      <c r="BO337" t="s">
        <v>1725</v>
      </c>
      <c r="BP337" t="s">
        <v>74</v>
      </c>
      <c r="BQ337" t="s">
        <v>74</v>
      </c>
      <c r="BR337" t="s">
        <v>105</v>
      </c>
      <c r="BS337" t="s">
        <v>6871</v>
      </c>
      <c r="BT337" t="str">
        <f>HYPERLINK("https%3A%2F%2Fwww.webofscience.com%2Fwos%2Fwoscc%2Ffull-record%2FWOS:000438268100009","View Full Record in Web of Science")</f>
        <v>View Full Record in Web of Science</v>
      </c>
    </row>
    <row r="338" spans="1:72" x14ac:dyDescent="0.15">
      <c r="A338" t="s">
        <v>72</v>
      </c>
      <c r="B338" t="s">
        <v>6872</v>
      </c>
      <c r="C338" t="s">
        <v>74</v>
      </c>
      <c r="D338" t="s">
        <v>74</v>
      </c>
      <c r="E338" t="s">
        <v>74</v>
      </c>
      <c r="F338" t="s">
        <v>6873</v>
      </c>
      <c r="G338" t="s">
        <v>74</v>
      </c>
      <c r="H338" t="s">
        <v>74</v>
      </c>
      <c r="I338" t="s">
        <v>6874</v>
      </c>
      <c r="J338" t="s">
        <v>6875</v>
      </c>
      <c r="K338" t="s">
        <v>74</v>
      </c>
      <c r="L338" t="s">
        <v>74</v>
      </c>
      <c r="M338" t="s">
        <v>78</v>
      </c>
      <c r="N338" t="s">
        <v>79</v>
      </c>
      <c r="O338" t="s">
        <v>74</v>
      </c>
      <c r="P338" t="s">
        <v>74</v>
      </c>
      <c r="Q338" t="s">
        <v>74</v>
      </c>
      <c r="R338" t="s">
        <v>74</v>
      </c>
      <c r="S338" t="s">
        <v>74</v>
      </c>
      <c r="T338" t="s">
        <v>74</v>
      </c>
      <c r="U338" t="s">
        <v>6876</v>
      </c>
      <c r="V338" t="s">
        <v>6877</v>
      </c>
      <c r="W338" t="s">
        <v>6878</v>
      </c>
      <c r="X338" t="s">
        <v>6879</v>
      </c>
      <c r="Y338" t="s">
        <v>6880</v>
      </c>
      <c r="Z338" t="s">
        <v>6881</v>
      </c>
      <c r="AA338" t="s">
        <v>6882</v>
      </c>
      <c r="AB338" t="s">
        <v>74</v>
      </c>
      <c r="AC338" t="s">
        <v>6883</v>
      </c>
      <c r="AD338" t="s">
        <v>6884</v>
      </c>
      <c r="AE338" t="s">
        <v>6885</v>
      </c>
      <c r="AF338" t="s">
        <v>74</v>
      </c>
      <c r="AG338">
        <v>65</v>
      </c>
      <c r="AH338">
        <v>24</v>
      </c>
      <c r="AI338">
        <v>26</v>
      </c>
      <c r="AJ338">
        <v>2</v>
      </c>
      <c r="AK338">
        <v>20</v>
      </c>
      <c r="AL338" t="s">
        <v>6886</v>
      </c>
      <c r="AM338" t="s">
        <v>92</v>
      </c>
      <c r="AN338" t="s">
        <v>6887</v>
      </c>
      <c r="AO338" t="s">
        <v>6888</v>
      </c>
      <c r="AP338" t="s">
        <v>6889</v>
      </c>
      <c r="AQ338" t="s">
        <v>74</v>
      </c>
      <c r="AR338" t="s">
        <v>6890</v>
      </c>
      <c r="AS338" t="s">
        <v>6891</v>
      </c>
      <c r="AT338" t="s">
        <v>74</v>
      </c>
      <c r="AU338">
        <v>2018</v>
      </c>
      <c r="AV338">
        <v>2018</v>
      </c>
      <c r="AW338" t="s">
        <v>74</v>
      </c>
      <c r="AX338" t="s">
        <v>74</v>
      </c>
      <c r="AY338" t="s">
        <v>74</v>
      </c>
      <c r="AZ338" t="s">
        <v>74</v>
      </c>
      <c r="BA338" t="s">
        <v>74</v>
      </c>
      <c r="BB338" t="s">
        <v>74</v>
      </c>
      <c r="BC338" t="s">
        <v>74</v>
      </c>
      <c r="BD338">
        <v>3258383</v>
      </c>
      <c r="BE338" t="s">
        <v>6892</v>
      </c>
      <c r="BF338" t="str">
        <f>HYPERLINK("http://dx.doi.org/10.1155/2018/3258383","http://dx.doi.org/10.1155/2018/3258383")</f>
        <v>http://dx.doi.org/10.1155/2018/3258383</v>
      </c>
      <c r="BG338" t="s">
        <v>74</v>
      </c>
      <c r="BH338" t="s">
        <v>74</v>
      </c>
      <c r="BI338">
        <v>16</v>
      </c>
      <c r="BJ338" t="s">
        <v>6893</v>
      </c>
      <c r="BK338" t="s">
        <v>101</v>
      </c>
      <c r="BL338" t="s">
        <v>6894</v>
      </c>
      <c r="BM338" t="s">
        <v>6895</v>
      </c>
      <c r="BN338">
        <v>30050926</v>
      </c>
      <c r="BO338" t="s">
        <v>3808</v>
      </c>
      <c r="BP338" t="s">
        <v>74</v>
      </c>
      <c r="BQ338" t="s">
        <v>74</v>
      </c>
      <c r="BR338" t="s">
        <v>105</v>
      </c>
      <c r="BS338" t="s">
        <v>6896</v>
      </c>
      <c r="BT338" t="str">
        <f>HYPERLINK("https%3A%2F%2Fwww.webofscience.com%2Fwos%2Fwoscc%2Ffull-record%2FWOS:000437399500001","View Full Record in Web of Science")</f>
        <v>View Full Record in Web of Science</v>
      </c>
    </row>
    <row r="339" spans="1:72" x14ac:dyDescent="0.15">
      <c r="A339" t="s">
        <v>72</v>
      </c>
      <c r="B339" t="s">
        <v>6897</v>
      </c>
      <c r="C339" t="s">
        <v>74</v>
      </c>
      <c r="D339" t="s">
        <v>74</v>
      </c>
      <c r="E339" t="s">
        <v>74</v>
      </c>
      <c r="F339" t="s">
        <v>6898</v>
      </c>
      <c r="G339" t="s">
        <v>74</v>
      </c>
      <c r="H339" t="s">
        <v>74</v>
      </c>
      <c r="I339" t="s">
        <v>6899</v>
      </c>
      <c r="J339" t="s">
        <v>6900</v>
      </c>
      <c r="K339" t="s">
        <v>74</v>
      </c>
      <c r="L339" t="s">
        <v>74</v>
      </c>
      <c r="M339" t="s">
        <v>78</v>
      </c>
      <c r="N339" t="s">
        <v>79</v>
      </c>
      <c r="O339" t="s">
        <v>74</v>
      </c>
      <c r="P339" t="s">
        <v>74</v>
      </c>
      <c r="Q339" t="s">
        <v>74</v>
      </c>
      <c r="R339" t="s">
        <v>74</v>
      </c>
      <c r="S339" t="s">
        <v>74</v>
      </c>
      <c r="T339" t="s">
        <v>6901</v>
      </c>
      <c r="U339" t="s">
        <v>6902</v>
      </c>
      <c r="V339" t="s">
        <v>6903</v>
      </c>
      <c r="W339" t="s">
        <v>6904</v>
      </c>
      <c r="X339" t="s">
        <v>6905</v>
      </c>
      <c r="Y339" t="s">
        <v>6906</v>
      </c>
      <c r="Z339" t="s">
        <v>6907</v>
      </c>
      <c r="AA339" t="s">
        <v>6908</v>
      </c>
      <c r="AB339" t="s">
        <v>6909</v>
      </c>
      <c r="AC339" t="s">
        <v>6910</v>
      </c>
      <c r="AD339" t="s">
        <v>6911</v>
      </c>
      <c r="AE339" t="s">
        <v>6912</v>
      </c>
      <c r="AF339" t="s">
        <v>74</v>
      </c>
      <c r="AG339">
        <v>58</v>
      </c>
      <c r="AH339">
        <v>31</v>
      </c>
      <c r="AI339">
        <v>33</v>
      </c>
      <c r="AJ339">
        <v>7</v>
      </c>
      <c r="AK339">
        <v>52</v>
      </c>
      <c r="AL339" t="s">
        <v>1700</v>
      </c>
      <c r="AM339" t="s">
        <v>1701</v>
      </c>
      <c r="AN339" t="s">
        <v>1702</v>
      </c>
      <c r="AO339" t="s">
        <v>6913</v>
      </c>
      <c r="AP339" t="s">
        <v>6914</v>
      </c>
      <c r="AQ339" t="s">
        <v>74</v>
      </c>
      <c r="AR339" t="s">
        <v>6915</v>
      </c>
      <c r="AS339" t="s">
        <v>6916</v>
      </c>
      <c r="AT339" t="s">
        <v>74</v>
      </c>
      <c r="AU339">
        <v>2018</v>
      </c>
      <c r="AV339">
        <v>18</v>
      </c>
      <c r="AW339">
        <v>7</v>
      </c>
      <c r="AX339" t="s">
        <v>74</v>
      </c>
      <c r="AY339" t="s">
        <v>74</v>
      </c>
      <c r="AZ339" t="s">
        <v>74</v>
      </c>
      <c r="BA339" t="s">
        <v>74</v>
      </c>
      <c r="BB339">
        <v>818</v>
      </c>
      <c r="BC339">
        <v>827</v>
      </c>
      <c r="BD339" t="s">
        <v>74</v>
      </c>
      <c r="BE339" t="s">
        <v>6917</v>
      </c>
      <c r="BF339" t="str">
        <f>HYPERLINK("http://dx.doi.org/10.1080/14693062.2017.1412934","http://dx.doi.org/10.1080/14693062.2017.1412934")</f>
        <v>http://dx.doi.org/10.1080/14693062.2017.1412934</v>
      </c>
      <c r="BG339" t="s">
        <v>74</v>
      </c>
      <c r="BH339" t="s">
        <v>74</v>
      </c>
      <c r="BI339">
        <v>10</v>
      </c>
      <c r="BJ339" t="s">
        <v>6918</v>
      </c>
      <c r="BK339" t="s">
        <v>3136</v>
      </c>
      <c r="BL339" t="s">
        <v>6919</v>
      </c>
      <c r="BM339" t="s">
        <v>6920</v>
      </c>
      <c r="BN339" t="s">
        <v>74</v>
      </c>
      <c r="BO339" t="s">
        <v>74</v>
      </c>
      <c r="BP339" t="s">
        <v>74</v>
      </c>
      <c r="BQ339" t="s">
        <v>74</v>
      </c>
      <c r="BR339" t="s">
        <v>105</v>
      </c>
      <c r="BS339" t="s">
        <v>6921</v>
      </c>
      <c r="BT339" t="str">
        <f>HYPERLINK("https%3A%2F%2Fwww.webofscience.com%2Fwos%2Fwoscc%2Ffull-record%2FWOS:000436874600003","View Full Record in Web of Science")</f>
        <v>View Full Record in Web of Science</v>
      </c>
    </row>
    <row r="340" spans="1:72" x14ac:dyDescent="0.15">
      <c r="A340" t="s">
        <v>72</v>
      </c>
      <c r="B340" t="s">
        <v>6922</v>
      </c>
      <c r="C340" t="s">
        <v>74</v>
      </c>
      <c r="D340" t="s">
        <v>74</v>
      </c>
      <c r="E340" t="s">
        <v>74</v>
      </c>
      <c r="F340" t="s">
        <v>6923</v>
      </c>
      <c r="G340" t="s">
        <v>74</v>
      </c>
      <c r="H340" t="s">
        <v>74</v>
      </c>
      <c r="I340" t="s">
        <v>6924</v>
      </c>
      <c r="J340" t="s">
        <v>6925</v>
      </c>
      <c r="K340" t="s">
        <v>74</v>
      </c>
      <c r="L340" t="s">
        <v>74</v>
      </c>
      <c r="M340" t="s">
        <v>78</v>
      </c>
      <c r="N340" t="s">
        <v>79</v>
      </c>
      <c r="O340" t="s">
        <v>74</v>
      </c>
      <c r="P340" t="s">
        <v>74</v>
      </c>
      <c r="Q340" t="s">
        <v>74</v>
      </c>
      <c r="R340" t="s">
        <v>74</v>
      </c>
      <c r="S340" t="s">
        <v>74</v>
      </c>
      <c r="T340" t="s">
        <v>6926</v>
      </c>
      <c r="U340" t="s">
        <v>6927</v>
      </c>
      <c r="V340" t="s">
        <v>6928</v>
      </c>
      <c r="W340" t="s">
        <v>6929</v>
      </c>
      <c r="X340" t="s">
        <v>6930</v>
      </c>
      <c r="Y340" t="s">
        <v>6931</v>
      </c>
      <c r="Z340" t="s">
        <v>6932</v>
      </c>
      <c r="AA340" t="s">
        <v>6933</v>
      </c>
      <c r="AB340" t="s">
        <v>74</v>
      </c>
      <c r="AC340" t="s">
        <v>6934</v>
      </c>
      <c r="AD340" t="s">
        <v>6935</v>
      </c>
      <c r="AE340" t="s">
        <v>6936</v>
      </c>
      <c r="AF340" t="s">
        <v>74</v>
      </c>
      <c r="AG340">
        <v>20</v>
      </c>
      <c r="AH340">
        <v>1</v>
      </c>
      <c r="AI340">
        <v>1</v>
      </c>
      <c r="AJ340">
        <v>0</v>
      </c>
      <c r="AK340">
        <v>0</v>
      </c>
      <c r="AL340" t="s">
        <v>6937</v>
      </c>
      <c r="AM340" t="s">
        <v>6938</v>
      </c>
      <c r="AN340" t="s">
        <v>6939</v>
      </c>
      <c r="AO340" t="s">
        <v>6940</v>
      </c>
      <c r="AP340" t="s">
        <v>6941</v>
      </c>
      <c r="AQ340" t="s">
        <v>74</v>
      </c>
      <c r="AR340" t="s">
        <v>6942</v>
      </c>
      <c r="AS340" t="s">
        <v>6943</v>
      </c>
      <c r="AT340" t="s">
        <v>74</v>
      </c>
      <c r="AU340">
        <v>2018</v>
      </c>
      <c r="AV340">
        <v>27</v>
      </c>
      <c r="AW340">
        <v>5</v>
      </c>
      <c r="AX340" t="s">
        <v>74</v>
      </c>
      <c r="AY340" t="s">
        <v>74</v>
      </c>
      <c r="AZ340" t="s">
        <v>74</v>
      </c>
      <c r="BA340" t="s">
        <v>74</v>
      </c>
      <c r="BB340">
        <v>3028</v>
      </c>
      <c r="BC340">
        <v>3034</v>
      </c>
      <c r="BD340" t="s">
        <v>74</v>
      </c>
      <c r="BE340" t="s">
        <v>74</v>
      </c>
      <c r="BF340" t="s">
        <v>74</v>
      </c>
      <c r="BG340" t="s">
        <v>74</v>
      </c>
      <c r="BH340" t="s">
        <v>74</v>
      </c>
      <c r="BI340">
        <v>7</v>
      </c>
      <c r="BJ340" t="s">
        <v>1119</v>
      </c>
      <c r="BK340" t="s">
        <v>101</v>
      </c>
      <c r="BL340" t="s">
        <v>1120</v>
      </c>
      <c r="BM340" t="s">
        <v>6944</v>
      </c>
      <c r="BN340" t="s">
        <v>74</v>
      </c>
      <c r="BO340" t="s">
        <v>74</v>
      </c>
      <c r="BP340" t="s">
        <v>74</v>
      </c>
      <c r="BQ340" t="s">
        <v>74</v>
      </c>
      <c r="BR340" t="s">
        <v>105</v>
      </c>
      <c r="BS340" t="s">
        <v>6945</v>
      </c>
      <c r="BT340" t="str">
        <f>HYPERLINK("https%3A%2F%2Fwww.webofscience.com%2Fwos%2Fwoscc%2Ffull-record%2FWOS:000436522600049","View Full Record in Web of Science")</f>
        <v>View Full Record in Web of Science</v>
      </c>
    </row>
    <row r="341" spans="1:72" x14ac:dyDescent="0.15">
      <c r="A341" t="s">
        <v>1831</v>
      </c>
      <c r="B341" t="s">
        <v>6946</v>
      </c>
      <c r="C341" t="s">
        <v>74</v>
      </c>
      <c r="D341" t="s">
        <v>6946</v>
      </c>
      <c r="E341" t="s">
        <v>74</v>
      </c>
      <c r="F341" t="s">
        <v>6947</v>
      </c>
      <c r="G341" t="s">
        <v>74</v>
      </c>
      <c r="H341" t="s">
        <v>74</v>
      </c>
      <c r="I341" t="s">
        <v>6948</v>
      </c>
      <c r="J341" t="s">
        <v>6949</v>
      </c>
      <c r="K341" t="s">
        <v>6950</v>
      </c>
      <c r="L341" t="s">
        <v>74</v>
      </c>
      <c r="M341" t="s">
        <v>78</v>
      </c>
      <c r="N341" t="s">
        <v>1838</v>
      </c>
      <c r="O341" t="s">
        <v>74</v>
      </c>
      <c r="P341" t="s">
        <v>74</v>
      </c>
      <c r="Q341" t="s">
        <v>74</v>
      </c>
      <c r="R341" t="s">
        <v>74</v>
      </c>
      <c r="S341" t="s">
        <v>74</v>
      </c>
      <c r="T341" t="s">
        <v>74</v>
      </c>
      <c r="U341" t="s">
        <v>6951</v>
      </c>
      <c r="V341" t="s">
        <v>6952</v>
      </c>
      <c r="W341" t="s">
        <v>6953</v>
      </c>
      <c r="X341" t="s">
        <v>6954</v>
      </c>
      <c r="Y341" t="s">
        <v>6955</v>
      </c>
      <c r="Z341" t="s">
        <v>6956</v>
      </c>
      <c r="AA341" t="s">
        <v>74</v>
      </c>
      <c r="AB341" t="s">
        <v>74</v>
      </c>
      <c r="AC341" t="s">
        <v>74</v>
      </c>
      <c r="AD341" t="s">
        <v>74</v>
      </c>
      <c r="AE341" t="s">
        <v>74</v>
      </c>
      <c r="AF341" t="s">
        <v>74</v>
      </c>
      <c r="AG341">
        <v>68</v>
      </c>
      <c r="AH341">
        <v>25</v>
      </c>
      <c r="AI341">
        <v>28</v>
      </c>
      <c r="AJ341">
        <v>1</v>
      </c>
      <c r="AK341">
        <v>23</v>
      </c>
      <c r="AL341" t="s">
        <v>4294</v>
      </c>
      <c r="AM341" t="s">
        <v>1267</v>
      </c>
      <c r="AN341" t="s">
        <v>4295</v>
      </c>
      <c r="AO341" t="s">
        <v>6957</v>
      </c>
      <c r="AP341" t="s">
        <v>74</v>
      </c>
      <c r="AQ341" t="s">
        <v>6958</v>
      </c>
      <c r="AR341" t="s">
        <v>6959</v>
      </c>
      <c r="AS341" t="s">
        <v>6960</v>
      </c>
      <c r="AT341" t="s">
        <v>74</v>
      </c>
      <c r="AU341">
        <v>2018</v>
      </c>
      <c r="AV341">
        <v>130</v>
      </c>
      <c r="AW341" t="s">
        <v>74</v>
      </c>
      <c r="AX341" t="s">
        <v>74</v>
      </c>
      <c r="AY341" t="s">
        <v>74</v>
      </c>
      <c r="AZ341" t="s">
        <v>74</v>
      </c>
      <c r="BA341" t="s">
        <v>74</v>
      </c>
      <c r="BB341">
        <v>275</v>
      </c>
      <c r="BC341">
        <v>305</v>
      </c>
      <c r="BD341" t="s">
        <v>74</v>
      </c>
      <c r="BE341" t="s">
        <v>6961</v>
      </c>
      <c r="BF341" t="str">
        <f>HYPERLINK("http://dx.doi.org/10.1016/bs.ctdb.2018.01.002","http://dx.doi.org/10.1016/bs.ctdb.2018.01.002")</f>
        <v>http://dx.doi.org/10.1016/bs.ctdb.2018.01.002</v>
      </c>
      <c r="BG341" t="s">
        <v>74</v>
      </c>
      <c r="BH341" t="s">
        <v>74</v>
      </c>
      <c r="BI341">
        <v>31</v>
      </c>
      <c r="BJ341" t="s">
        <v>6962</v>
      </c>
      <c r="BK341" t="s">
        <v>3859</v>
      </c>
      <c r="BL341" t="s">
        <v>6962</v>
      </c>
      <c r="BM341" t="s">
        <v>6963</v>
      </c>
      <c r="BN341">
        <v>29853180</v>
      </c>
      <c r="BO341" t="s">
        <v>74</v>
      </c>
      <c r="BP341" t="s">
        <v>74</v>
      </c>
      <c r="BQ341" t="s">
        <v>74</v>
      </c>
      <c r="BR341" t="s">
        <v>105</v>
      </c>
      <c r="BS341" t="s">
        <v>6964</v>
      </c>
      <c r="BT341" t="str">
        <f>HYPERLINK("https%3A%2F%2Fwww.webofscience.com%2Fwos%2Fwoscc%2Ffull-record%2FWOS:000436626100009","View Full Record in Web of Science")</f>
        <v>View Full Record in Web of Science</v>
      </c>
    </row>
    <row r="342" spans="1:72" x14ac:dyDescent="0.15">
      <c r="A342" t="s">
        <v>72</v>
      </c>
      <c r="B342" t="s">
        <v>6965</v>
      </c>
      <c r="C342" t="s">
        <v>74</v>
      </c>
      <c r="D342" t="s">
        <v>74</v>
      </c>
      <c r="E342" t="s">
        <v>74</v>
      </c>
      <c r="F342" t="s">
        <v>6966</v>
      </c>
      <c r="G342" t="s">
        <v>74</v>
      </c>
      <c r="H342" t="s">
        <v>74</v>
      </c>
      <c r="I342" t="s">
        <v>6967</v>
      </c>
      <c r="J342" t="s">
        <v>6968</v>
      </c>
      <c r="K342" t="s">
        <v>74</v>
      </c>
      <c r="L342" t="s">
        <v>74</v>
      </c>
      <c r="M342" t="s">
        <v>78</v>
      </c>
      <c r="N342" t="s">
        <v>79</v>
      </c>
      <c r="O342" t="s">
        <v>74</v>
      </c>
      <c r="P342" t="s">
        <v>74</v>
      </c>
      <c r="Q342" t="s">
        <v>74</v>
      </c>
      <c r="R342" t="s">
        <v>74</v>
      </c>
      <c r="S342" t="s">
        <v>74</v>
      </c>
      <c r="T342" t="s">
        <v>6969</v>
      </c>
      <c r="U342" t="s">
        <v>6970</v>
      </c>
      <c r="V342" t="s">
        <v>6971</v>
      </c>
      <c r="W342" t="s">
        <v>6972</v>
      </c>
      <c r="X342" t="s">
        <v>6973</v>
      </c>
      <c r="Y342" t="s">
        <v>6974</v>
      </c>
      <c r="Z342" t="s">
        <v>6975</v>
      </c>
      <c r="AA342" t="s">
        <v>6976</v>
      </c>
      <c r="AB342" t="s">
        <v>6977</v>
      </c>
      <c r="AC342" t="s">
        <v>74</v>
      </c>
      <c r="AD342" t="s">
        <v>74</v>
      </c>
      <c r="AE342" t="s">
        <v>74</v>
      </c>
      <c r="AF342" t="s">
        <v>74</v>
      </c>
      <c r="AG342">
        <v>91</v>
      </c>
      <c r="AH342">
        <v>7</v>
      </c>
      <c r="AI342">
        <v>7</v>
      </c>
      <c r="AJ342">
        <v>0</v>
      </c>
      <c r="AK342">
        <v>10</v>
      </c>
      <c r="AL342" t="s">
        <v>1700</v>
      </c>
      <c r="AM342" t="s">
        <v>1701</v>
      </c>
      <c r="AN342" t="s">
        <v>1702</v>
      </c>
      <c r="AO342" t="s">
        <v>6978</v>
      </c>
      <c r="AP342" t="s">
        <v>6979</v>
      </c>
      <c r="AQ342" t="s">
        <v>74</v>
      </c>
      <c r="AR342" t="s">
        <v>6968</v>
      </c>
      <c r="AS342" t="s">
        <v>6968</v>
      </c>
      <c r="AT342" t="s">
        <v>74</v>
      </c>
      <c r="AU342">
        <v>2018</v>
      </c>
      <c r="AV342">
        <v>140</v>
      </c>
      <c r="AW342">
        <v>2</v>
      </c>
      <c r="AX342" t="s">
        <v>74</v>
      </c>
      <c r="AY342" t="s">
        <v>74</v>
      </c>
      <c r="AZ342" t="s">
        <v>1146</v>
      </c>
      <c r="BA342" t="s">
        <v>74</v>
      </c>
      <c r="BB342">
        <v>136</v>
      </c>
      <c r="BC342">
        <v>152</v>
      </c>
      <c r="BD342" t="s">
        <v>74</v>
      </c>
      <c r="BE342" t="s">
        <v>6980</v>
      </c>
      <c r="BF342" t="str">
        <f>HYPERLINK("http://dx.doi.org/10.1080/11035897.2018.1457714","http://dx.doi.org/10.1080/11035897.2018.1457714")</f>
        <v>http://dx.doi.org/10.1080/11035897.2018.1457714</v>
      </c>
      <c r="BG342" t="s">
        <v>74</v>
      </c>
      <c r="BH342" t="s">
        <v>74</v>
      </c>
      <c r="BI342">
        <v>17</v>
      </c>
      <c r="BJ342" t="s">
        <v>3019</v>
      </c>
      <c r="BK342" t="s">
        <v>101</v>
      </c>
      <c r="BL342" t="s">
        <v>3019</v>
      </c>
      <c r="BM342" t="s">
        <v>6981</v>
      </c>
      <c r="BN342" t="s">
        <v>74</v>
      </c>
      <c r="BO342" t="s">
        <v>1568</v>
      </c>
      <c r="BP342" t="s">
        <v>74</v>
      </c>
      <c r="BQ342" t="s">
        <v>74</v>
      </c>
      <c r="BR342" t="s">
        <v>105</v>
      </c>
      <c r="BS342" t="s">
        <v>6982</v>
      </c>
      <c r="BT342" t="str">
        <f>HYPERLINK("https%3A%2F%2Fwww.webofscience.com%2Fwos%2Fwoscc%2Ffull-record%2FWOS:000436327300004","View Full Record in Web of Science")</f>
        <v>View Full Record in Web of Science</v>
      </c>
    </row>
    <row r="343" spans="1:72" x14ac:dyDescent="0.15">
      <c r="A343" t="s">
        <v>72</v>
      </c>
      <c r="B343" t="s">
        <v>6983</v>
      </c>
      <c r="C343" t="s">
        <v>74</v>
      </c>
      <c r="D343" t="s">
        <v>74</v>
      </c>
      <c r="E343" t="s">
        <v>74</v>
      </c>
      <c r="F343" t="s">
        <v>6984</v>
      </c>
      <c r="G343" t="s">
        <v>74</v>
      </c>
      <c r="H343" t="s">
        <v>74</v>
      </c>
      <c r="I343" t="s">
        <v>6985</v>
      </c>
      <c r="J343" t="s">
        <v>6986</v>
      </c>
      <c r="K343" t="s">
        <v>74</v>
      </c>
      <c r="L343" t="s">
        <v>74</v>
      </c>
      <c r="M343" t="s">
        <v>78</v>
      </c>
      <c r="N343" t="s">
        <v>79</v>
      </c>
      <c r="O343" t="s">
        <v>74</v>
      </c>
      <c r="P343" t="s">
        <v>74</v>
      </c>
      <c r="Q343" t="s">
        <v>74</v>
      </c>
      <c r="R343" t="s">
        <v>74</v>
      </c>
      <c r="S343" t="s">
        <v>74</v>
      </c>
      <c r="T343" t="s">
        <v>6987</v>
      </c>
      <c r="U343" t="s">
        <v>6988</v>
      </c>
      <c r="V343" t="s">
        <v>6989</v>
      </c>
      <c r="W343" t="s">
        <v>6990</v>
      </c>
      <c r="X343" t="s">
        <v>6991</v>
      </c>
      <c r="Y343" t="s">
        <v>6992</v>
      </c>
      <c r="Z343" t="s">
        <v>6993</v>
      </c>
      <c r="AA343" t="s">
        <v>6994</v>
      </c>
      <c r="AB343" t="s">
        <v>6995</v>
      </c>
      <c r="AC343" t="s">
        <v>6996</v>
      </c>
      <c r="AD343" t="s">
        <v>6997</v>
      </c>
      <c r="AE343" t="s">
        <v>6998</v>
      </c>
      <c r="AF343" t="s">
        <v>74</v>
      </c>
      <c r="AG343">
        <v>33</v>
      </c>
      <c r="AH343">
        <v>4</v>
      </c>
      <c r="AI343">
        <v>5</v>
      </c>
      <c r="AJ343">
        <v>2</v>
      </c>
      <c r="AK343">
        <v>6</v>
      </c>
      <c r="AL343" t="s">
        <v>4791</v>
      </c>
      <c r="AM343" t="s">
        <v>4792</v>
      </c>
      <c r="AN343" t="s">
        <v>4793</v>
      </c>
      <c r="AO343" t="s">
        <v>6999</v>
      </c>
      <c r="AP343" t="s">
        <v>7000</v>
      </c>
      <c r="AQ343" t="s">
        <v>74</v>
      </c>
      <c r="AR343" t="s">
        <v>7001</v>
      </c>
      <c r="AS343" t="s">
        <v>7002</v>
      </c>
      <c r="AT343" t="s">
        <v>74</v>
      </c>
      <c r="AU343">
        <v>2018</v>
      </c>
      <c r="AV343">
        <v>65</v>
      </c>
      <c r="AW343">
        <v>2</v>
      </c>
      <c r="AX343" t="s">
        <v>74</v>
      </c>
      <c r="AY343" t="s">
        <v>74</v>
      </c>
      <c r="AZ343" t="s">
        <v>74</v>
      </c>
      <c r="BA343" t="s">
        <v>74</v>
      </c>
      <c r="BB343">
        <v>87</v>
      </c>
      <c r="BC343">
        <v>101</v>
      </c>
      <c r="BD343" t="s">
        <v>74</v>
      </c>
      <c r="BE343" t="s">
        <v>7003</v>
      </c>
      <c r="BF343" t="str">
        <f>HYPERLINK("http://dx.doi.org/10.1080/09377255.2018.1454390","http://dx.doi.org/10.1080/09377255.2018.1454390")</f>
        <v>http://dx.doi.org/10.1080/09377255.2018.1454390</v>
      </c>
      <c r="BG343" t="s">
        <v>74</v>
      </c>
      <c r="BH343" t="s">
        <v>74</v>
      </c>
      <c r="BI343">
        <v>15</v>
      </c>
      <c r="BJ343" t="s">
        <v>2403</v>
      </c>
      <c r="BK343" t="s">
        <v>2081</v>
      </c>
      <c r="BL343" t="s">
        <v>2155</v>
      </c>
      <c r="BM343" t="s">
        <v>7004</v>
      </c>
      <c r="BN343" t="s">
        <v>74</v>
      </c>
      <c r="BO343" t="s">
        <v>74</v>
      </c>
      <c r="BP343" t="s">
        <v>74</v>
      </c>
      <c r="BQ343" t="s">
        <v>74</v>
      </c>
      <c r="BR343" t="s">
        <v>105</v>
      </c>
      <c r="BS343" t="s">
        <v>7005</v>
      </c>
      <c r="BT343" t="str">
        <f>HYPERLINK("https%3A%2F%2Fwww.webofscience.com%2Fwos%2Fwoscc%2Ffull-record%2FWOS:000436961500003","View Full Record in Web of Science")</f>
        <v>View Full Record in Web of Science</v>
      </c>
    </row>
    <row r="344" spans="1:72" x14ac:dyDescent="0.15">
      <c r="A344" t="s">
        <v>72</v>
      </c>
      <c r="B344" t="s">
        <v>7006</v>
      </c>
      <c r="C344" t="s">
        <v>74</v>
      </c>
      <c r="D344" t="s">
        <v>74</v>
      </c>
      <c r="E344" t="s">
        <v>74</v>
      </c>
      <c r="F344" t="s">
        <v>7007</v>
      </c>
      <c r="G344" t="s">
        <v>74</v>
      </c>
      <c r="H344" t="s">
        <v>74</v>
      </c>
      <c r="I344" t="s">
        <v>7008</v>
      </c>
      <c r="J344" t="s">
        <v>7009</v>
      </c>
      <c r="K344" t="s">
        <v>74</v>
      </c>
      <c r="L344" t="s">
        <v>74</v>
      </c>
      <c r="M344" t="s">
        <v>78</v>
      </c>
      <c r="N344" t="s">
        <v>79</v>
      </c>
      <c r="O344" t="s">
        <v>74</v>
      </c>
      <c r="P344" t="s">
        <v>74</v>
      </c>
      <c r="Q344" t="s">
        <v>74</v>
      </c>
      <c r="R344" t="s">
        <v>74</v>
      </c>
      <c r="S344" t="s">
        <v>74</v>
      </c>
      <c r="T344" t="s">
        <v>7010</v>
      </c>
      <c r="U344" t="s">
        <v>7011</v>
      </c>
      <c r="V344" t="s">
        <v>7012</v>
      </c>
      <c r="W344" t="s">
        <v>7013</v>
      </c>
      <c r="X344" t="s">
        <v>3664</v>
      </c>
      <c r="Y344" t="s">
        <v>7014</v>
      </c>
      <c r="Z344" t="s">
        <v>5883</v>
      </c>
      <c r="AA344" t="s">
        <v>5884</v>
      </c>
      <c r="AB344" t="s">
        <v>7015</v>
      </c>
      <c r="AC344" t="s">
        <v>7016</v>
      </c>
      <c r="AD344" t="s">
        <v>7017</v>
      </c>
      <c r="AE344" t="s">
        <v>7018</v>
      </c>
      <c r="AF344" t="s">
        <v>74</v>
      </c>
      <c r="AG344">
        <v>25</v>
      </c>
      <c r="AH344">
        <v>3</v>
      </c>
      <c r="AI344">
        <v>3</v>
      </c>
      <c r="AJ344">
        <v>0</v>
      </c>
      <c r="AK344">
        <v>11</v>
      </c>
      <c r="AL344" t="s">
        <v>1700</v>
      </c>
      <c r="AM344" t="s">
        <v>1701</v>
      </c>
      <c r="AN344" t="s">
        <v>1702</v>
      </c>
      <c r="AO344" t="s">
        <v>7019</v>
      </c>
      <c r="AP344" t="s">
        <v>7020</v>
      </c>
      <c r="AQ344" t="s">
        <v>74</v>
      </c>
      <c r="AR344" t="s">
        <v>7021</v>
      </c>
      <c r="AS344" t="s">
        <v>7022</v>
      </c>
      <c r="AT344" t="s">
        <v>74</v>
      </c>
      <c r="AU344">
        <v>2018</v>
      </c>
      <c r="AV344">
        <v>50</v>
      </c>
      <c r="AW344">
        <v>361</v>
      </c>
      <c r="AX344" t="s">
        <v>74</v>
      </c>
      <c r="AY344" t="s">
        <v>74</v>
      </c>
      <c r="AZ344" t="s">
        <v>74</v>
      </c>
      <c r="BA344" t="s">
        <v>74</v>
      </c>
      <c r="BB344">
        <v>355</v>
      </c>
      <c r="BC344">
        <v>363</v>
      </c>
      <c r="BD344" t="s">
        <v>74</v>
      </c>
      <c r="BE344" t="s">
        <v>7023</v>
      </c>
      <c r="BF344" t="str">
        <f>HYPERLINK("http://dx.doi.org/10.1080/00396265.2016.1277657","http://dx.doi.org/10.1080/00396265.2016.1277657")</f>
        <v>http://dx.doi.org/10.1080/00396265.2016.1277657</v>
      </c>
      <c r="BG344" t="s">
        <v>74</v>
      </c>
      <c r="BH344" t="s">
        <v>74</v>
      </c>
      <c r="BI344">
        <v>9</v>
      </c>
      <c r="BJ344" t="s">
        <v>7024</v>
      </c>
      <c r="BK344" t="s">
        <v>101</v>
      </c>
      <c r="BL344" t="s">
        <v>3595</v>
      </c>
      <c r="BM344" t="s">
        <v>7025</v>
      </c>
      <c r="BN344" t="s">
        <v>74</v>
      </c>
      <c r="BO344" t="s">
        <v>74</v>
      </c>
      <c r="BP344" t="s">
        <v>74</v>
      </c>
      <c r="BQ344" t="s">
        <v>74</v>
      </c>
      <c r="BR344" t="s">
        <v>105</v>
      </c>
      <c r="BS344" t="s">
        <v>7026</v>
      </c>
      <c r="BT344" t="str">
        <f>HYPERLINK("https%3A%2F%2Fwww.webofscience.com%2Fwos%2Fwoscc%2Ffull-record%2FWOS:000436980300008","View Full Record in Web of Science")</f>
        <v>View Full Record in Web of Science</v>
      </c>
    </row>
    <row r="345" spans="1:72" x14ac:dyDescent="0.15">
      <c r="A345" t="s">
        <v>72</v>
      </c>
      <c r="B345" t="s">
        <v>7027</v>
      </c>
      <c r="C345" t="s">
        <v>74</v>
      </c>
      <c r="D345" t="s">
        <v>74</v>
      </c>
      <c r="E345" t="s">
        <v>74</v>
      </c>
      <c r="F345" t="s">
        <v>7028</v>
      </c>
      <c r="G345" t="s">
        <v>74</v>
      </c>
      <c r="H345" t="s">
        <v>74</v>
      </c>
      <c r="I345" t="s">
        <v>7029</v>
      </c>
      <c r="J345" t="s">
        <v>6689</v>
      </c>
      <c r="K345" t="s">
        <v>74</v>
      </c>
      <c r="L345" t="s">
        <v>74</v>
      </c>
      <c r="M345" t="s">
        <v>78</v>
      </c>
      <c r="N345" t="s">
        <v>79</v>
      </c>
      <c r="O345" t="s">
        <v>74</v>
      </c>
      <c r="P345" t="s">
        <v>74</v>
      </c>
      <c r="Q345" t="s">
        <v>74</v>
      </c>
      <c r="R345" t="s">
        <v>74</v>
      </c>
      <c r="S345" t="s">
        <v>74</v>
      </c>
      <c r="T345" t="s">
        <v>7030</v>
      </c>
      <c r="U345" t="s">
        <v>7031</v>
      </c>
      <c r="V345" t="s">
        <v>7032</v>
      </c>
      <c r="W345" t="s">
        <v>7033</v>
      </c>
      <c r="X345" t="s">
        <v>7034</v>
      </c>
      <c r="Y345" t="s">
        <v>7035</v>
      </c>
      <c r="Z345" t="s">
        <v>7036</v>
      </c>
      <c r="AA345" t="s">
        <v>7037</v>
      </c>
      <c r="AB345" t="s">
        <v>7038</v>
      </c>
      <c r="AC345" t="s">
        <v>7039</v>
      </c>
      <c r="AD345" t="s">
        <v>7040</v>
      </c>
      <c r="AE345" t="s">
        <v>7041</v>
      </c>
      <c r="AF345" t="s">
        <v>74</v>
      </c>
      <c r="AG345">
        <v>57</v>
      </c>
      <c r="AH345">
        <v>13</v>
      </c>
      <c r="AI345">
        <v>13</v>
      </c>
      <c r="AJ345">
        <v>2</v>
      </c>
      <c r="AK345">
        <v>18</v>
      </c>
      <c r="AL345" t="s">
        <v>512</v>
      </c>
      <c r="AM345" t="s">
        <v>513</v>
      </c>
      <c r="AN345" t="s">
        <v>514</v>
      </c>
      <c r="AO345" t="s">
        <v>6702</v>
      </c>
      <c r="AP345" t="s">
        <v>6703</v>
      </c>
      <c r="AQ345" t="s">
        <v>74</v>
      </c>
      <c r="AR345" t="s">
        <v>6704</v>
      </c>
      <c r="AS345" t="s">
        <v>6705</v>
      </c>
      <c r="AT345" t="s">
        <v>74</v>
      </c>
      <c r="AU345">
        <v>2018</v>
      </c>
      <c r="AV345">
        <v>10</v>
      </c>
      <c r="AW345" t="s">
        <v>74</v>
      </c>
      <c r="AX345" t="s">
        <v>74</v>
      </c>
      <c r="AY345" t="s">
        <v>74</v>
      </c>
      <c r="AZ345" t="s">
        <v>74</v>
      </c>
      <c r="BA345" t="s">
        <v>74</v>
      </c>
      <c r="BB345">
        <v>255</v>
      </c>
      <c r="BC345">
        <v>265</v>
      </c>
      <c r="BD345" t="s">
        <v>74</v>
      </c>
      <c r="BE345" t="s">
        <v>7042</v>
      </c>
      <c r="BF345" t="str">
        <f>HYPERLINK("http://dx.doi.org/10.3354/aei00269","http://dx.doi.org/10.3354/aei00269")</f>
        <v>http://dx.doi.org/10.3354/aei00269</v>
      </c>
      <c r="BG345" t="s">
        <v>74</v>
      </c>
      <c r="BH345" t="s">
        <v>74</v>
      </c>
      <c r="BI345">
        <v>11</v>
      </c>
      <c r="BJ345" t="s">
        <v>6707</v>
      </c>
      <c r="BK345" t="s">
        <v>101</v>
      </c>
      <c r="BL345" t="s">
        <v>6707</v>
      </c>
      <c r="BM345" t="s">
        <v>7043</v>
      </c>
      <c r="BN345" t="s">
        <v>74</v>
      </c>
      <c r="BO345" t="s">
        <v>1498</v>
      </c>
      <c r="BP345" t="s">
        <v>74</v>
      </c>
      <c r="BQ345" t="s">
        <v>74</v>
      </c>
      <c r="BR345" t="s">
        <v>105</v>
      </c>
      <c r="BS345" t="s">
        <v>7044</v>
      </c>
      <c r="BT345" t="str">
        <f>HYPERLINK("https%3A%2F%2Fwww.webofscience.com%2Fwos%2Fwoscc%2Ffull-record%2FWOS:000436334900002","View Full Record in Web of Science")</f>
        <v>View Full Record in Web of Science</v>
      </c>
    </row>
    <row r="346" spans="1:72" x14ac:dyDescent="0.15">
      <c r="A346" t="s">
        <v>72</v>
      </c>
      <c r="B346" t="s">
        <v>7045</v>
      </c>
      <c r="C346" t="s">
        <v>74</v>
      </c>
      <c r="D346" t="s">
        <v>74</v>
      </c>
      <c r="E346" t="s">
        <v>74</v>
      </c>
      <c r="F346" t="s">
        <v>7046</v>
      </c>
      <c r="G346" t="s">
        <v>74</v>
      </c>
      <c r="H346" t="s">
        <v>74</v>
      </c>
      <c r="I346" t="s">
        <v>7047</v>
      </c>
      <c r="J346" t="s">
        <v>6689</v>
      </c>
      <c r="K346" t="s">
        <v>74</v>
      </c>
      <c r="L346" t="s">
        <v>74</v>
      </c>
      <c r="M346" t="s">
        <v>78</v>
      </c>
      <c r="N346" t="s">
        <v>79</v>
      </c>
      <c r="O346" t="s">
        <v>74</v>
      </c>
      <c r="P346" t="s">
        <v>74</v>
      </c>
      <c r="Q346" t="s">
        <v>74</v>
      </c>
      <c r="R346" t="s">
        <v>74</v>
      </c>
      <c r="S346" t="s">
        <v>74</v>
      </c>
      <c r="T346" t="s">
        <v>7048</v>
      </c>
      <c r="U346" t="s">
        <v>7049</v>
      </c>
      <c r="V346" t="s">
        <v>7050</v>
      </c>
      <c r="W346" t="s">
        <v>7051</v>
      </c>
      <c r="X346" t="s">
        <v>7052</v>
      </c>
      <c r="Y346" t="s">
        <v>7053</v>
      </c>
      <c r="Z346" t="s">
        <v>7054</v>
      </c>
      <c r="AA346" t="s">
        <v>7055</v>
      </c>
      <c r="AB346" t="s">
        <v>7056</v>
      </c>
      <c r="AC346" t="s">
        <v>7057</v>
      </c>
      <c r="AD346" t="s">
        <v>7058</v>
      </c>
      <c r="AE346" t="s">
        <v>7059</v>
      </c>
      <c r="AF346" t="s">
        <v>74</v>
      </c>
      <c r="AG346">
        <v>61</v>
      </c>
      <c r="AH346">
        <v>13</v>
      </c>
      <c r="AI346">
        <v>14</v>
      </c>
      <c r="AJ346">
        <v>2</v>
      </c>
      <c r="AK346">
        <v>22</v>
      </c>
      <c r="AL346" t="s">
        <v>512</v>
      </c>
      <c r="AM346" t="s">
        <v>513</v>
      </c>
      <c r="AN346" t="s">
        <v>514</v>
      </c>
      <c r="AO346" t="s">
        <v>6702</v>
      </c>
      <c r="AP346" t="s">
        <v>6703</v>
      </c>
      <c r="AQ346" t="s">
        <v>74</v>
      </c>
      <c r="AR346" t="s">
        <v>6704</v>
      </c>
      <c r="AS346" t="s">
        <v>6705</v>
      </c>
      <c r="AT346" t="s">
        <v>74</v>
      </c>
      <c r="AU346">
        <v>2018</v>
      </c>
      <c r="AV346">
        <v>10</v>
      </c>
      <c r="AW346" t="s">
        <v>74</v>
      </c>
      <c r="AX346" t="s">
        <v>74</v>
      </c>
      <c r="AY346" t="s">
        <v>74</v>
      </c>
      <c r="AZ346" t="s">
        <v>74</v>
      </c>
      <c r="BA346" t="s">
        <v>74</v>
      </c>
      <c r="BB346">
        <v>279</v>
      </c>
      <c r="BC346">
        <v>289</v>
      </c>
      <c r="BD346" t="s">
        <v>74</v>
      </c>
      <c r="BE346" t="s">
        <v>7060</v>
      </c>
      <c r="BF346" t="str">
        <f>HYPERLINK("http://dx.doi.org/10.3354/aei00270","http://dx.doi.org/10.3354/aei00270")</f>
        <v>http://dx.doi.org/10.3354/aei00270</v>
      </c>
      <c r="BG346" t="s">
        <v>74</v>
      </c>
      <c r="BH346" t="s">
        <v>74</v>
      </c>
      <c r="BI346">
        <v>11</v>
      </c>
      <c r="BJ346" t="s">
        <v>6707</v>
      </c>
      <c r="BK346" t="s">
        <v>101</v>
      </c>
      <c r="BL346" t="s">
        <v>6707</v>
      </c>
      <c r="BM346" t="s">
        <v>7043</v>
      </c>
      <c r="BN346" t="s">
        <v>74</v>
      </c>
      <c r="BO346" t="s">
        <v>876</v>
      </c>
      <c r="BP346" t="s">
        <v>74</v>
      </c>
      <c r="BQ346" t="s">
        <v>74</v>
      </c>
      <c r="BR346" t="s">
        <v>105</v>
      </c>
      <c r="BS346" t="s">
        <v>7061</v>
      </c>
      <c r="BT346" t="str">
        <f>HYPERLINK("https%3A%2F%2Fwww.webofscience.com%2Fwos%2Fwoscc%2Ffull-record%2FWOS:000436334900004","View Full Record in Web of Science")</f>
        <v>View Full Record in Web of Science</v>
      </c>
    </row>
    <row r="347" spans="1:72" x14ac:dyDescent="0.15">
      <c r="A347" t="s">
        <v>72</v>
      </c>
      <c r="B347" t="s">
        <v>7062</v>
      </c>
      <c r="C347" t="s">
        <v>74</v>
      </c>
      <c r="D347" t="s">
        <v>74</v>
      </c>
      <c r="E347" t="s">
        <v>74</v>
      </c>
      <c r="F347" t="s">
        <v>7063</v>
      </c>
      <c r="G347" t="s">
        <v>74</v>
      </c>
      <c r="H347" t="s">
        <v>74</v>
      </c>
      <c r="I347" t="s">
        <v>7064</v>
      </c>
      <c r="J347" t="s">
        <v>7065</v>
      </c>
      <c r="K347" t="s">
        <v>74</v>
      </c>
      <c r="L347" t="s">
        <v>74</v>
      </c>
      <c r="M347" t="s">
        <v>78</v>
      </c>
      <c r="N347" t="s">
        <v>79</v>
      </c>
      <c r="O347" t="s">
        <v>74</v>
      </c>
      <c r="P347" t="s">
        <v>74</v>
      </c>
      <c r="Q347" t="s">
        <v>74</v>
      </c>
      <c r="R347" t="s">
        <v>74</v>
      </c>
      <c r="S347" t="s">
        <v>74</v>
      </c>
      <c r="T347" t="s">
        <v>7066</v>
      </c>
      <c r="U347" t="s">
        <v>7067</v>
      </c>
      <c r="V347" t="s">
        <v>7068</v>
      </c>
      <c r="W347" t="s">
        <v>7069</v>
      </c>
      <c r="X347" t="s">
        <v>7070</v>
      </c>
      <c r="Y347" t="s">
        <v>7071</v>
      </c>
      <c r="Z347" t="s">
        <v>7072</v>
      </c>
      <c r="AA347" t="s">
        <v>7073</v>
      </c>
      <c r="AB347" t="s">
        <v>7074</v>
      </c>
      <c r="AC347" t="s">
        <v>74</v>
      </c>
      <c r="AD347" t="s">
        <v>74</v>
      </c>
      <c r="AE347" t="s">
        <v>74</v>
      </c>
      <c r="AF347" t="s">
        <v>74</v>
      </c>
      <c r="AG347">
        <v>35</v>
      </c>
      <c r="AH347">
        <v>10</v>
      </c>
      <c r="AI347">
        <v>10</v>
      </c>
      <c r="AJ347">
        <v>0</v>
      </c>
      <c r="AK347">
        <v>3</v>
      </c>
      <c r="AL347" t="s">
        <v>7075</v>
      </c>
      <c r="AM347" t="s">
        <v>7076</v>
      </c>
      <c r="AN347" t="s">
        <v>7077</v>
      </c>
      <c r="AO347" t="s">
        <v>7078</v>
      </c>
      <c r="AP347" t="s">
        <v>7079</v>
      </c>
      <c r="AQ347" t="s">
        <v>74</v>
      </c>
      <c r="AR347" t="s">
        <v>7080</v>
      </c>
      <c r="AS347" t="s">
        <v>7081</v>
      </c>
      <c r="AT347" t="s">
        <v>74</v>
      </c>
      <c r="AU347">
        <v>2018</v>
      </c>
      <c r="AV347">
        <v>69</v>
      </c>
      <c r="AW347">
        <v>2</v>
      </c>
      <c r="AX347" t="s">
        <v>74</v>
      </c>
      <c r="AY347" t="s">
        <v>74</v>
      </c>
      <c r="AZ347" t="s">
        <v>74</v>
      </c>
      <c r="BA347" t="s">
        <v>74</v>
      </c>
      <c r="BB347">
        <v>75</v>
      </c>
      <c r="BC347">
        <v>83</v>
      </c>
      <c r="BD347" t="s">
        <v>74</v>
      </c>
      <c r="BE347" t="s">
        <v>7082</v>
      </c>
      <c r="BF347" t="str">
        <f>HYPERLINK("http://dx.doi.org/10.5603/IMH.2018.0012","http://dx.doi.org/10.5603/IMH.2018.0012")</f>
        <v>http://dx.doi.org/10.5603/IMH.2018.0012</v>
      </c>
      <c r="BG347" t="s">
        <v>74</v>
      </c>
      <c r="BH347" t="s">
        <v>74</v>
      </c>
      <c r="BI347">
        <v>9</v>
      </c>
      <c r="BJ347" t="s">
        <v>7083</v>
      </c>
      <c r="BK347" t="s">
        <v>2081</v>
      </c>
      <c r="BL347" t="s">
        <v>7083</v>
      </c>
      <c r="BM347" t="s">
        <v>7084</v>
      </c>
      <c r="BN347">
        <v>29939383</v>
      </c>
      <c r="BO347" t="s">
        <v>236</v>
      </c>
      <c r="BP347" t="s">
        <v>74</v>
      </c>
      <c r="BQ347" t="s">
        <v>74</v>
      </c>
      <c r="BR347" t="s">
        <v>105</v>
      </c>
      <c r="BS347" t="s">
        <v>7085</v>
      </c>
      <c r="BT347" t="str">
        <f>HYPERLINK("https%3A%2F%2Fwww.webofscience.com%2Fwos%2Fwoscc%2Ffull-record%2FWOS:000436177100001","View Full Record in Web of Science")</f>
        <v>View Full Record in Web of Science</v>
      </c>
    </row>
    <row r="348" spans="1:72" x14ac:dyDescent="0.15">
      <c r="A348" t="s">
        <v>1776</v>
      </c>
      <c r="B348" t="s">
        <v>7086</v>
      </c>
      <c r="C348" t="s">
        <v>74</v>
      </c>
      <c r="D348" t="s">
        <v>7087</v>
      </c>
      <c r="E348" t="s">
        <v>74</v>
      </c>
      <c r="F348" t="s">
        <v>7088</v>
      </c>
      <c r="G348" t="s">
        <v>74</v>
      </c>
      <c r="H348" t="s">
        <v>74</v>
      </c>
      <c r="I348" t="s">
        <v>7089</v>
      </c>
      <c r="J348" t="s">
        <v>7090</v>
      </c>
      <c r="K348" t="s">
        <v>7091</v>
      </c>
      <c r="L348" t="s">
        <v>74</v>
      </c>
      <c r="M348" t="s">
        <v>78</v>
      </c>
      <c r="N348" t="s">
        <v>1782</v>
      </c>
      <c r="O348" t="s">
        <v>7092</v>
      </c>
      <c r="P348" t="s">
        <v>7093</v>
      </c>
      <c r="Q348" t="s">
        <v>7094</v>
      </c>
      <c r="R348" t="s">
        <v>74</v>
      </c>
      <c r="S348" t="s">
        <v>74</v>
      </c>
      <c r="T348" t="s">
        <v>74</v>
      </c>
      <c r="U348" t="s">
        <v>7095</v>
      </c>
      <c r="V348" t="s">
        <v>74</v>
      </c>
      <c r="W348" t="s">
        <v>7096</v>
      </c>
      <c r="X348" t="s">
        <v>7097</v>
      </c>
      <c r="Y348" t="s">
        <v>7098</v>
      </c>
      <c r="Z348" t="s">
        <v>7099</v>
      </c>
      <c r="AA348" t="s">
        <v>7100</v>
      </c>
      <c r="AB348" t="s">
        <v>74</v>
      </c>
      <c r="AC348" t="s">
        <v>74</v>
      </c>
      <c r="AD348" t="s">
        <v>74</v>
      </c>
      <c r="AE348" t="s">
        <v>74</v>
      </c>
      <c r="AF348" t="s">
        <v>74</v>
      </c>
      <c r="AG348">
        <v>14</v>
      </c>
      <c r="AH348">
        <v>0</v>
      </c>
      <c r="AI348">
        <v>0</v>
      </c>
      <c r="AJ348">
        <v>1</v>
      </c>
      <c r="AK348">
        <v>19</v>
      </c>
      <c r="AL348" t="s">
        <v>1898</v>
      </c>
      <c r="AM348" t="s">
        <v>1899</v>
      </c>
      <c r="AN348" t="s">
        <v>1900</v>
      </c>
      <c r="AO348" t="s">
        <v>7101</v>
      </c>
      <c r="AP348" t="s">
        <v>7102</v>
      </c>
      <c r="AQ348" t="s">
        <v>7103</v>
      </c>
      <c r="AR348" t="s">
        <v>7104</v>
      </c>
      <c r="AS348" t="s">
        <v>74</v>
      </c>
      <c r="AT348" t="s">
        <v>74</v>
      </c>
      <c r="AU348">
        <v>2018</v>
      </c>
      <c r="AV348" t="s">
        <v>74</v>
      </c>
      <c r="AW348" t="s">
        <v>74</v>
      </c>
      <c r="AX348" t="s">
        <v>74</v>
      </c>
      <c r="AY348" t="s">
        <v>74</v>
      </c>
      <c r="AZ348" t="s">
        <v>74</v>
      </c>
      <c r="BA348" t="s">
        <v>74</v>
      </c>
      <c r="BB348" t="s">
        <v>74</v>
      </c>
      <c r="BC348" t="s">
        <v>74</v>
      </c>
      <c r="BD348" t="s">
        <v>74</v>
      </c>
      <c r="BE348" t="s">
        <v>7105</v>
      </c>
      <c r="BF348" t="str">
        <f>HYPERLINK("http://dx.doi.org/10.1007/978-3-319-71279-6_20","http://dx.doi.org/10.1007/978-3-319-71279-6_20")</f>
        <v>http://dx.doi.org/10.1007/978-3-319-71279-6_20</v>
      </c>
      <c r="BG348" t="s">
        <v>74</v>
      </c>
      <c r="BH348" t="s">
        <v>74</v>
      </c>
      <c r="BI348">
        <v>7</v>
      </c>
      <c r="BJ348" t="s">
        <v>7106</v>
      </c>
      <c r="BK348" t="s">
        <v>1801</v>
      </c>
      <c r="BL348" t="s">
        <v>7107</v>
      </c>
      <c r="BM348" t="s">
        <v>7108</v>
      </c>
      <c r="BN348" t="s">
        <v>74</v>
      </c>
      <c r="BO348" t="s">
        <v>74</v>
      </c>
      <c r="BP348" t="s">
        <v>74</v>
      </c>
      <c r="BQ348" t="s">
        <v>74</v>
      </c>
      <c r="BR348" t="s">
        <v>105</v>
      </c>
      <c r="BS348" t="s">
        <v>7109</v>
      </c>
      <c r="BT348" t="str">
        <f>HYPERLINK("https%3A%2F%2Fwww.webofscience.com%2Fwos%2Fwoscc%2Ffull-record%2FWOS:000436165900020","View Full Record in Web of Science")</f>
        <v>View Full Record in Web of Science</v>
      </c>
    </row>
    <row r="349" spans="1:72" x14ac:dyDescent="0.15">
      <c r="A349" t="s">
        <v>72</v>
      </c>
      <c r="B349" t="s">
        <v>7110</v>
      </c>
      <c r="C349" t="s">
        <v>74</v>
      </c>
      <c r="D349" t="s">
        <v>74</v>
      </c>
      <c r="E349" t="s">
        <v>74</v>
      </c>
      <c r="F349" t="s">
        <v>7111</v>
      </c>
      <c r="G349" t="s">
        <v>74</v>
      </c>
      <c r="H349" t="s">
        <v>74</v>
      </c>
      <c r="I349" t="s">
        <v>7112</v>
      </c>
      <c r="J349" t="s">
        <v>7113</v>
      </c>
      <c r="K349" t="s">
        <v>74</v>
      </c>
      <c r="L349" t="s">
        <v>74</v>
      </c>
      <c r="M349" t="s">
        <v>78</v>
      </c>
      <c r="N349" t="s">
        <v>79</v>
      </c>
      <c r="O349" t="s">
        <v>74</v>
      </c>
      <c r="P349" t="s">
        <v>74</v>
      </c>
      <c r="Q349" t="s">
        <v>74</v>
      </c>
      <c r="R349" t="s">
        <v>74</v>
      </c>
      <c r="S349" t="s">
        <v>74</v>
      </c>
      <c r="T349" t="s">
        <v>7114</v>
      </c>
      <c r="U349" t="s">
        <v>7115</v>
      </c>
      <c r="V349" t="s">
        <v>7116</v>
      </c>
      <c r="W349" t="s">
        <v>7117</v>
      </c>
      <c r="X349" t="s">
        <v>7118</v>
      </c>
      <c r="Y349" t="s">
        <v>7119</v>
      </c>
      <c r="Z349" t="s">
        <v>7120</v>
      </c>
      <c r="AA349" t="s">
        <v>74</v>
      </c>
      <c r="AB349" t="s">
        <v>7121</v>
      </c>
      <c r="AC349" t="s">
        <v>7122</v>
      </c>
      <c r="AD349" t="s">
        <v>7122</v>
      </c>
      <c r="AE349" t="s">
        <v>7123</v>
      </c>
      <c r="AF349" t="s">
        <v>74</v>
      </c>
      <c r="AG349">
        <v>21</v>
      </c>
      <c r="AH349">
        <v>0</v>
      </c>
      <c r="AI349">
        <v>0</v>
      </c>
      <c r="AJ349">
        <v>0</v>
      </c>
      <c r="AK349">
        <v>2</v>
      </c>
      <c r="AL349" t="s">
        <v>1700</v>
      </c>
      <c r="AM349" t="s">
        <v>1701</v>
      </c>
      <c r="AN349" t="s">
        <v>1702</v>
      </c>
      <c r="AO349" t="s">
        <v>7124</v>
      </c>
      <c r="AP349" t="s">
        <v>7125</v>
      </c>
      <c r="AQ349" t="s">
        <v>74</v>
      </c>
      <c r="AR349" t="s">
        <v>7126</v>
      </c>
      <c r="AS349" t="s">
        <v>7127</v>
      </c>
      <c r="AT349" t="s">
        <v>74</v>
      </c>
      <c r="AU349">
        <v>2018</v>
      </c>
      <c r="AV349">
        <v>55</v>
      </c>
      <c r="AW349">
        <v>1</v>
      </c>
      <c r="AX349" t="s">
        <v>74</v>
      </c>
      <c r="AY349" t="s">
        <v>74</v>
      </c>
      <c r="AZ349" t="s">
        <v>74</v>
      </c>
      <c r="BA349" t="s">
        <v>74</v>
      </c>
      <c r="BB349">
        <v>58</v>
      </c>
      <c r="BC349">
        <v>67</v>
      </c>
      <c r="BD349" t="s">
        <v>74</v>
      </c>
      <c r="BE349" t="s">
        <v>7128</v>
      </c>
      <c r="BF349" t="str">
        <f>HYPERLINK("http://dx.doi.org/10.1080/00087041.2017.1323153","http://dx.doi.org/10.1080/00087041.2017.1323153")</f>
        <v>http://dx.doi.org/10.1080/00087041.2017.1323153</v>
      </c>
      <c r="BG349" t="s">
        <v>74</v>
      </c>
      <c r="BH349" t="s">
        <v>74</v>
      </c>
      <c r="BI349">
        <v>10</v>
      </c>
      <c r="BJ349" t="s">
        <v>3400</v>
      </c>
      <c r="BK349" t="s">
        <v>3136</v>
      </c>
      <c r="BL349" t="s">
        <v>3400</v>
      </c>
      <c r="BM349" t="s">
        <v>7129</v>
      </c>
      <c r="BN349" t="s">
        <v>74</v>
      </c>
      <c r="BO349" t="s">
        <v>74</v>
      </c>
      <c r="BP349" t="s">
        <v>74</v>
      </c>
      <c r="BQ349" t="s">
        <v>74</v>
      </c>
      <c r="BR349" t="s">
        <v>105</v>
      </c>
      <c r="BS349" t="s">
        <v>7130</v>
      </c>
      <c r="BT349" t="str">
        <f>HYPERLINK("https%3A%2F%2Fwww.webofscience.com%2Fwos%2Fwoscc%2Ffull-record%2FWOS:000435634600005","View Full Record in Web of Science")</f>
        <v>View Full Record in Web of Science</v>
      </c>
    </row>
    <row r="350" spans="1:72" x14ac:dyDescent="0.15">
      <c r="A350" t="s">
        <v>72</v>
      </c>
      <c r="B350" t="s">
        <v>7131</v>
      </c>
      <c r="C350" t="s">
        <v>74</v>
      </c>
      <c r="D350" t="s">
        <v>74</v>
      </c>
      <c r="E350" t="s">
        <v>74</v>
      </c>
      <c r="F350" t="s">
        <v>7132</v>
      </c>
      <c r="G350" t="s">
        <v>74</v>
      </c>
      <c r="H350" t="s">
        <v>74</v>
      </c>
      <c r="I350" t="s">
        <v>7133</v>
      </c>
      <c r="J350" t="s">
        <v>7134</v>
      </c>
      <c r="K350" t="s">
        <v>74</v>
      </c>
      <c r="L350" t="s">
        <v>74</v>
      </c>
      <c r="M350" t="s">
        <v>78</v>
      </c>
      <c r="N350" t="s">
        <v>79</v>
      </c>
      <c r="O350" t="s">
        <v>74</v>
      </c>
      <c r="P350" t="s">
        <v>74</v>
      </c>
      <c r="Q350" t="s">
        <v>74</v>
      </c>
      <c r="R350" t="s">
        <v>74</v>
      </c>
      <c r="S350" t="s">
        <v>74</v>
      </c>
      <c r="T350" t="s">
        <v>7135</v>
      </c>
      <c r="U350" t="s">
        <v>7136</v>
      </c>
      <c r="V350" t="s">
        <v>7137</v>
      </c>
      <c r="W350" t="s">
        <v>7138</v>
      </c>
      <c r="X350" t="s">
        <v>7139</v>
      </c>
      <c r="Y350" t="s">
        <v>7140</v>
      </c>
      <c r="Z350" t="s">
        <v>7141</v>
      </c>
      <c r="AA350" t="s">
        <v>7142</v>
      </c>
      <c r="AB350" t="s">
        <v>7143</v>
      </c>
      <c r="AC350" t="s">
        <v>7144</v>
      </c>
      <c r="AD350" t="s">
        <v>7144</v>
      </c>
      <c r="AE350" t="s">
        <v>7145</v>
      </c>
      <c r="AF350" t="s">
        <v>74</v>
      </c>
      <c r="AG350">
        <v>30</v>
      </c>
      <c r="AH350">
        <v>5</v>
      </c>
      <c r="AI350">
        <v>6</v>
      </c>
      <c r="AJ350">
        <v>0</v>
      </c>
      <c r="AK350">
        <v>6</v>
      </c>
      <c r="AL350" t="s">
        <v>1700</v>
      </c>
      <c r="AM350" t="s">
        <v>1701</v>
      </c>
      <c r="AN350" t="s">
        <v>1702</v>
      </c>
      <c r="AO350" t="s">
        <v>7146</v>
      </c>
      <c r="AP350" t="s">
        <v>7147</v>
      </c>
      <c r="AQ350" t="s">
        <v>74</v>
      </c>
      <c r="AR350" t="s">
        <v>7148</v>
      </c>
      <c r="AS350" t="s">
        <v>7149</v>
      </c>
      <c r="AT350" t="s">
        <v>74</v>
      </c>
      <c r="AU350">
        <v>2018</v>
      </c>
      <c r="AV350">
        <v>33</v>
      </c>
      <c r="AW350">
        <v>1</v>
      </c>
      <c r="AX350" t="s">
        <v>74</v>
      </c>
      <c r="AY350" t="s">
        <v>74</v>
      </c>
      <c r="AZ350" t="s">
        <v>74</v>
      </c>
      <c r="BA350" t="s">
        <v>74</v>
      </c>
      <c r="BB350">
        <v>97</v>
      </c>
      <c r="BC350">
        <v>103</v>
      </c>
      <c r="BD350" t="s">
        <v>74</v>
      </c>
      <c r="BE350" t="s">
        <v>7150</v>
      </c>
      <c r="BF350" t="str">
        <f>HYPERLINK("http://dx.doi.org/10.1080/0269249X.2018.1428916","http://dx.doi.org/10.1080/0269249X.2018.1428916")</f>
        <v>http://dx.doi.org/10.1080/0269249X.2018.1428916</v>
      </c>
      <c r="BG350" t="s">
        <v>74</v>
      </c>
      <c r="BH350" t="s">
        <v>74</v>
      </c>
      <c r="BI350">
        <v>7</v>
      </c>
      <c r="BJ350" t="s">
        <v>3180</v>
      </c>
      <c r="BK350" t="s">
        <v>101</v>
      </c>
      <c r="BL350" t="s">
        <v>3180</v>
      </c>
      <c r="BM350" t="s">
        <v>7151</v>
      </c>
      <c r="BN350" t="s">
        <v>74</v>
      </c>
      <c r="BO350" t="s">
        <v>74</v>
      </c>
      <c r="BP350" t="s">
        <v>74</v>
      </c>
      <c r="BQ350" t="s">
        <v>74</v>
      </c>
      <c r="BR350" t="s">
        <v>105</v>
      </c>
      <c r="BS350" t="s">
        <v>7152</v>
      </c>
      <c r="BT350" t="str">
        <f>HYPERLINK("https%3A%2F%2Fwww.webofscience.com%2Fwos%2Fwoscc%2Ffull-record%2FWOS:000435674500008","View Full Record in Web of Science")</f>
        <v>View Full Record in Web of Science</v>
      </c>
    </row>
    <row r="351" spans="1:72" x14ac:dyDescent="0.15">
      <c r="A351" t="s">
        <v>72</v>
      </c>
      <c r="B351" t="s">
        <v>7153</v>
      </c>
      <c r="C351" t="s">
        <v>74</v>
      </c>
      <c r="D351" t="s">
        <v>74</v>
      </c>
      <c r="E351" t="s">
        <v>74</v>
      </c>
      <c r="F351" t="s">
        <v>7154</v>
      </c>
      <c r="G351" t="s">
        <v>74</v>
      </c>
      <c r="H351" t="s">
        <v>74</v>
      </c>
      <c r="I351" t="s">
        <v>7155</v>
      </c>
      <c r="J351" t="s">
        <v>7156</v>
      </c>
      <c r="K351" t="s">
        <v>74</v>
      </c>
      <c r="L351" t="s">
        <v>74</v>
      </c>
      <c r="M351" t="s">
        <v>78</v>
      </c>
      <c r="N351" t="s">
        <v>79</v>
      </c>
      <c r="O351" t="s">
        <v>74</v>
      </c>
      <c r="P351" t="s">
        <v>74</v>
      </c>
      <c r="Q351" t="s">
        <v>74</v>
      </c>
      <c r="R351" t="s">
        <v>74</v>
      </c>
      <c r="S351" t="s">
        <v>74</v>
      </c>
      <c r="T351" t="s">
        <v>7157</v>
      </c>
      <c r="U351" t="s">
        <v>7158</v>
      </c>
      <c r="V351" t="s">
        <v>7159</v>
      </c>
      <c r="W351" t="s">
        <v>7160</v>
      </c>
      <c r="X351" t="s">
        <v>7161</v>
      </c>
      <c r="Y351" t="s">
        <v>7162</v>
      </c>
      <c r="Z351" t="s">
        <v>7163</v>
      </c>
      <c r="AA351" t="s">
        <v>7164</v>
      </c>
      <c r="AB351" t="s">
        <v>7165</v>
      </c>
      <c r="AC351" t="s">
        <v>7166</v>
      </c>
      <c r="AD351" t="s">
        <v>7166</v>
      </c>
      <c r="AE351" t="s">
        <v>7167</v>
      </c>
      <c r="AF351" t="s">
        <v>74</v>
      </c>
      <c r="AG351">
        <v>36</v>
      </c>
      <c r="AH351">
        <v>1</v>
      </c>
      <c r="AI351">
        <v>1</v>
      </c>
      <c r="AJ351">
        <v>1</v>
      </c>
      <c r="AK351">
        <v>5</v>
      </c>
      <c r="AL351" t="s">
        <v>5110</v>
      </c>
      <c r="AM351" t="s">
        <v>5111</v>
      </c>
      <c r="AN351" t="s">
        <v>5112</v>
      </c>
      <c r="AO351" t="s">
        <v>7168</v>
      </c>
      <c r="AP351" t="s">
        <v>7169</v>
      </c>
      <c r="AQ351" t="s">
        <v>74</v>
      </c>
      <c r="AR351" t="s">
        <v>7170</v>
      </c>
      <c r="AS351" t="s">
        <v>7171</v>
      </c>
      <c r="AT351" t="s">
        <v>74</v>
      </c>
      <c r="AU351">
        <v>2018</v>
      </c>
      <c r="AV351">
        <v>40</v>
      </c>
      <c r="AW351">
        <v>3</v>
      </c>
      <c r="AX351" t="s">
        <v>74</v>
      </c>
      <c r="AY351" t="s">
        <v>74</v>
      </c>
      <c r="AZ351" t="s">
        <v>74</v>
      </c>
      <c r="BA351" t="s">
        <v>74</v>
      </c>
      <c r="BB351">
        <v>251</v>
      </c>
      <c r="BC351">
        <v>262</v>
      </c>
      <c r="BD351" t="s">
        <v>74</v>
      </c>
      <c r="BE351" t="s">
        <v>7172</v>
      </c>
      <c r="BF351" t="str">
        <f>HYPERLINK("http://dx.doi.org/10.1071/RJ17065","http://dx.doi.org/10.1071/RJ17065")</f>
        <v>http://dx.doi.org/10.1071/RJ17065</v>
      </c>
      <c r="BG351" t="s">
        <v>74</v>
      </c>
      <c r="BH351" t="s">
        <v>74</v>
      </c>
      <c r="BI351">
        <v>12</v>
      </c>
      <c r="BJ351" t="s">
        <v>5502</v>
      </c>
      <c r="BK351" t="s">
        <v>2471</v>
      </c>
      <c r="BL351" t="s">
        <v>1120</v>
      </c>
      <c r="BM351" t="s">
        <v>7173</v>
      </c>
      <c r="BN351" t="s">
        <v>74</v>
      </c>
      <c r="BO351" t="s">
        <v>74</v>
      </c>
      <c r="BP351" t="s">
        <v>74</v>
      </c>
      <c r="BQ351" t="s">
        <v>74</v>
      </c>
      <c r="BR351" t="s">
        <v>105</v>
      </c>
      <c r="BS351" t="s">
        <v>7174</v>
      </c>
      <c r="BT351" t="str">
        <f>HYPERLINK("https%3A%2F%2Fwww.webofscience.com%2Fwos%2Fwoscc%2Ffull-record%2FWOS:000435958100005","View Full Record in Web of Science")</f>
        <v>View Full Record in Web of Science</v>
      </c>
    </row>
    <row r="352" spans="1:72" x14ac:dyDescent="0.15">
      <c r="A352" t="s">
        <v>72</v>
      </c>
      <c r="B352" t="s">
        <v>7175</v>
      </c>
      <c r="C352" t="s">
        <v>74</v>
      </c>
      <c r="D352" t="s">
        <v>74</v>
      </c>
      <c r="E352" t="s">
        <v>74</v>
      </c>
      <c r="F352" t="s">
        <v>7176</v>
      </c>
      <c r="G352" t="s">
        <v>74</v>
      </c>
      <c r="H352" t="s">
        <v>74</v>
      </c>
      <c r="I352" t="s">
        <v>7177</v>
      </c>
      <c r="J352" t="s">
        <v>7178</v>
      </c>
      <c r="K352" t="s">
        <v>74</v>
      </c>
      <c r="L352" t="s">
        <v>74</v>
      </c>
      <c r="M352" t="s">
        <v>78</v>
      </c>
      <c r="N352" t="s">
        <v>79</v>
      </c>
      <c r="O352" t="s">
        <v>74</v>
      </c>
      <c r="P352" t="s">
        <v>74</v>
      </c>
      <c r="Q352" t="s">
        <v>74</v>
      </c>
      <c r="R352" t="s">
        <v>74</v>
      </c>
      <c r="S352" t="s">
        <v>74</v>
      </c>
      <c r="T352" t="s">
        <v>7179</v>
      </c>
      <c r="U352" t="s">
        <v>7180</v>
      </c>
      <c r="V352" t="s">
        <v>7181</v>
      </c>
      <c r="W352" t="s">
        <v>7182</v>
      </c>
      <c r="X352" t="s">
        <v>7183</v>
      </c>
      <c r="Y352" t="s">
        <v>7184</v>
      </c>
      <c r="Z352" t="s">
        <v>7185</v>
      </c>
      <c r="AA352" t="s">
        <v>7186</v>
      </c>
      <c r="AB352" t="s">
        <v>6742</v>
      </c>
      <c r="AC352" t="s">
        <v>7187</v>
      </c>
      <c r="AD352" t="s">
        <v>7188</v>
      </c>
      <c r="AE352" t="s">
        <v>7189</v>
      </c>
      <c r="AF352" t="s">
        <v>74</v>
      </c>
      <c r="AG352">
        <v>25</v>
      </c>
      <c r="AH352">
        <v>0</v>
      </c>
      <c r="AI352">
        <v>1</v>
      </c>
      <c r="AJ352">
        <v>0</v>
      </c>
      <c r="AK352">
        <v>39</v>
      </c>
      <c r="AL352" t="s">
        <v>7190</v>
      </c>
      <c r="AM352" t="s">
        <v>7191</v>
      </c>
      <c r="AN352" t="s">
        <v>7192</v>
      </c>
      <c r="AO352" t="s">
        <v>7193</v>
      </c>
      <c r="AP352" t="s">
        <v>7194</v>
      </c>
      <c r="AQ352" t="s">
        <v>74</v>
      </c>
      <c r="AR352" t="s">
        <v>7178</v>
      </c>
      <c r="AS352" t="s">
        <v>7195</v>
      </c>
      <c r="AT352" t="s">
        <v>74</v>
      </c>
      <c r="AU352">
        <v>2018</v>
      </c>
      <c r="AV352">
        <v>91</v>
      </c>
      <c r="AW352">
        <v>8</v>
      </c>
      <c r="AX352" t="s">
        <v>74</v>
      </c>
      <c r="AY352" t="s">
        <v>74</v>
      </c>
      <c r="AZ352" t="s">
        <v>74</v>
      </c>
      <c r="BA352" t="s">
        <v>74</v>
      </c>
      <c r="BB352">
        <v>961</v>
      </c>
      <c r="BC352">
        <v>999</v>
      </c>
      <c r="BD352" t="s">
        <v>74</v>
      </c>
      <c r="BE352" t="s">
        <v>7196</v>
      </c>
      <c r="BF352" t="str">
        <f>HYPERLINK("http://dx.doi.org/10.1163/15685403-00003801","http://dx.doi.org/10.1163/15685403-00003801")</f>
        <v>http://dx.doi.org/10.1163/15685403-00003801</v>
      </c>
      <c r="BG352" t="s">
        <v>74</v>
      </c>
      <c r="BH352" t="s">
        <v>74</v>
      </c>
      <c r="BI352">
        <v>39</v>
      </c>
      <c r="BJ352" t="s">
        <v>3180</v>
      </c>
      <c r="BK352" t="s">
        <v>101</v>
      </c>
      <c r="BL352" t="s">
        <v>3180</v>
      </c>
      <c r="BM352" t="s">
        <v>7197</v>
      </c>
      <c r="BN352" t="s">
        <v>74</v>
      </c>
      <c r="BO352" t="s">
        <v>74</v>
      </c>
      <c r="BP352" t="s">
        <v>74</v>
      </c>
      <c r="BQ352" t="s">
        <v>74</v>
      </c>
      <c r="BR352" t="s">
        <v>105</v>
      </c>
      <c r="BS352" t="s">
        <v>7198</v>
      </c>
      <c r="BT352" t="str">
        <f>HYPERLINK("https%3A%2F%2Fwww.webofscience.com%2Fwos%2Fwoscc%2Ffull-record%2FWOS:000435492500004","View Full Record in Web of Science")</f>
        <v>View Full Record in Web of Science</v>
      </c>
    </row>
    <row r="353" spans="1:72" x14ac:dyDescent="0.15">
      <c r="A353" t="s">
        <v>72</v>
      </c>
      <c r="B353" t="s">
        <v>7199</v>
      </c>
      <c r="C353" t="s">
        <v>74</v>
      </c>
      <c r="D353" t="s">
        <v>74</v>
      </c>
      <c r="E353" t="s">
        <v>74</v>
      </c>
      <c r="F353" t="s">
        <v>7200</v>
      </c>
      <c r="G353" t="s">
        <v>74</v>
      </c>
      <c r="H353" t="s">
        <v>74</v>
      </c>
      <c r="I353" t="s">
        <v>7201</v>
      </c>
      <c r="J353" t="s">
        <v>6555</v>
      </c>
      <c r="K353" t="s">
        <v>74</v>
      </c>
      <c r="L353" t="s">
        <v>74</v>
      </c>
      <c r="M353" t="s">
        <v>78</v>
      </c>
      <c r="N353" t="s">
        <v>79</v>
      </c>
      <c r="O353" t="s">
        <v>74</v>
      </c>
      <c r="P353" t="s">
        <v>74</v>
      </c>
      <c r="Q353" t="s">
        <v>74</v>
      </c>
      <c r="R353" t="s">
        <v>74</v>
      </c>
      <c r="S353" t="s">
        <v>74</v>
      </c>
      <c r="T353" t="s">
        <v>7202</v>
      </c>
      <c r="U353" t="s">
        <v>7203</v>
      </c>
      <c r="V353" t="s">
        <v>7204</v>
      </c>
      <c r="W353" t="s">
        <v>7205</v>
      </c>
      <c r="X353" t="s">
        <v>7206</v>
      </c>
      <c r="Y353" t="s">
        <v>7207</v>
      </c>
      <c r="Z353" t="s">
        <v>7208</v>
      </c>
      <c r="AA353" t="s">
        <v>7209</v>
      </c>
      <c r="AB353" t="s">
        <v>7210</v>
      </c>
      <c r="AC353" t="s">
        <v>7211</v>
      </c>
      <c r="AD353" t="s">
        <v>7212</v>
      </c>
      <c r="AE353" t="s">
        <v>7213</v>
      </c>
      <c r="AF353" t="s">
        <v>74</v>
      </c>
      <c r="AG353">
        <v>109</v>
      </c>
      <c r="AH353">
        <v>7</v>
      </c>
      <c r="AI353">
        <v>7</v>
      </c>
      <c r="AJ353">
        <v>1</v>
      </c>
      <c r="AK353">
        <v>13</v>
      </c>
      <c r="AL353" t="s">
        <v>5110</v>
      </c>
      <c r="AM353" t="s">
        <v>5111</v>
      </c>
      <c r="AN353" t="s">
        <v>5112</v>
      </c>
      <c r="AO353" t="s">
        <v>6568</v>
      </c>
      <c r="AP353" t="s">
        <v>6569</v>
      </c>
      <c r="AQ353" t="s">
        <v>74</v>
      </c>
      <c r="AR353" t="s">
        <v>6570</v>
      </c>
      <c r="AS353" t="s">
        <v>6571</v>
      </c>
      <c r="AT353" t="s">
        <v>74</v>
      </c>
      <c r="AU353">
        <v>2018</v>
      </c>
      <c r="AV353">
        <v>32</v>
      </c>
      <c r="AW353">
        <v>3</v>
      </c>
      <c r="AX353" t="s">
        <v>74</v>
      </c>
      <c r="AY353" t="s">
        <v>74</v>
      </c>
      <c r="AZ353" t="s">
        <v>74</v>
      </c>
      <c r="BA353" t="s">
        <v>74</v>
      </c>
      <c r="BB353">
        <v>524</v>
      </c>
      <c r="BC353">
        <v>532</v>
      </c>
      <c r="BD353" t="s">
        <v>74</v>
      </c>
      <c r="BE353" t="s">
        <v>7214</v>
      </c>
      <c r="BF353" t="str">
        <f>HYPERLINK("http://dx.doi.org/10.1071/IS17029","http://dx.doi.org/10.1071/IS17029")</f>
        <v>http://dx.doi.org/10.1071/IS17029</v>
      </c>
      <c r="BG353" t="s">
        <v>74</v>
      </c>
      <c r="BH353" t="s">
        <v>74</v>
      </c>
      <c r="BI353">
        <v>9</v>
      </c>
      <c r="BJ353" t="s">
        <v>6573</v>
      </c>
      <c r="BK353" t="s">
        <v>101</v>
      </c>
      <c r="BL353" t="s">
        <v>6573</v>
      </c>
      <c r="BM353" t="s">
        <v>7215</v>
      </c>
      <c r="BN353" t="s">
        <v>74</v>
      </c>
      <c r="BO353" t="s">
        <v>74</v>
      </c>
      <c r="BP353" t="s">
        <v>74</v>
      </c>
      <c r="BQ353" t="s">
        <v>74</v>
      </c>
      <c r="BR353" t="s">
        <v>105</v>
      </c>
      <c r="BS353" t="s">
        <v>7216</v>
      </c>
      <c r="BT353" t="str">
        <f>HYPERLINK("https%3A%2F%2Fwww.webofscience.com%2Fwos%2Fwoscc%2Ffull-record%2FWOS:000435406900002","View Full Record in Web of Science")</f>
        <v>View Full Record in Web of Science</v>
      </c>
    </row>
    <row r="354" spans="1:72" x14ac:dyDescent="0.15">
      <c r="A354" t="s">
        <v>72</v>
      </c>
      <c r="B354" t="s">
        <v>7217</v>
      </c>
      <c r="C354" t="s">
        <v>74</v>
      </c>
      <c r="D354" t="s">
        <v>74</v>
      </c>
      <c r="E354" t="s">
        <v>74</v>
      </c>
      <c r="F354" t="s">
        <v>7218</v>
      </c>
      <c r="G354" t="s">
        <v>74</v>
      </c>
      <c r="H354" t="s">
        <v>74</v>
      </c>
      <c r="I354" t="s">
        <v>7219</v>
      </c>
      <c r="J354" t="s">
        <v>7220</v>
      </c>
      <c r="K354" t="s">
        <v>74</v>
      </c>
      <c r="L354" t="s">
        <v>74</v>
      </c>
      <c r="M354" t="s">
        <v>78</v>
      </c>
      <c r="N354" t="s">
        <v>79</v>
      </c>
      <c r="O354" t="s">
        <v>74</v>
      </c>
      <c r="P354" t="s">
        <v>74</v>
      </c>
      <c r="Q354" t="s">
        <v>74</v>
      </c>
      <c r="R354" t="s">
        <v>74</v>
      </c>
      <c r="S354" t="s">
        <v>74</v>
      </c>
      <c r="T354" t="s">
        <v>7221</v>
      </c>
      <c r="U354" t="s">
        <v>7222</v>
      </c>
      <c r="V354" t="s">
        <v>7223</v>
      </c>
      <c r="W354" t="s">
        <v>7224</v>
      </c>
      <c r="X354" t="s">
        <v>7225</v>
      </c>
      <c r="Y354" t="s">
        <v>7226</v>
      </c>
      <c r="Z354" t="s">
        <v>7227</v>
      </c>
      <c r="AA354" t="s">
        <v>7228</v>
      </c>
      <c r="AB354" t="s">
        <v>7229</v>
      </c>
      <c r="AC354" t="s">
        <v>7230</v>
      </c>
      <c r="AD354" t="s">
        <v>7230</v>
      </c>
      <c r="AE354" t="s">
        <v>7231</v>
      </c>
      <c r="AF354" t="s">
        <v>74</v>
      </c>
      <c r="AG354">
        <v>83</v>
      </c>
      <c r="AH354">
        <v>33</v>
      </c>
      <c r="AI354">
        <v>41</v>
      </c>
      <c r="AJ354">
        <v>5</v>
      </c>
      <c r="AK354">
        <v>51</v>
      </c>
      <c r="AL354" t="s">
        <v>7232</v>
      </c>
      <c r="AM354" t="s">
        <v>7233</v>
      </c>
      <c r="AN354" t="s">
        <v>7234</v>
      </c>
      <c r="AO354" t="s">
        <v>7235</v>
      </c>
      <c r="AP354" t="s">
        <v>74</v>
      </c>
      <c r="AQ354" t="s">
        <v>74</v>
      </c>
      <c r="AR354" t="s">
        <v>7236</v>
      </c>
      <c r="AS354" t="s">
        <v>7237</v>
      </c>
      <c r="AT354" t="s">
        <v>74</v>
      </c>
      <c r="AU354">
        <v>2018</v>
      </c>
      <c r="AV354">
        <v>208</v>
      </c>
      <c r="AW354" t="s">
        <v>74</v>
      </c>
      <c r="AX354" t="s">
        <v>74</v>
      </c>
      <c r="AY354" t="s">
        <v>74</v>
      </c>
      <c r="AZ354" t="s">
        <v>74</v>
      </c>
      <c r="BA354" t="s">
        <v>74</v>
      </c>
      <c r="BB354">
        <v>32</v>
      </c>
      <c r="BC354">
        <v>42</v>
      </c>
      <c r="BD354" t="s">
        <v>74</v>
      </c>
      <c r="BE354" t="s">
        <v>7238</v>
      </c>
      <c r="BF354" t="str">
        <f>HYPERLINK("http://dx.doi.org/10.1016/j.micres.2018.01.004","http://dx.doi.org/10.1016/j.micres.2018.01.004")</f>
        <v>http://dx.doi.org/10.1016/j.micres.2018.01.004</v>
      </c>
      <c r="BG354" t="s">
        <v>74</v>
      </c>
      <c r="BH354" t="s">
        <v>74</v>
      </c>
      <c r="BI354">
        <v>11</v>
      </c>
      <c r="BJ354" t="s">
        <v>3806</v>
      </c>
      <c r="BK354" t="s">
        <v>101</v>
      </c>
      <c r="BL354" t="s">
        <v>3806</v>
      </c>
      <c r="BM354" t="s">
        <v>7239</v>
      </c>
      <c r="BN354">
        <v>29551210</v>
      </c>
      <c r="BO354" t="s">
        <v>74</v>
      </c>
      <c r="BP354" t="s">
        <v>74</v>
      </c>
      <c r="BQ354" t="s">
        <v>74</v>
      </c>
      <c r="BR354" t="s">
        <v>105</v>
      </c>
      <c r="BS354" t="s">
        <v>7240</v>
      </c>
      <c r="BT354" t="str">
        <f>HYPERLINK("https%3A%2F%2Fwww.webofscience.com%2Fwos%2Fwoscc%2Ffull-record%2FWOS:000435064800004","View Full Record in Web of Science")</f>
        <v>View Full Record in Web of Science</v>
      </c>
    </row>
    <row r="355" spans="1:72" x14ac:dyDescent="0.15">
      <c r="A355" t="s">
        <v>72</v>
      </c>
      <c r="B355" t="s">
        <v>7241</v>
      </c>
      <c r="C355" t="s">
        <v>74</v>
      </c>
      <c r="D355" t="s">
        <v>74</v>
      </c>
      <c r="E355" t="s">
        <v>74</v>
      </c>
      <c r="F355" t="s">
        <v>7242</v>
      </c>
      <c r="G355" t="s">
        <v>74</v>
      </c>
      <c r="H355" t="s">
        <v>74</v>
      </c>
      <c r="I355" t="s">
        <v>7243</v>
      </c>
      <c r="J355" t="s">
        <v>5594</v>
      </c>
      <c r="K355" t="s">
        <v>74</v>
      </c>
      <c r="L355" t="s">
        <v>74</v>
      </c>
      <c r="M355" t="s">
        <v>78</v>
      </c>
      <c r="N355" t="s">
        <v>79</v>
      </c>
      <c r="O355" t="s">
        <v>74</v>
      </c>
      <c r="P355" t="s">
        <v>74</v>
      </c>
      <c r="Q355" t="s">
        <v>74</v>
      </c>
      <c r="R355" t="s">
        <v>74</v>
      </c>
      <c r="S355" t="s">
        <v>74</v>
      </c>
      <c r="T355" t="s">
        <v>7244</v>
      </c>
      <c r="U355" t="s">
        <v>7245</v>
      </c>
      <c r="V355" t="s">
        <v>7246</v>
      </c>
      <c r="W355" t="s">
        <v>7247</v>
      </c>
      <c r="X355" t="s">
        <v>7248</v>
      </c>
      <c r="Y355" t="s">
        <v>7249</v>
      </c>
      <c r="Z355" t="s">
        <v>7250</v>
      </c>
      <c r="AA355" t="s">
        <v>7251</v>
      </c>
      <c r="AB355" t="s">
        <v>7252</v>
      </c>
      <c r="AC355" t="s">
        <v>7253</v>
      </c>
      <c r="AD355" t="s">
        <v>7254</v>
      </c>
      <c r="AE355" t="s">
        <v>7255</v>
      </c>
      <c r="AF355" t="s">
        <v>74</v>
      </c>
      <c r="AG355">
        <v>61</v>
      </c>
      <c r="AH355">
        <v>3</v>
      </c>
      <c r="AI355">
        <v>3</v>
      </c>
      <c r="AJ355">
        <v>1</v>
      </c>
      <c r="AK355">
        <v>14</v>
      </c>
      <c r="AL355" t="s">
        <v>5607</v>
      </c>
      <c r="AM355" t="s">
        <v>5608</v>
      </c>
      <c r="AN355" t="s">
        <v>5609</v>
      </c>
      <c r="AO355" t="s">
        <v>5610</v>
      </c>
      <c r="AP355" t="s">
        <v>5611</v>
      </c>
      <c r="AQ355" t="s">
        <v>74</v>
      </c>
      <c r="AR355" t="s">
        <v>5612</v>
      </c>
      <c r="AS355" t="s">
        <v>5613</v>
      </c>
      <c r="AT355" t="s">
        <v>74</v>
      </c>
      <c r="AU355">
        <v>2018</v>
      </c>
      <c r="AV355">
        <v>39</v>
      </c>
      <c r="AW355">
        <v>1</v>
      </c>
      <c r="AX355" t="s">
        <v>74</v>
      </c>
      <c r="AY355" t="s">
        <v>74</v>
      </c>
      <c r="AZ355" t="s">
        <v>74</v>
      </c>
      <c r="BA355" t="s">
        <v>74</v>
      </c>
      <c r="BB355">
        <v>1</v>
      </c>
      <c r="BC355">
        <v>17</v>
      </c>
      <c r="BD355" t="s">
        <v>74</v>
      </c>
      <c r="BE355" t="s">
        <v>7256</v>
      </c>
      <c r="BF355" t="str">
        <f>HYPERLINK("http://dx.doi.org/10.24425/118736","http://dx.doi.org/10.24425/118736")</f>
        <v>http://dx.doi.org/10.24425/118736</v>
      </c>
      <c r="BG355" t="s">
        <v>74</v>
      </c>
      <c r="BH355" t="s">
        <v>74</v>
      </c>
      <c r="BI355">
        <v>17</v>
      </c>
      <c r="BJ355" t="s">
        <v>157</v>
      </c>
      <c r="BK355" t="s">
        <v>101</v>
      </c>
      <c r="BL355" t="s">
        <v>158</v>
      </c>
      <c r="BM355" t="s">
        <v>5615</v>
      </c>
      <c r="BN355" t="s">
        <v>74</v>
      </c>
      <c r="BO355" t="s">
        <v>74</v>
      </c>
      <c r="BP355" t="s">
        <v>74</v>
      </c>
      <c r="BQ355" t="s">
        <v>74</v>
      </c>
      <c r="BR355" t="s">
        <v>105</v>
      </c>
      <c r="BS355" t="s">
        <v>7257</v>
      </c>
      <c r="BT355" t="str">
        <f>HYPERLINK("https%3A%2F%2Fwww.webofscience.com%2Fwos%2Fwoscc%2Ffull-record%2FWOS:000434793700001","View Full Record in Web of Science")</f>
        <v>View Full Record in Web of Science</v>
      </c>
    </row>
    <row r="356" spans="1:72" x14ac:dyDescent="0.15">
      <c r="A356" t="s">
        <v>72</v>
      </c>
      <c r="B356" t="s">
        <v>7258</v>
      </c>
      <c r="C356" t="s">
        <v>74</v>
      </c>
      <c r="D356" t="s">
        <v>74</v>
      </c>
      <c r="E356" t="s">
        <v>74</v>
      </c>
      <c r="F356" t="s">
        <v>7259</v>
      </c>
      <c r="G356" t="s">
        <v>74</v>
      </c>
      <c r="H356" t="s">
        <v>74</v>
      </c>
      <c r="I356" t="s">
        <v>7260</v>
      </c>
      <c r="J356" t="s">
        <v>5594</v>
      </c>
      <c r="K356" t="s">
        <v>74</v>
      </c>
      <c r="L356" t="s">
        <v>74</v>
      </c>
      <c r="M356" t="s">
        <v>78</v>
      </c>
      <c r="N356" t="s">
        <v>79</v>
      </c>
      <c r="O356" t="s">
        <v>74</v>
      </c>
      <c r="P356" t="s">
        <v>74</v>
      </c>
      <c r="Q356" t="s">
        <v>74</v>
      </c>
      <c r="R356" t="s">
        <v>74</v>
      </c>
      <c r="S356" t="s">
        <v>74</v>
      </c>
      <c r="T356" t="s">
        <v>7261</v>
      </c>
      <c r="U356" t="s">
        <v>7262</v>
      </c>
      <c r="V356" t="s">
        <v>7263</v>
      </c>
      <c r="W356" t="s">
        <v>7264</v>
      </c>
      <c r="X356" t="s">
        <v>7265</v>
      </c>
      <c r="Y356" t="s">
        <v>7266</v>
      </c>
      <c r="Z356" t="s">
        <v>7267</v>
      </c>
      <c r="AA356" t="s">
        <v>7268</v>
      </c>
      <c r="AB356" t="s">
        <v>7269</v>
      </c>
      <c r="AC356" t="s">
        <v>7270</v>
      </c>
      <c r="AD356" t="s">
        <v>74</v>
      </c>
      <c r="AE356" t="s">
        <v>7271</v>
      </c>
      <c r="AF356" t="s">
        <v>74</v>
      </c>
      <c r="AG356">
        <v>53</v>
      </c>
      <c r="AH356">
        <v>8</v>
      </c>
      <c r="AI356">
        <v>8</v>
      </c>
      <c r="AJ356">
        <v>0</v>
      </c>
      <c r="AK356">
        <v>4</v>
      </c>
      <c r="AL356" t="s">
        <v>5607</v>
      </c>
      <c r="AM356" t="s">
        <v>5608</v>
      </c>
      <c r="AN356" t="s">
        <v>5609</v>
      </c>
      <c r="AO356" t="s">
        <v>5610</v>
      </c>
      <c r="AP356" t="s">
        <v>5611</v>
      </c>
      <c r="AQ356" t="s">
        <v>74</v>
      </c>
      <c r="AR356" t="s">
        <v>5612</v>
      </c>
      <c r="AS356" t="s">
        <v>5613</v>
      </c>
      <c r="AT356" t="s">
        <v>74</v>
      </c>
      <c r="AU356">
        <v>2018</v>
      </c>
      <c r="AV356">
        <v>39</v>
      </c>
      <c r="AW356">
        <v>1</v>
      </c>
      <c r="AX356" t="s">
        <v>74</v>
      </c>
      <c r="AY356" t="s">
        <v>74</v>
      </c>
      <c r="AZ356" t="s">
        <v>74</v>
      </c>
      <c r="BA356" t="s">
        <v>74</v>
      </c>
      <c r="BB356">
        <v>127</v>
      </c>
      <c r="BC356">
        <v>144</v>
      </c>
      <c r="BD356" t="s">
        <v>74</v>
      </c>
      <c r="BE356" t="s">
        <v>7272</v>
      </c>
      <c r="BF356" t="str">
        <f>HYPERLINK("http://dx.doi.org/10.24425/118741","http://dx.doi.org/10.24425/118741")</f>
        <v>http://dx.doi.org/10.24425/118741</v>
      </c>
      <c r="BG356" t="s">
        <v>74</v>
      </c>
      <c r="BH356" t="s">
        <v>74</v>
      </c>
      <c r="BI356">
        <v>18</v>
      </c>
      <c r="BJ356" t="s">
        <v>157</v>
      </c>
      <c r="BK356" t="s">
        <v>101</v>
      </c>
      <c r="BL356" t="s">
        <v>158</v>
      </c>
      <c r="BM356" t="s">
        <v>5615</v>
      </c>
      <c r="BN356" t="s">
        <v>74</v>
      </c>
      <c r="BO356" t="s">
        <v>74</v>
      </c>
      <c r="BP356" t="s">
        <v>74</v>
      </c>
      <c r="BQ356" t="s">
        <v>74</v>
      </c>
      <c r="BR356" t="s">
        <v>105</v>
      </c>
      <c r="BS356" t="s">
        <v>7273</v>
      </c>
      <c r="BT356" t="str">
        <f>HYPERLINK("https%3A%2F%2Fwww.webofscience.com%2Fwos%2Fwoscc%2Ffull-record%2FWOS:000434793700006","View Full Record in Web of Science")</f>
        <v>View Full Record in Web of Science</v>
      </c>
    </row>
    <row r="357" spans="1:72" x14ac:dyDescent="0.15">
      <c r="A357" t="s">
        <v>72</v>
      </c>
      <c r="B357" t="s">
        <v>7274</v>
      </c>
      <c r="C357" t="s">
        <v>74</v>
      </c>
      <c r="D357" t="s">
        <v>74</v>
      </c>
      <c r="E357" t="s">
        <v>74</v>
      </c>
      <c r="F357" t="s">
        <v>7275</v>
      </c>
      <c r="G357" t="s">
        <v>74</v>
      </c>
      <c r="H357" t="s">
        <v>74</v>
      </c>
      <c r="I357" t="s">
        <v>7276</v>
      </c>
      <c r="J357" t="s">
        <v>7277</v>
      </c>
      <c r="K357" t="s">
        <v>74</v>
      </c>
      <c r="L357" t="s">
        <v>74</v>
      </c>
      <c r="M357" t="s">
        <v>78</v>
      </c>
      <c r="N357" t="s">
        <v>79</v>
      </c>
      <c r="O357" t="s">
        <v>74</v>
      </c>
      <c r="P357" t="s">
        <v>74</v>
      </c>
      <c r="Q357" t="s">
        <v>74</v>
      </c>
      <c r="R357" t="s">
        <v>74</v>
      </c>
      <c r="S357" t="s">
        <v>74</v>
      </c>
      <c r="T357" t="s">
        <v>7278</v>
      </c>
      <c r="U357" t="s">
        <v>7279</v>
      </c>
      <c r="V357" t="s">
        <v>7280</v>
      </c>
      <c r="W357" t="s">
        <v>7281</v>
      </c>
      <c r="X357" t="s">
        <v>7282</v>
      </c>
      <c r="Y357" t="s">
        <v>7283</v>
      </c>
      <c r="Z357" t="s">
        <v>7284</v>
      </c>
      <c r="AA357" t="s">
        <v>7285</v>
      </c>
      <c r="AB357" t="s">
        <v>7286</v>
      </c>
      <c r="AC357" t="s">
        <v>7287</v>
      </c>
      <c r="AD357" t="s">
        <v>7288</v>
      </c>
      <c r="AE357" t="s">
        <v>7289</v>
      </c>
      <c r="AF357" t="s">
        <v>74</v>
      </c>
      <c r="AG357">
        <v>95</v>
      </c>
      <c r="AH357">
        <v>7</v>
      </c>
      <c r="AI357">
        <v>8</v>
      </c>
      <c r="AJ357">
        <v>0</v>
      </c>
      <c r="AK357">
        <v>6</v>
      </c>
      <c r="AL357" t="s">
        <v>1700</v>
      </c>
      <c r="AM357" t="s">
        <v>1701</v>
      </c>
      <c r="AN357" t="s">
        <v>1702</v>
      </c>
      <c r="AO357" t="s">
        <v>7290</v>
      </c>
      <c r="AP357" t="s">
        <v>7291</v>
      </c>
      <c r="AQ357" t="s">
        <v>74</v>
      </c>
      <c r="AR357" t="s">
        <v>7292</v>
      </c>
      <c r="AS357" t="s">
        <v>7293</v>
      </c>
      <c r="AT357" t="s">
        <v>74</v>
      </c>
      <c r="AU357">
        <v>2018</v>
      </c>
      <c r="AV357">
        <v>16</v>
      </c>
      <c r="AW357">
        <v>11</v>
      </c>
      <c r="AX357" t="s">
        <v>74</v>
      </c>
      <c r="AY357" t="s">
        <v>74</v>
      </c>
      <c r="AZ357" t="s">
        <v>74</v>
      </c>
      <c r="BA357" t="s">
        <v>74</v>
      </c>
      <c r="BB357">
        <v>891</v>
      </c>
      <c r="BC357">
        <v>907</v>
      </c>
      <c r="BD357" t="s">
        <v>74</v>
      </c>
      <c r="BE357" t="s">
        <v>7294</v>
      </c>
      <c r="BF357" t="str">
        <f>HYPERLINK("http://dx.doi.org/10.1080/14772019.2017.1353549","http://dx.doi.org/10.1080/14772019.2017.1353549")</f>
        <v>http://dx.doi.org/10.1080/14772019.2017.1353549</v>
      </c>
      <c r="BG357" t="s">
        <v>74</v>
      </c>
      <c r="BH357" t="s">
        <v>74</v>
      </c>
      <c r="BI357">
        <v>17</v>
      </c>
      <c r="BJ357" t="s">
        <v>7295</v>
      </c>
      <c r="BK357" t="s">
        <v>101</v>
      </c>
      <c r="BL357" t="s">
        <v>7295</v>
      </c>
      <c r="BM357" t="s">
        <v>7296</v>
      </c>
      <c r="BN357" t="s">
        <v>74</v>
      </c>
      <c r="BO357" t="s">
        <v>432</v>
      </c>
      <c r="BP357" t="s">
        <v>74</v>
      </c>
      <c r="BQ357" t="s">
        <v>74</v>
      </c>
      <c r="BR357" t="s">
        <v>105</v>
      </c>
      <c r="BS357" t="s">
        <v>7297</v>
      </c>
      <c r="BT357" t="str">
        <f>HYPERLINK("https%3A%2F%2Fwww.webofscience.com%2Fwos%2Fwoscc%2Ffull-record%2FWOS:000434707700001","View Full Record in Web of Science")</f>
        <v>View Full Record in Web of Science</v>
      </c>
    </row>
    <row r="358" spans="1:72" x14ac:dyDescent="0.15">
      <c r="A358" t="s">
        <v>72</v>
      </c>
      <c r="B358" t="s">
        <v>7298</v>
      </c>
      <c r="C358" t="s">
        <v>74</v>
      </c>
      <c r="D358" t="s">
        <v>74</v>
      </c>
      <c r="E358" t="s">
        <v>74</v>
      </c>
      <c r="F358" t="s">
        <v>7299</v>
      </c>
      <c r="G358" t="s">
        <v>74</v>
      </c>
      <c r="H358" t="s">
        <v>74</v>
      </c>
      <c r="I358" t="s">
        <v>7300</v>
      </c>
      <c r="J358" t="s">
        <v>7301</v>
      </c>
      <c r="K358" t="s">
        <v>74</v>
      </c>
      <c r="L358" t="s">
        <v>74</v>
      </c>
      <c r="M358" t="s">
        <v>78</v>
      </c>
      <c r="N358" t="s">
        <v>79</v>
      </c>
      <c r="O358" t="s">
        <v>74</v>
      </c>
      <c r="P358" t="s">
        <v>74</v>
      </c>
      <c r="Q358" t="s">
        <v>74</v>
      </c>
      <c r="R358" t="s">
        <v>74</v>
      </c>
      <c r="S358" t="s">
        <v>74</v>
      </c>
      <c r="T358" t="s">
        <v>74</v>
      </c>
      <c r="U358" t="s">
        <v>74</v>
      </c>
      <c r="V358" t="s">
        <v>74</v>
      </c>
      <c r="W358" t="s">
        <v>7302</v>
      </c>
      <c r="X358" t="s">
        <v>4474</v>
      </c>
      <c r="Y358" t="s">
        <v>7303</v>
      </c>
      <c r="Z358" t="s">
        <v>74</v>
      </c>
      <c r="AA358" t="s">
        <v>7304</v>
      </c>
      <c r="AB358" t="s">
        <v>74</v>
      </c>
      <c r="AC358" t="s">
        <v>74</v>
      </c>
      <c r="AD358" t="s">
        <v>74</v>
      </c>
      <c r="AE358" t="s">
        <v>74</v>
      </c>
      <c r="AF358" t="s">
        <v>74</v>
      </c>
      <c r="AG358">
        <v>33</v>
      </c>
      <c r="AH358">
        <v>11</v>
      </c>
      <c r="AI358">
        <v>12</v>
      </c>
      <c r="AJ358">
        <v>0</v>
      </c>
      <c r="AK358">
        <v>10</v>
      </c>
      <c r="AL358" t="s">
        <v>7190</v>
      </c>
      <c r="AM358" t="s">
        <v>7191</v>
      </c>
      <c r="AN358" t="s">
        <v>7192</v>
      </c>
      <c r="AO358" t="s">
        <v>7305</v>
      </c>
      <c r="AP358" t="s">
        <v>7306</v>
      </c>
      <c r="AQ358" t="s">
        <v>74</v>
      </c>
      <c r="AR358" t="s">
        <v>7307</v>
      </c>
      <c r="AS358" t="s">
        <v>7308</v>
      </c>
      <c r="AT358" t="s">
        <v>74</v>
      </c>
      <c r="AU358">
        <v>2018</v>
      </c>
      <c r="AV358">
        <v>32</v>
      </c>
      <c r="AW358">
        <v>1</v>
      </c>
      <c r="AX358" t="s">
        <v>74</v>
      </c>
      <c r="AY358" t="s">
        <v>74</v>
      </c>
      <c r="AZ358" t="s">
        <v>74</v>
      </c>
      <c r="BA358" t="s">
        <v>74</v>
      </c>
      <c r="BB358">
        <v>190</v>
      </c>
      <c r="BC358">
        <v>205</v>
      </c>
      <c r="BD358" t="s">
        <v>74</v>
      </c>
      <c r="BE358" t="s">
        <v>7309</v>
      </c>
      <c r="BF358" t="str">
        <f>HYPERLINK("http://dx.doi.org/10.1163/22116001-03201008","http://dx.doi.org/10.1163/22116001-03201008")</f>
        <v>http://dx.doi.org/10.1163/22116001-03201008</v>
      </c>
      <c r="BG358" t="s">
        <v>74</v>
      </c>
      <c r="BH358" t="s">
        <v>74</v>
      </c>
      <c r="BI358">
        <v>16</v>
      </c>
      <c r="BJ358" t="s">
        <v>6441</v>
      </c>
      <c r="BK358" t="s">
        <v>2081</v>
      </c>
      <c r="BL358" t="s">
        <v>1120</v>
      </c>
      <c r="BM358" t="s">
        <v>7310</v>
      </c>
      <c r="BN358" t="s">
        <v>74</v>
      </c>
      <c r="BO358" t="s">
        <v>74</v>
      </c>
      <c r="BP358" t="s">
        <v>74</v>
      </c>
      <c r="BQ358" t="s">
        <v>74</v>
      </c>
      <c r="BR358" t="s">
        <v>105</v>
      </c>
      <c r="BS358" t="s">
        <v>7311</v>
      </c>
      <c r="BT358" t="str">
        <f>HYPERLINK("https%3A%2F%2Fwww.webofscience.com%2Fwos%2Fwoscc%2Ffull-record%2FWOS:000433059200007","View Full Record in Web of Science")</f>
        <v>View Full Record in Web of Science</v>
      </c>
    </row>
    <row r="359" spans="1:72" x14ac:dyDescent="0.15">
      <c r="A359" t="s">
        <v>72</v>
      </c>
      <c r="B359" t="s">
        <v>7312</v>
      </c>
      <c r="C359" t="s">
        <v>74</v>
      </c>
      <c r="D359" t="s">
        <v>74</v>
      </c>
      <c r="E359" t="s">
        <v>74</v>
      </c>
      <c r="F359" t="s">
        <v>7313</v>
      </c>
      <c r="G359" t="s">
        <v>74</v>
      </c>
      <c r="H359" t="s">
        <v>74</v>
      </c>
      <c r="I359" t="s">
        <v>7314</v>
      </c>
      <c r="J359" t="s">
        <v>4168</v>
      </c>
      <c r="K359" t="s">
        <v>74</v>
      </c>
      <c r="L359" t="s">
        <v>74</v>
      </c>
      <c r="M359" t="s">
        <v>78</v>
      </c>
      <c r="N359" t="s">
        <v>289</v>
      </c>
      <c r="O359" t="s">
        <v>74</v>
      </c>
      <c r="P359" t="s">
        <v>74</v>
      </c>
      <c r="Q359" t="s">
        <v>74</v>
      </c>
      <c r="R359" t="s">
        <v>74</v>
      </c>
      <c r="S359" t="s">
        <v>74</v>
      </c>
      <c r="T359" t="s">
        <v>7315</v>
      </c>
      <c r="U359" t="s">
        <v>7316</v>
      </c>
      <c r="V359" t="s">
        <v>7317</v>
      </c>
      <c r="W359" t="s">
        <v>7318</v>
      </c>
      <c r="X359" t="s">
        <v>7319</v>
      </c>
      <c r="Y359" t="s">
        <v>7320</v>
      </c>
      <c r="Z359" t="s">
        <v>7321</v>
      </c>
      <c r="AA359" t="s">
        <v>7322</v>
      </c>
      <c r="AB359" t="s">
        <v>7323</v>
      </c>
      <c r="AC359" t="s">
        <v>7324</v>
      </c>
      <c r="AD359" t="s">
        <v>6479</v>
      </c>
      <c r="AE359" t="s">
        <v>74</v>
      </c>
      <c r="AF359" t="s">
        <v>74</v>
      </c>
      <c r="AG359">
        <v>72</v>
      </c>
      <c r="AH359">
        <v>0</v>
      </c>
      <c r="AI359">
        <v>0</v>
      </c>
      <c r="AJ359">
        <v>1</v>
      </c>
      <c r="AK359">
        <v>19</v>
      </c>
      <c r="AL359" t="s">
        <v>4176</v>
      </c>
      <c r="AM359" t="s">
        <v>4177</v>
      </c>
      <c r="AN359" t="s">
        <v>4178</v>
      </c>
      <c r="AO359" t="s">
        <v>4179</v>
      </c>
      <c r="AP359" t="s">
        <v>4180</v>
      </c>
      <c r="AQ359" t="s">
        <v>74</v>
      </c>
      <c r="AR359" t="s">
        <v>4181</v>
      </c>
      <c r="AS359" t="s">
        <v>4182</v>
      </c>
      <c r="AT359" t="s">
        <v>74</v>
      </c>
      <c r="AU359">
        <v>2018</v>
      </c>
      <c r="AV359">
        <v>22</v>
      </c>
      <c r="AW359">
        <v>9</v>
      </c>
      <c r="AX359" t="s">
        <v>74</v>
      </c>
      <c r="AY359" t="s">
        <v>74</v>
      </c>
      <c r="AZ359" t="s">
        <v>74</v>
      </c>
      <c r="BA359" t="s">
        <v>74</v>
      </c>
      <c r="BB359">
        <v>877</v>
      </c>
      <c r="BC359">
        <v>884</v>
      </c>
      <c r="BD359" t="s">
        <v>74</v>
      </c>
      <c r="BE359" t="s">
        <v>7325</v>
      </c>
      <c r="BF359" t="str">
        <f>HYPERLINK("http://dx.doi.org/10.2174/1385272821666170920164422","http://dx.doi.org/10.2174/1385272821666170920164422")</f>
        <v>http://dx.doi.org/10.2174/1385272821666170920164422</v>
      </c>
      <c r="BG359" t="s">
        <v>74</v>
      </c>
      <c r="BH359" t="s">
        <v>74</v>
      </c>
      <c r="BI359">
        <v>8</v>
      </c>
      <c r="BJ359" t="s">
        <v>4184</v>
      </c>
      <c r="BK359" t="s">
        <v>101</v>
      </c>
      <c r="BL359" t="s">
        <v>4185</v>
      </c>
      <c r="BM359" t="s">
        <v>7326</v>
      </c>
      <c r="BN359" t="s">
        <v>74</v>
      </c>
      <c r="BO359" t="s">
        <v>389</v>
      </c>
      <c r="BP359" t="s">
        <v>74</v>
      </c>
      <c r="BQ359" t="s">
        <v>74</v>
      </c>
      <c r="BR359" t="s">
        <v>105</v>
      </c>
      <c r="BS359" t="s">
        <v>7327</v>
      </c>
      <c r="BT359" t="str">
        <f>HYPERLINK("https%3A%2F%2Fwww.webofscience.com%2Fwos%2Fwoscc%2Ffull-record%2FWOS:000434136700004","View Full Record in Web of Science")</f>
        <v>View Full Record in Web of Science</v>
      </c>
    </row>
    <row r="360" spans="1:72" x14ac:dyDescent="0.15">
      <c r="A360" t="s">
        <v>72</v>
      </c>
      <c r="B360" t="s">
        <v>7328</v>
      </c>
      <c r="C360" t="s">
        <v>74</v>
      </c>
      <c r="D360" t="s">
        <v>74</v>
      </c>
      <c r="E360" t="s">
        <v>74</v>
      </c>
      <c r="F360" t="s">
        <v>7329</v>
      </c>
      <c r="G360" t="s">
        <v>74</v>
      </c>
      <c r="H360" t="s">
        <v>74</v>
      </c>
      <c r="I360" t="s">
        <v>7330</v>
      </c>
      <c r="J360" t="s">
        <v>3454</v>
      </c>
      <c r="K360" t="s">
        <v>74</v>
      </c>
      <c r="L360" t="s">
        <v>74</v>
      </c>
      <c r="M360" t="s">
        <v>78</v>
      </c>
      <c r="N360" t="s">
        <v>79</v>
      </c>
      <c r="O360" t="s">
        <v>74</v>
      </c>
      <c r="P360" t="s">
        <v>74</v>
      </c>
      <c r="Q360" t="s">
        <v>74</v>
      </c>
      <c r="R360" t="s">
        <v>74</v>
      </c>
      <c r="S360" t="s">
        <v>74</v>
      </c>
      <c r="T360" t="s">
        <v>7331</v>
      </c>
      <c r="U360" t="s">
        <v>7332</v>
      </c>
      <c r="V360" t="s">
        <v>7333</v>
      </c>
      <c r="W360" t="s">
        <v>7334</v>
      </c>
      <c r="X360" t="s">
        <v>7335</v>
      </c>
      <c r="Y360" t="s">
        <v>7336</v>
      </c>
      <c r="Z360" t="s">
        <v>7337</v>
      </c>
      <c r="AA360" t="s">
        <v>7338</v>
      </c>
      <c r="AB360" t="s">
        <v>7339</v>
      </c>
      <c r="AC360" t="s">
        <v>7340</v>
      </c>
      <c r="AD360" t="s">
        <v>7341</v>
      </c>
      <c r="AE360" t="s">
        <v>7342</v>
      </c>
      <c r="AF360" t="s">
        <v>74</v>
      </c>
      <c r="AG360">
        <v>49</v>
      </c>
      <c r="AH360">
        <v>33</v>
      </c>
      <c r="AI360">
        <v>34</v>
      </c>
      <c r="AJ360">
        <v>4</v>
      </c>
      <c r="AK360">
        <v>23</v>
      </c>
      <c r="AL360" t="s">
        <v>512</v>
      </c>
      <c r="AM360" t="s">
        <v>513</v>
      </c>
      <c r="AN360" t="s">
        <v>514</v>
      </c>
      <c r="AO360" t="s">
        <v>3466</v>
      </c>
      <c r="AP360" t="s">
        <v>3467</v>
      </c>
      <c r="AQ360" t="s">
        <v>74</v>
      </c>
      <c r="AR360" t="s">
        <v>3468</v>
      </c>
      <c r="AS360" t="s">
        <v>3469</v>
      </c>
      <c r="AT360" t="s">
        <v>74</v>
      </c>
      <c r="AU360">
        <v>2018</v>
      </c>
      <c r="AV360">
        <v>36</v>
      </c>
      <c r="AW360" t="s">
        <v>74</v>
      </c>
      <c r="AX360" t="s">
        <v>74</v>
      </c>
      <c r="AY360" t="s">
        <v>74</v>
      </c>
      <c r="AZ360" t="s">
        <v>74</v>
      </c>
      <c r="BA360" t="s">
        <v>74</v>
      </c>
      <c r="BB360">
        <v>27</v>
      </c>
      <c r="BC360">
        <v>40</v>
      </c>
      <c r="BD360" t="s">
        <v>74</v>
      </c>
      <c r="BE360" t="s">
        <v>7343</v>
      </c>
      <c r="BF360" t="str">
        <f>HYPERLINK("http://dx.doi.org/10.3354/esr00891","http://dx.doi.org/10.3354/esr00891")</f>
        <v>http://dx.doi.org/10.3354/esr00891</v>
      </c>
      <c r="BG360" t="s">
        <v>74</v>
      </c>
      <c r="BH360" t="s">
        <v>74</v>
      </c>
      <c r="BI360">
        <v>14</v>
      </c>
      <c r="BJ360" t="s">
        <v>3471</v>
      </c>
      <c r="BK360" t="s">
        <v>101</v>
      </c>
      <c r="BL360" t="s">
        <v>3472</v>
      </c>
      <c r="BM360" t="s">
        <v>7344</v>
      </c>
      <c r="BN360" t="s">
        <v>74</v>
      </c>
      <c r="BO360" t="s">
        <v>212</v>
      </c>
      <c r="BP360" t="s">
        <v>74</v>
      </c>
      <c r="BQ360" t="s">
        <v>74</v>
      </c>
      <c r="BR360" t="s">
        <v>105</v>
      </c>
      <c r="BS360" t="s">
        <v>7345</v>
      </c>
      <c r="BT360" t="str">
        <f>HYPERLINK("https%3A%2F%2Fwww.webofscience.com%2Fwos%2Fwoscc%2Ffull-record%2FWOS:000434054500003","View Full Record in Web of Science")</f>
        <v>View Full Record in Web of Science</v>
      </c>
    </row>
    <row r="361" spans="1:72" x14ac:dyDescent="0.15">
      <c r="A361" t="s">
        <v>1776</v>
      </c>
      <c r="B361" t="s">
        <v>7346</v>
      </c>
      <c r="C361" t="s">
        <v>74</v>
      </c>
      <c r="D361" t="s">
        <v>7347</v>
      </c>
      <c r="E361" t="s">
        <v>74</v>
      </c>
      <c r="F361" t="s">
        <v>7348</v>
      </c>
      <c r="G361" t="s">
        <v>74</v>
      </c>
      <c r="H361" t="s">
        <v>74</v>
      </c>
      <c r="I361" t="s">
        <v>7349</v>
      </c>
      <c r="J361" t="s">
        <v>7350</v>
      </c>
      <c r="K361" t="s">
        <v>1988</v>
      </c>
      <c r="L361" t="s">
        <v>74</v>
      </c>
      <c r="M361" t="s">
        <v>78</v>
      </c>
      <c r="N361" t="s">
        <v>1782</v>
      </c>
      <c r="O361" t="s">
        <v>7351</v>
      </c>
      <c r="P361" t="s">
        <v>7352</v>
      </c>
      <c r="Q361" t="s">
        <v>7353</v>
      </c>
      <c r="R361" t="s">
        <v>74</v>
      </c>
      <c r="S361" t="s">
        <v>74</v>
      </c>
      <c r="T361" t="s">
        <v>74</v>
      </c>
      <c r="U361" t="s">
        <v>7354</v>
      </c>
      <c r="V361" t="s">
        <v>7355</v>
      </c>
      <c r="W361" t="s">
        <v>7356</v>
      </c>
      <c r="X361" t="s">
        <v>7357</v>
      </c>
      <c r="Y361" t="s">
        <v>7358</v>
      </c>
      <c r="Z361" t="s">
        <v>7359</v>
      </c>
      <c r="AA361" t="s">
        <v>74</v>
      </c>
      <c r="AB361" t="s">
        <v>74</v>
      </c>
      <c r="AC361" t="s">
        <v>7360</v>
      </c>
      <c r="AD361" t="s">
        <v>7361</v>
      </c>
      <c r="AE361" t="s">
        <v>7362</v>
      </c>
      <c r="AF361" t="s">
        <v>74</v>
      </c>
      <c r="AG361">
        <v>5</v>
      </c>
      <c r="AH361">
        <v>0</v>
      </c>
      <c r="AI361">
        <v>0</v>
      </c>
      <c r="AJ361">
        <v>3</v>
      </c>
      <c r="AK361">
        <v>9</v>
      </c>
      <c r="AL361" t="s">
        <v>2002</v>
      </c>
      <c r="AM361" t="s">
        <v>2003</v>
      </c>
      <c r="AN361" t="s">
        <v>2004</v>
      </c>
      <c r="AO361" t="s">
        <v>2005</v>
      </c>
      <c r="AP361" t="s">
        <v>74</v>
      </c>
      <c r="AQ361" t="s">
        <v>7363</v>
      </c>
      <c r="AR361" t="s">
        <v>2007</v>
      </c>
      <c r="AS361" t="s">
        <v>74</v>
      </c>
      <c r="AT361" t="s">
        <v>74</v>
      </c>
      <c r="AU361">
        <v>2018</v>
      </c>
      <c r="AV361">
        <v>1956</v>
      </c>
      <c r="AW361" t="s">
        <v>74</v>
      </c>
      <c r="AX361" t="s">
        <v>74</v>
      </c>
      <c r="AY361" t="s">
        <v>74</v>
      </c>
      <c r="AZ361" t="s">
        <v>74</v>
      </c>
      <c r="BA361" t="s">
        <v>74</v>
      </c>
      <c r="BB361" t="s">
        <v>74</v>
      </c>
      <c r="BC361" t="s">
        <v>74</v>
      </c>
      <c r="BD361">
        <v>20048</v>
      </c>
      <c r="BE361" t="s">
        <v>7364</v>
      </c>
      <c r="BF361" t="str">
        <f>HYPERLINK("http://dx.doi.org/10.1063/1.5034300","http://dx.doi.org/10.1063/1.5034300")</f>
        <v>http://dx.doi.org/10.1063/1.5034300</v>
      </c>
      <c r="BG361" t="s">
        <v>74</v>
      </c>
      <c r="BH361" t="s">
        <v>74</v>
      </c>
      <c r="BI361">
        <v>3</v>
      </c>
      <c r="BJ361" t="s">
        <v>815</v>
      </c>
      <c r="BK361" t="s">
        <v>1801</v>
      </c>
      <c r="BL361" t="s">
        <v>815</v>
      </c>
      <c r="BM361" t="s">
        <v>7365</v>
      </c>
      <c r="BN361" t="s">
        <v>74</v>
      </c>
      <c r="BO361" t="s">
        <v>306</v>
      </c>
      <c r="BP361" t="s">
        <v>74</v>
      </c>
      <c r="BQ361" t="s">
        <v>74</v>
      </c>
      <c r="BR361" t="s">
        <v>105</v>
      </c>
      <c r="BS361" t="s">
        <v>7366</v>
      </c>
      <c r="BT361" t="str">
        <f>HYPERLINK("https%3A%2F%2Fwww.webofscience.com%2Fwos%2Fwoscc%2Ffull-record%2FWOS:000434177600048","View Full Record in Web of Science")</f>
        <v>View Full Record in Web of Science</v>
      </c>
    </row>
    <row r="362" spans="1:72" x14ac:dyDescent="0.15">
      <c r="A362" t="s">
        <v>72</v>
      </c>
      <c r="B362" t="s">
        <v>7367</v>
      </c>
      <c r="C362" t="s">
        <v>74</v>
      </c>
      <c r="D362" t="s">
        <v>74</v>
      </c>
      <c r="E362" t="s">
        <v>74</v>
      </c>
      <c r="F362" t="s">
        <v>7368</v>
      </c>
      <c r="G362" t="s">
        <v>74</v>
      </c>
      <c r="H362" t="s">
        <v>74</v>
      </c>
      <c r="I362" t="s">
        <v>7369</v>
      </c>
      <c r="J362" t="s">
        <v>7370</v>
      </c>
      <c r="K362" t="s">
        <v>74</v>
      </c>
      <c r="L362" t="s">
        <v>74</v>
      </c>
      <c r="M362" t="s">
        <v>78</v>
      </c>
      <c r="N362" t="s">
        <v>79</v>
      </c>
      <c r="O362" t="s">
        <v>74</v>
      </c>
      <c r="P362" t="s">
        <v>74</v>
      </c>
      <c r="Q362" t="s">
        <v>74</v>
      </c>
      <c r="R362" t="s">
        <v>74</v>
      </c>
      <c r="S362" t="s">
        <v>74</v>
      </c>
      <c r="T362" t="s">
        <v>74</v>
      </c>
      <c r="U362" t="s">
        <v>74</v>
      </c>
      <c r="V362" t="s">
        <v>7371</v>
      </c>
      <c r="W362" t="s">
        <v>7372</v>
      </c>
      <c r="X362" t="s">
        <v>74</v>
      </c>
      <c r="Y362" t="s">
        <v>7373</v>
      </c>
      <c r="Z362" t="s">
        <v>7374</v>
      </c>
      <c r="AA362" t="s">
        <v>74</v>
      </c>
      <c r="AB362" t="s">
        <v>74</v>
      </c>
      <c r="AC362" t="s">
        <v>74</v>
      </c>
      <c r="AD362" t="s">
        <v>74</v>
      </c>
      <c r="AE362" t="s">
        <v>74</v>
      </c>
      <c r="AF362" t="s">
        <v>74</v>
      </c>
      <c r="AG362">
        <v>17</v>
      </c>
      <c r="AH362">
        <v>0</v>
      </c>
      <c r="AI362">
        <v>0</v>
      </c>
      <c r="AJ362">
        <v>0</v>
      </c>
      <c r="AK362">
        <v>3</v>
      </c>
      <c r="AL362" t="s">
        <v>3149</v>
      </c>
      <c r="AM362" t="s">
        <v>1797</v>
      </c>
      <c r="AN362" t="s">
        <v>3150</v>
      </c>
      <c r="AO362" t="s">
        <v>7375</v>
      </c>
      <c r="AP362" t="s">
        <v>7376</v>
      </c>
      <c r="AQ362" t="s">
        <v>74</v>
      </c>
      <c r="AR362" t="s">
        <v>7377</v>
      </c>
      <c r="AS362" t="s">
        <v>7378</v>
      </c>
      <c r="AT362" t="s">
        <v>2468</v>
      </c>
      <c r="AU362">
        <v>2018</v>
      </c>
      <c r="AV362">
        <v>54</v>
      </c>
      <c r="AW362">
        <v>1</v>
      </c>
      <c r="AX362" t="s">
        <v>74</v>
      </c>
      <c r="AY362" t="s">
        <v>74</v>
      </c>
      <c r="AZ362" t="s">
        <v>74</v>
      </c>
      <c r="BA362" t="s">
        <v>74</v>
      </c>
      <c r="BB362">
        <v>1</v>
      </c>
      <c r="BC362">
        <v>10</v>
      </c>
      <c r="BD362" t="s">
        <v>74</v>
      </c>
      <c r="BE362" t="s">
        <v>7379</v>
      </c>
      <c r="BF362" t="str">
        <f>HYPERLINK("http://dx.doi.org/10.1017/S0032247417000614","http://dx.doi.org/10.1017/S0032247417000614")</f>
        <v>http://dx.doi.org/10.1017/S0032247417000614</v>
      </c>
      <c r="BG362" t="s">
        <v>74</v>
      </c>
      <c r="BH362" t="s">
        <v>74</v>
      </c>
      <c r="BI362">
        <v>10</v>
      </c>
      <c r="BJ362" t="s">
        <v>7380</v>
      </c>
      <c r="BK362" t="s">
        <v>101</v>
      </c>
      <c r="BL362" t="s">
        <v>1120</v>
      </c>
      <c r="BM362" t="s">
        <v>7381</v>
      </c>
      <c r="BN362" t="s">
        <v>74</v>
      </c>
      <c r="BO362" t="s">
        <v>74</v>
      </c>
      <c r="BP362" t="s">
        <v>74</v>
      </c>
      <c r="BQ362" t="s">
        <v>74</v>
      </c>
      <c r="BR362" t="s">
        <v>105</v>
      </c>
      <c r="BS362" t="s">
        <v>7382</v>
      </c>
      <c r="BT362" t="str">
        <f>HYPERLINK("https%3A%2F%2Fwww.webofscience.com%2Fwos%2Fwoscc%2Ffull-record%2FWOS:000433492400001","View Full Record in Web of Science")</f>
        <v>View Full Record in Web of Science</v>
      </c>
    </row>
    <row r="363" spans="1:72" x14ac:dyDescent="0.15">
      <c r="A363" t="s">
        <v>72</v>
      </c>
      <c r="B363" t="s">
        <v>7383</v>
      </c>
      <c r="C363" t="s">
        <v>74</v>
      </c>
      <c r="D363" t="s">
        <v>74</v>
      </c>
      <c r="E363" t="s">
        <v>74</v>
      </c>
      <c r="F363" t="s">
        <v>7384</v>
      </c>
      <c r="G363" t="s">
        <v>74</v>
      </c>
      <c r="H363" t="s">
        <v>74</v>
      </c>
      <c r="I363" t="s">
        <v>7385</v>
      </c>
      <c r="J363" t="s">
        <v>7370</v>
      </c>
      <c r="K363" t="s">
        <v>74</v>
      </c>
      <c r="L363" t="s">
        <v>74</v>
      </c>
      <c r="M363" t="s">
        <v>78</v>
      </c>
      <c r="N363" t="s">
        <v>79</v>
      </c>
      <c r="O363" t="s">
        <v>74</v>
      </c>
      <c r="P363" t="s">
        <v>74</v>
      </c>
      <c r="Q363" t="s">
        <v>74</v>
      </c>
      <c r="R363" t="s">
        <v>74</v>
      </c>
      <c r="S363" t="s">
        <v>74</v>
      </c>
      <c r="T363" t="s">
        <v>74</v>
      </c>
      <c r="U363" t="s">
        <v>2787</v>
      </c>
      <c r="V363" t="s">
        <v>7386</v>
      </c>
      <c r="W363" t="s">
        <v>7387</v>
      </c>
      <c r="X363" t="s">
        <v>7388</v>
      </c>
      <c r="Y363" t="s">
        <v>7389</v>
      </c>
      <c r="Z363" t="s">
        <v>7390</v>
      </c>
      <c r="AA363" t="s">
        <v>7391</v>
      </c>
      <c r="AB363" t="s">
        <v>7392</v>
      </c>
      <c r="AC363" t="s">
        <v>7393</v>
      </c>
      <c r="AD363" t="s">
        <v>7394</v>
      </c>
      <c r="AE363" t="s">
        <v>7395</v>
      </c>
      <c r="AF363" t="s">
        <v>74</v>
      </c>
      <c r="AG363">
        <v>21</v>
      </c>
      <c r="AH363">
        <v>5</v>
      </c>
      <c r="AI363">
        <v>5</v>
      </c>
      <c r="AJ363">
        <v>0</v>
      </c>
      <c r="AK363">
        <v>5</v>
      </c>
      <c r="AL363" t="s">
        <v>3149</v>
      </c>
      <c r="AM363" t="s">
        <v>1797</v>
      </c>
      <c r="AN363" t="s">
        <v>3150</v>
      </c>
      <c r="AO363" t="s">
        <v>7375</v>
      </c>
      <c r="AP363" t="s">
        <v>7376</v>
      </c>
      <c r="AQ363" t="s">
        <v>74</v>
      </c>
      <c r="AR363" t="s">
        <v>7377</v>
      </c>
      <c r="AS363" t="s">
        <v>7378</v>
      </c>
      <c r="AT363" t="s">
        <v>2468</v>
      </c>
      <c r="AU363">
        <v>2018</v>
      </c>
      <c r="AV363">
        <v>54</v>
      </c>
      <c r="AW363">
        <v>1</v>
      </c>
      <c r="AX363" t="s">
        <v>74</v>
      </c>
      <c r="AY363" t="s">
        <v>74</v>
      </c>
      <c r="AZ363" t="s">
        <v>74</v>
      </c>
      <c r="BA363" t="s">
        <v>74</v>
      </c>
      <c r="BB363">
        <v>11</v>
      </c>
      <c r="BC363">
        <v>17</v>
      </c>
      <c r="BD363" t="s">
        <v>74</v>
      </c>
      <c r="BE363" t="s">
        <v>7396</v>
      </c>
      <c r="BF363" t="str">
        <f>HYPERLINK("http://dx.doi.org/10.1017/S0032247417000626","http://dx.doi.org/10.1017/S0032247417000626")</f>
        <v>http://dx.doi.org/10.1017/S0032247417000626</v>
      </c>
      <c r="BG363" t="s">
        <v>74</v>
      </c>
      <c r="BH363" t="s">
        <v>74</v>
      </c>
      <c r="BI363">
        <v>7</v>
      </c>
      <c r="BJ363" t="s">
        <v>7380</v>
      </c>
      <c r="BK363" t="s">
        <v>101</v>
      </c>
      <c r="BL363" t="s">
        <v>1120</v>
      </c>
      <c r="BM363" t="s">
        <v>7381</v>
      </c>
      <c r="BN363" t="s">
        <v>74</v>
      </c>
      <c r="BO363" t="s">
        <v>524</v>
      </c>
      <c r="BP363" t="s">
        <v>74</v>
      </c>
      <c r="BQ363" t="s">
        <v>74</v>
      </c>
      <c r="BR363" t="s">
        <v>105</v>
      </c>
      <c r="BS363" t="s">
        <v>7397</v>
      </c>
      <c r="BT363" t="str">
        <f>HYPERLINK("https%3A%2F%2Fwww.webofscience.com%2Fwos%2Fwoscc%2Ffull-record%2FWOS:000433492400002","View Full Record in Web of Science")</f>
        <v>View Full Record in Web of Science</v>
      </c>
    </row>
    <row r="364" spans="1:72" x14ac:dyDescent="0.15">
      <c r="A364" t="s">
        <v>72</v>
      </c>
      <c r="B364" t="s">
        <v>7398</v>
      </c>
      <c r="C364" t="s">
        <v>74</v>
      </c>
      <c r="D364" t="s">
        <v>74</v>
      </c>
      <c r="E364" t="s">
        <v>74</v>
      </c>
      <c r="F364" t="s">
        <v>7399</v>
      </c>
      <c r="G364" t="s">
        <v>74</v>
      </c>
      <c r="H364" t="s">
        <v>74</v>
      </c>
      <c r="I364" t="s">
        <v>7400</v>
      </c>
      <c r="J364" t="s">
        <v>7370</v>
      </c>
      <c r="K364" t="s">
        <v>74</v>
      </c>
      <c r="L364" t="s">
        <v>74</v>
      </c>
      <c r="M364" t="s">
        <v>78</v>
      </c>
      <c r="N364" t="s">
        <v>79</v>
      </c>
      <c r="O364" t="s">
        <v>74</v>
      </c>
      <c r="P364" t="s">
        <v>74</v>
      </c>
      <c r="Q364" t="s">
        <v>74</v>
      </c>
      <c r="R364" t="s">
        <v>74</v>
      </c>
      <c r="S364" t="s">
        <v>74</v>
      </c>
      <c r="T364" t="s">
        <v>74</v>
      </c>
      <c r="U364" t="s">
        <v>7401</v>
      </c>
      <c r="V364" t="s">
        <v>7402</v>
      </c>
      <c r="W364" t="s">
        <v>7403</v>
      </c>
      <c r="X364" t="s">
        <v>7404</v>
      </c>
      <c r="Y364" t="s">
        <v>7405</v>
      </c>
      <c r="Z364" t="s">
        <v>7406</v>
      </c>
      <c r="AA364" t="s">
        <v>74</v>
      </c>
      <c r="AB364" t="s">
        <v>74</v>
      </c>
      <c r="AC364" t="s">
        <v>7407</v>
      </c>
      <c r="AD364" t="s">
        <v>7408</v>
      </c>
      <c r="AE364" t="s">
        <v>7409</v>
      </c>
      <c r="AF364" t="s">
        <v>74</v>
      </c>
      <c r="AG364">
        <v>21</v>
      </c>
      <c r="AH364">
        <v>3</v>
      </c>
      <c r="AI364">
        <v>3</v>
      </c>
      <c r="AJ364">
        <v>0</v>
      </c>
      <c r="AK364">
        <v>5</v>
      </c>
      <c r="AL364" t="s">
        <v>3149</v>
      </c>
      <c r="AM364" t="s">
        <v>1797</v>
      </c>
      <c r="AN364" t="s">
        <v>3150</v>
      </c>
      <c r="AO364" t="s">
        <v>7375</v>
      </c>
      <c r="AP364" t="s">
        <v>7376</v>
      </c>
      <c r="AQ364" t="s">
        <v>74</v>
      </c>
      <c r="AR364" t="s">
        <v>7377</v>
      </c>
      <c r="AS364" t="s">
        <v>7378</v>
      </c>
      <c r="AT364" t="s">
        <v>2468</v>
      </c>
      <c r="AU364">
        <v>2018</v>
      </c>
      <c r="AV364">
        <v>54</v>
      </c>
      <c r="AW364">
        <v>1</v>
      </c>
      <c r="AX364" t="s">
        <v>74</v>
      </c>
      <c r="AY364" t="s">
        <v>74</v>
      </c>
      <c r="AZ364" t="s">
        <v>74</v>
      </c>
      <c r="BA364" t="s">
        <v>74</v>
      </c>
      <c r="BB364">
        <v>18</v>
      </c>
      <c r="BC364">
        <v>28</v>
      </c>
      <c r="BD364" t="s">
        <v>74</v>
      </c>
      <c r="BE364" t="s">
        <v>7410</v>
      </c>
      <c r="BF364" t="str">
        <f>HYPERLINK("http://dx.doi.org/10.1017/S0032247418000050","http://dx.doi.org/10.1017/S0032247418000050")</f>
        <v>http://dx.doi.org/10.1017/S0032247418000050</v>
      </c>
      <c r="BG364" t="s">
        <v>74</v>
      </c>
      <c r="BH364" t="s">
        <v>74</v>
      </c>
      <c r="BI364">
        <v>11</v>
      </c>
      <c r="BJ364" t="s">
        <v>7380</v>
      </c>
      <c r="BK364" t="s">
        <v>101</v>
      </c>
      <c r="BL364" t="s">
        <v>1120</v>
      </c>
      <c r="BM364" t="s">
        <v>7381</v>
      </c>
      <c r="BN364" t="s">
        <v>74</v>
      </c>
      <c r="BO364" t="s">
        <v>1751</v>
      </c>
      <c r="BP364" t="s">
        <v>74</v>
      </c>
      <c r="BQ364" t="s">
        <v>74</v>
      </c>
      <c r="BR364" t="s">
        <v>105</v>
      </c>
      <c r="BS364" t="s">
        <v>7411</v>
      </c>
      <c r="BT364" t="str">
        <f>HYPERLINK("https%3A%2F%2Fwww.webofscience.com%2Fwos%2Fwoscc%2Ffull-record%2FWOS:000433492400003","View Full Record in Web of Science")</f>
        <v>View Full Record in Web of Science</v>
      </c>
    </row>
    <row r="365" spans="1:72" x14ac:dyDescent="0.15">
      <c r="A365" t="s">
        <v>72</v>
      </c>
      <c r="B365" t="s">
        <v>7412</v>
      </c>
      <c r="C365" t="s">
        <v>74</v>
      </c>
      <c r="D365" t="s">
        <v>74</v>
      </c>
      <c r="E365" t="s">
        <v>74</v>
      </c>
      <c r="F365" t="s">
        <v>7413</v>
      </c>
      <c r="G365" t="s">
        <v>74</v>
      </c>
      <c r="H365" t="s">
        <v>74</v>
      </c>
      <c r="I365" t="s">
        <v>7414</v>
      </c>
      <c r="J365" t="s">
        <v>7370</v>
      </c>
      <c r="K365" t="s">
        <v>74</v>
      </c>
      <c r="L365" t="s">
        <v>74</v>
      </c>
      <c r="M365" t="s">
        <v>78</v>
      </c>
      <c r="N365" t="s">
        <v>79</v>
      </c>
      <c r="O365" t="s">
        <v>74</v>
      </c>
      <c r="P365" t="s">
        <v>74</v>
      </c>
      <c r="Q365" t="s">
        <v>74</v>
      </c>
      <c r="R365" t="s">
        <v>74</v>
      </c>
      <c r="S365" t="s">
        <v>74</v>
      </c>
      <c r="T365" t="s">
        <v>74</v>
      </c>
      <c r="U365" t="s">
        <v>7415</v>
      </c>
      <c r="V365" t="s">
        <v>7416</v>
      </c>
      <c r="W365" t="s">
        <v>7417</v>
      </c>
      <c r="X365" t="s">
        <v>7418</v>
      </c>
      <c r="Y365" t="s">
        <v>7419</v>
      </c>
      <c r="Z365" t="s">
        <v>7420</v>
      </c>
      <c r="AA365" t="s">
        <v>7421</v>
      </c>
      <c r="AB365" t="s">
        <v>7422</v>
      </c>
      <c r="AC365" t="s">
        <v>7423</v>
      </c>
      <c r="AD365" t="s">
        <v>7424</v>
      </c>
      <c r="AE365" t="s">
        <v>7425</v>
      </c>
      <c r="AF365" t="s">
        <v>74</v>
      </c>
      <c r="AG365">
        <v>36</v>
      </c>
      <c r="AH365">
        <v>3</v>
      </c>
      <c r="AI365">
        <v>3</v>
      </c>
      <c r="AJ365">
        <v>0</v>
      </c>
      <c r="AK365">
        <v>12</v>
      </c>
      <c r="AL365" t="s">
        <v>3149</v>
      </c>
      <c r="AM365" t="s">
        <v>1797</v>
      </c>
      <c r="AN365" t="s">
        <v>3150</v>
      </c>
      <c r="AO365" t="s">
        <v>7375</v>
      </c>
      <c r="AP365" t="s">
        <v>7376</v>
      </c>
      <c r="AQ365" t="s">
        <v>74</v>
      </c>
      <c r="AR365" t="s">
        <v>7377</v>
      </c>
      <c r="AS365" t="s">
        <v>7378</v>
      </c>
      <c r="AT365" t="s">
        <v>2468</v>
      </c>
      <c r="AU365">
        <v>2018</v>
      </c>
      <c r="AV365">
        <v>54</v>
      </c>
      <c r="AW365">
        <v>1</v>
      </c>
      <c r="AX365" t="s">
        <v>74</v>
      </c>
      <c r="AY365" t="s">
        <v>74</v>
      </c>
      <c r="AZ365" t="s">
        <v>74</v>
      </c>
      <c r="BA365" t="s">
        <v>74</v>
      </c>
      <c r="BB365">
        <v>29</v>
      </c>
      <c r="BC365">
        <v>35</v>
      </c>
      <c r="BD365" t="s">
        <v>74</v>
      </c>
      <c r="BE365" t="s">
        <v>7426</v>
      </c>
      <c r="BF365" t="str">
        <f>HYPERLINK("http://dx.doi.org/10.1017/S0032247418000062","http://dx.doi.org/10.1017/S0032247418000062")</f>
        <v>http://dx.doi.org/10.1017/S0032247418000062</v>
      </c>
      <c r="BG365" t="s">
        <v>74</v>
      </c>
      <c r="BH365" t="s">
        <v>74</v>
      </c>
      <c r="BI365">
        <v>7</v>
      </c>
      <c r="BJ365" t="s">
        <v>7380</v>
      </c>
      <c r="BK365" t="s">
        <v>101</v>
      </c>
      <c r="BL365" t="s">
        <v>1120</v>
      </c>
      <c r="BM365" t="s">
        <v>7381</v>
      </c>
      <c r="BN365" t="s">
        <v>74</v>
      </c>
      <c r="BO365" t="s">
        <v>74</v>
      </c>
      <c r="BP365" t="s">
        <v>74</v>
      </c>
      <c r="BQ365" t="s">
        <v>74</v>
      </c>
      <c r="BR365" t="s">
        <v>105</v>
      </c>
      <c r="BS365" t="s">
        <v>7427</v>
      </c>
      <c r="BT365" t="str">
        <f>HYPERLINK("https%3A%2F%2Fwww.webofscience.com%2Fwos%2Fwoscc%2Ffull-record%2FWOS:000433492400004","View Full Record in Web of Science")</f>
        <v>View Full Record in Web of Science</v>
      </c>
    </row>
    <row r="366" spans="1:72" x14ac:dyDescent="0.15">
      <c r="A366" t="s">
        <v>72</v>
      </c>
      <c r="B366" t="s">
        <v>7428</v>
      </c>
      <c r="C366" t="s">
        <v>74</v>
      </c>
      <c r="D366" t="s">
        <v>74</v>
      </c>
      <c r="E366" t="s">
        <v>74</v>
      </c>
      <c r="F366" t="s">
        <v>7429</v>
      </c>
      <c r="G366" t="s">
        <v>74</v>
      </c>
      <c r="H366" t="s">
        <v>74</v>
      </c>
      <c r="I366" t="s">
        <v>7430</v>
      </c>
      <c r="J366" t="s">
        <v>7370</v>
      </c>
      <c r="K366" t="s">
        <v>74</v>
      </c>
      <c r="L366" t="s">
        <v>74</v>
      </c>
      <c r="M366" t="s">
        <v>78</v>
      </c>
      <c r="N366" t="s">
        <v>79</v>
      </c>
      <c r="O366" t="s">
        <v>74</v>
      </c>
      <c r="P366" t="s">
        <v>74</v>
      </c>
      <c r="Q366" t="s">
        <v>74</v>
      </c>
      <c r="R366" t="s">
        <v>74</v>
      </c>
      <c r="S366" t="s">
        <v>74</v>
      </c>
      <c r="T366" t="s">
        <v>74</v>
      </c>
      <c r="U366" t="s">
        <v>74</v>
      </c>
      <c r="V366" t="s">
        <v>7431</v>
      </c>
      <c r="W366" t="s">
        <v>7432</v>
      </c>
      <c r="X366" t="s">
        <v>74</v>
      </c>
      <c r="Y366" t="s">
        <v>7433</v>
      </c>
      <c r="Z366" t="s">
        <v>7434</v>
      </c>
      <c r="AA366" t="s">
        <v>74</v>
      </c>
      <c r="AB366" t="s">
        <v>74</v>
      </c>
      <c r="AC366" t="s">
        <v>74</v>
      </c>
      <c r="AD366" t="s">
        <v>74</v>
      </c>
      <c r="AE366" t="s">
        <v>74</v>
      </c>
      <c r="AF366" t="s">
        <v>74</v>
      </c>
      <c r="AG366">
        <v>65</v>
      </c>
      <c r="AH366">
        <v>0</v>
      </c>
      <c r="AI366">
        <v>0</v>
      </c>
      <c r="AJ366">
        <v>0</v>
      </c>
      <c r="AK366">
        <v>11</v>
      </c>
      <c r="AL366" t="s">
        <v>3149</v>
      </c>
      <c r="AM366" t="s">
        <v>1797</v>
      </c>
      <c r="AN366" t="s">
        <v>3150</v>
      </c>
      <c r="AO366" t="s">
        <v>7375</v>
      </c>
      <c r="AP366" t="s">
        <v>7376</v>
      </c>
      <c r="AQ366" t="s">
        <v>74</v>
      </c>
      <c r="AR366" t="s">
        <v>7377</v>
      </c>
      <c r="AS366" t="s">
        <v>7378</v>
      </c>
      <c r="AT366" t="s">
        <v>2468</v>
      </c>
      <c r="AU366">
        <v>2018</v>
      </c>
      <c r="AV366">
        <v>54</v>
      </c>
      <c r="AW366">
        <v>1</v>
      </c>
      <c r="AX366" t="s">
        <v>74</v>
      </c>
      <c r="AY366" t="s">
        <v>74</v>
      </c>
      <c r="AZ366" t="s">
        <v>74</v>
      </c>
      <c r="BA366" t="s">
        <v>74</v>
      </c>
      <c r="BB366">
        <v>43</v>
      </c>
      <c r="BC366">
        <v>52</v>
      </c>
      <c r="BD366" t="s">
        <v>74</v>
      </c>
      <c r="BE366" t="s">
        <v>7435</v>
      </c>
      <c r="BF366" t="str">
        <f>HYPERLINK("http://dx.doi.org/10.1017/S0032247418000104","http://dx.doi.org/10.1017/S0032247418000104")</f>
        <v>http://dx.doi.org/10.1017/S0032247418000104</v>
      </c>
      <c r="BG366" t="s">
        <v>74</v>
      </c>
      <c r="BH366" t="s">
        <v>74</v>
      </c>
      <c r="BI366">
        <v>10</v>
      </c>
      <c r="BJ366" t="s">
        <v>7380</v>
      </c>
      <c r="BK366" t="s">
        <v>101</v>
      </c>
      <c r="BL366" t="s">
        <v>1120</v>
      </c>
      <c r="BM366" t="s">
        <v>7381</v>
      </c>
      <c r="BN366" t="s">
        <v>74</v>
      </c>
      <c r="BO366" t="s">
        <v>74</v>
      </c>
      <c r="BP366" t="s">
        <v>74</v>
      </c>
      <c r="BQ366" t="s">
        <v>74</v>
      </c>
      <c r="BR366" t="s">
        <v>105</v>
      </c>
      <c r="BS366" t="s">
        <v>7436</v>
      </c>
      <c r="BT366" t="str">
        <f>HYPERLINK("https%3A%2F%2Fwww.webofscience.com%2Fwos%2Fwoscc%2Ffull-record%2FWOS:000433492400006","View Full Record in Web of Science")</f>
        <v>View Full Record in Web of Science</v>
      </c>
    </row>
    <row r="367" spans="1:72" x14ac:dyDescent="0.15">
      <c r="A367" t="s">
        <v>72</v>
      </c>
      <c r="B367" t="s">
        <v>7437</v>
      </c>
      <c r="C367" t="s">
        <v>74</v>
      </c>
      <c r="D367" t="s">
        <v>74</v>
      </c>
      <c r="E367" t="s">
        <v>74</v>
      </c>
      <c r="F367" t="s">
        <v>7438</v>
      </c>
      <c r="G367" t="s">
        <v>74</v>
      </c>
      <c r="H367" t="s">
        <v>74</v>
      </c>
      <c r="I367" t="s">
        <v>7439</v>
      </c>
      <c r="J367" t="s">
        <v>7370</v>
      </c>
      <c r="K367" t="s">
        <v>74</v>
      </c>
      <c r="L367" t="s">
        <v>74</v>
      </c>
      <c r="M367" t="s">
        <v>78</v>
      </c>
      <c r="N367" t="s">
        <v>79</v>
      </c>
      <c r="O367" t="s">
        <v>74</v>
      </c>
      <c r="P367" t="s">
        <v>74</v>
      </c>
      <c r="Q367" t="s">
        <v>74</v>
      </c>
      <c r="R367" t="s">
        <v>74</v>
      </c>
      <c r="S367" t="s">
        <v>74</v>
      </c>
      <c r="T367" t="s">
        <v>74</v>
      </c>
      <c r="U367" t="s">
        <v>7440</v>
      </c>
      <c r="V367" t="s">
        <v>7441</v>
      </c>
      <c r="W367" t="s">
        <v>7442</v>
      </c>
      <c r="X367" t="s">
        <v>4474</v>
      </c>
      <c r="Y367" t="s">
        <v>7443</v>
      </c>
      <c r="Z367" t="s">
        <v>7444</v>
      </c>
      <c r="AA367" t="s">
        <v>7445</v>
      </c>
      <c r="AB367" t="s">
        <v>7446</v>
      </c>
      <c r="AC367" t="s">
        <v>74</v>
      </c>
      <c r="AD367" t="s">
        <v>74</v>
      </c>
      <c r="AE367" t="s">
        <v>74</v>
      </c>
      <c r="AF367" t="s">
        <v>74</v>
      </c>
      <c r="AG367">
        <v>73</v>
      </c>
      <c r="AH367">
        <v>8</v>
      </c>
      <c r="AI367">
        <v>8</v>
      </c>
      <c r="AJ367">
        <v>0</v>
      </c>
      <c r="AK367">
        <v>6</v>
      </c>
      <c r="AL367" t="s">
        <v>3149</v>
      </c>
      <c r="AM367" t="s">
        <v>1797</v>
      </c>
      <c r="AN367" t="s">
        <v>3150</v>
      </c>
      <c r="AO367" t="s">
        <v>7375</v>
      </c>
      <c r="AP367" t="s">
        <v>7376</v>
      </c>
      <c r="AQ367" t="s">
        <v>74</v>
      </c>
      <c r="AR367" t="s">
        <v>7377</v>
      </c>
      <c r="AS367" t="s">
        <v>7378</v>
      </c>
      <c r="AT367" t="s">
        <v>2468</v>
      </c>
      <c r="AU367">
        <v>2018</v>
      </c>
      <c r="AV367">
        <v>54</v>
      </c>
      <c r="AW367">
        <v>1</v>
      </c>
      <c r="AX367" t="s">
        <v>74</v>
      </c>
      <c r="AY367" t="s">
        <v>74</v>
      </c>
      <c r="AZ367" t="s">
        <v>74</v>
      </c>
      <c r="BA367" t="s">
        <v>74</v>
      </c>
      <c r="BB367">
        <v>65</v>
      </c>
      <c r="BC367">
        <v>75</v>
      </c>
      <c r="BD367" t="s">
        <v>74</v>
      </c>
      <c r="BE367" t="s">
        <v>7447</v>
      </c>
      <c r="BF367" t="str">
        <f>HYPERLINK("http://dx.doi.org/10.1017/S0032247418000207","http://dx.doi.org/10.1017/S0032247418000207")</f>
        <v>http://dx.doi.org/10.1017/S0032247418000207</v>
      </c>
      <c r="BG367" t="s">
        <v>74</v>
      </c>
      <c r="BH367" t="s">
        <v>74</v>
      </c>
      <c r="BI367">
        <v>11</v>
      </c>
      <c r="BJ367" t="s">
        <v>7380</v>
      </c>
      <c r="BK367" t="s">
        <v>2471</v>
      </c>
      <c r="BL367" t="s">
        <v>1120</v>
      </c>
      <c r="BM367" t="s">
        <v>7381</v>
      </c>
      <c r="BN367" t="s">
        <v>74</v>
      </c>
      <c r="BO367" t="s">
        <v>524</v>
      </c>
      <c r="BP367" t="s">
        <v>74</v>
      </c>
      <c r="BQ367" t="s">
        <v>74</v>
      </c>
      <c r="BR367" t="s">
        <v>105</v>
      </c>
      <c r="BS367" t="s">
        <v>7448</v>
      </c>
      <c r="BT367" t="str">
        <f>HYPERLINK("https%3A%2F%2Fwww.webofscience.com%2Fwos%2Fwoscc%2Ffull-record%2FWOS:000433492400008","View Full Record in Web of Science")</f>
        <v>View Full Record in Web of Science</v>
      </c>
    </row>
    <row r="368" spans="1:72" x14ac:dyDescent="0.15">
      <c r="A368" t="s">
        <v>1831</v>
      </c>
      <c r="B368" t="s">
        <v>7449</v>
      </c>
      <c r="C368" t="s">
        <v>74</v>
      </c>
      <c r="D368" t="s">
        <v>7450</v>
      </c>
      <c r="E368" t="s">
        <v>74</v>
      </c>
      <c r="F368" t="s">
        <v>7451</v>
      </c>
      <c r="G368" t="s">
        <v>74</v>
      </c>
      <c r="H368" t="s">
        <v>74</v>
      </c>
      <c r="I368" t="s">
        <v>7452</v>
      </c>
      <c r="J368" t="s">
        <v>7453</v>
      </c>
      <c r="K368" t="s">
        <v>7454</v>
      </c>
      <c r="L368" t="s">
        <v>74</v>
      </c>
      <c r="M368" t="s">
        <v>78</v>
      </c>
      <c r="N368" t="s">
        <v>1862</v>
      </c>
      <c r="O368" t="s">
        <v>74</v>
      </c>
      <c r="P368" t="s">
        <v>74</v>
      </c>
      <c r="Q368" t="s">
        <v>74</v>
      </c>
      <c r="R368" t="s">
        <v>74</v>
      </c>
      <c r="S368" t="s">
        <v>74</v>
      </c>
      <c r="T368" t="s">
        <v>7455</v>
      </c>
      <c r="U368" t="s">
        <v>7456</v>
      </c>
      <c r="V368" t="s">
        <v>7457</v>
      </c>
      <c r="W368" t="s">
        <v>7458</v>
      </c>
      <c r="X368" t="s">
        <v>7459</v>
      </c>
      <c r="Y368" t="s">
        <v>7460</v>
      </c>
      <c r="Z368" t="s">
        <v>7461</v>
      </c>
      <c r="AA368" t="s">
        <v>74</v>
      </c>
      <c r="AB368" t="s">
        <v>74</v>
      </c>
      <c r="AC368" t="s">
        <v>74</v>
      </c>
      <c r="AD368" t="s">
        <v>74</v>
      </c>
      <c r="AE368" t="s">
        <v>74</v>
      </c>
      <c r="AF368" t="s">
        <v>74</v>
      </c>
      <c r="AG368">
        <v>128</v>
      </c>
      <c r="AH368">
        <v>3</v>
      </c>
      <c r="AI368">
        <v>3</v>
      </c>
      <c r="AJ368">
        <v>0</v>
      </c>
      <c r="AK368">
        <v>2</v>
      </c>
      <c r="AL368" t="s">
        <v>1898</v>
      </c>
      <c r="AM368" t="s">
        <v>1899</v>
      </c>
      <c r="AN368" t="s">
        <v>1900</v>
      </c>
      <c r="AO368" t="s">
        <v>7462</v>
      </c>
      <c r="AP368" t="s">
        <v>7463</v>
      </c>
      <c r="AQ368" t="s">
        <v>7464</v>
      </c>
      <c r="AR368" t="s">
        <v>7465</v>
      </c>
      <c r="AS368" t="s">
        <v>7466</v>
      </c>
      <c r="AT368" t="s">
        <v>74</v>
      </c>
      <c r="AU368">
        <v>2018</v>
      </c>
      <c r="AV368" t="s">
        <v>74</v>
      </c>
      <c r="AW368" t="s">
        <v>74</v>
      </c>
      <c r="AX368" t="s">
        <v>74</v>
      </c>
      <c r="AY368" t="s">
        <v>74</v>
      </c>
      <c r="AZ368" t="s">
        <v>74</v>
      </c>
      <c r="BA368" t="s">
        <v>74</v>
      </c>
      <c r="BB368">
        <v>31</v>
      </c>
      <c r="BC368">
        <v>67</v>
      </c>
      <c r="BD368" t="s">
        <v>74</v>
      </c>
      <c r="BE368" t="s">
        <v>7467</v>
      </c>
      <c r="BF368" t="str">
        <f>HYPERLINK("http://dx.doi.org/10.1007/978-3-319-71921-4_2","http://dx.doi.org/10.1007/978-3-319-71921-4_2")</f>
        <v>http://dx.doi.org/10.1007/978-3-319-71921-4_2</v>
      </c>
      <c r="BG368" t="s">
        <v>7468</v>
      </c>
      <c r="BH368" t="s">
        <v>74</v>
      </c>
      <c r="BI368">
        <v>37</v>
      </c>
      <c r="BJ368" t="s">
        <v>6816</v>
      </c>
      <c r="BK368" t="s">
        <v>1856</v>
      </c>
      <c r="BL368" t="s">
        <v>6817</v>
      </c>
      <c r="BM368" t="s">
        <v>7469</v>
      </c>
      <c r="BN368" t="s">
        <v>74</v>
      </c>
      <c r="BO368" t="s">
        <v>74</v>
      </c>
      <c r="BP368" t="s">
        <v>74</v>
      </c>
      <c r="BQ368" t="s">
        <v>74</v>
      </c>
      <c r="BR368" t="s">
        <v>105</v>
      </c>
      <c r="BS368" t="s">
        <v>7470</v>
      </c>
      <c r="BT368" t="str">
        <f>HYPERLINK("https%3A%2F%2Fwww.webofscience.com%2Fwos%2Fwoscc%2Ffull-record%2FWOS:000431910900002","View Full Record in Web of Science")</f>
        <v>View Full Record in Web of Science</v>
      </c>
    </row>
    <row r="369" spans="1:72" x14ac:dyDescent="0.15">
      <c r="A369" t="s">
        <v>72</v>
      </c>
      <c r="B369" t="s">
        <v>7471</v>
      </c>
      <c r="C369" t="s">
        <v>74</v>
      </c>
      <c r="D369" t="s">
        <v>74</v>
      </c>
      <c r="E369" t="s">
        <v>74</v>
      </c>
      <c r="F369" t="s">
        <v>7472</v>
      </c>
      <c r="G369" t="s">
        <v>74</v>
      </c>
      <c r="H369" t="s">
        <v>74</v>
      </c>
      <c r="I369" t="s">
        <v>7473</v>
      </c>
      <c r="J369" t="s">
        <v>7474</v>
      </c>
      <c r="K369" t="s">
        <v>74</v>
      </c>
      <c r="L369" t="s">
        <v>74</v>
      </c>
      <c r="M369" t="s">
        <v>3120</v>
      </c>
      <c r="N369" t="s">
        <v>79</v>
      </c>
      <c r="O369" t="s">
        <v>74</v>
      </c>
      <c r="P369" t="s">
        <v>74</v>
      </c>
      <c r="Q369" t="s">
        <v>74</v>
      </c>
      <c r="R369" t="s">
        <v>74</v>
      </c>
      <c r="S369" t="s">
        <v>74</v>
      </c>
      <c r="T369" t="s">
        <v>7475</v>
      </c>
      <c r="U369" t="s">
        <v>7476</v>
      </c>
      <c r="V369" t="s">
        <v>7477</v>
      </c>
      <c r="W369" t="s">
        <v>7478</v>
      </c>
      <c r="X369" t="s">
        <v>7479</v>
      </c>
      <c r="Y369" t="s">
        <v>7480</v>
      </c>
      <c r="Z369" t="s">
        <v>7481</v>
      </c>
      <c r="AA369" t="s">
        <v>7482</v>
      </c>
      <c r="AB369" t="s">
        <v>7483</v>
      </c>
      <c r="AC369" t="s">
        <v>74</v>
      </c>
      <c r="AD369" t="s">
        <v>74</v>
      </c>
      <c r="AE369" t="s">
        <v>74</v>
      </c>
      <c r="AF369" t="s">
        <v>74</v>
      </c>
      <c r="AG369">
        <v>75</v>
      </c>
      <c r="AH369">
        <v>1</v>
      </c>
      <c r="AI369">
        <v>1</v>
      </c>
      <c r="AJ369">
        <v>0</v>
      </c>
      <c r="AK369">
        <v>8</v>
      </c>
      <c r="AL369" t="s">
        <v>7484</v>
      </c>
      <c r="AM369" t="s">
        <v>7485</v>
      </c>
      <c r="AN369" t="s">
        <v>7486</v>
      </c>
      <c r="AO369" t="s">
        <v>7487</v>
      </c>
      <c r="AP369" t="s">
        <v>74</v>
      </c>
      <c r="AQ369" t="s">
        <v>74</v>
      </c>
      <c r="AR369" t="s">
        <v>7488</v>
      </c>
      <c r="AS369" t="s">
        <v>7489</v>
      </c>
      <c r="AT369" t="s">
        <v>2468</v>
      </c>
      <c r="AU369">
        <v>2018</v>
      </c>
      <c r="AV369">
        <v>16</v>
      </c>
      <c r="AW369">
        <v>1</v>
      </c>
      <c r="AX369" t="s">
        <v>74</v>
      </c>
      <c r="AY369" t="s">
        <v>74</v>
      </c>
      <c r="AZ369" t="s">
        <v>74</v>
      </c>
      <c r="BA369" t="s">
        <v>74</v>
      </c>
      <c r="BB369">
        <v>99</v>
      </c>
      <c r="BC369">
        <v>116</v>
      </c>
      <c r="BD369" t="s">
        <v>74</v>
      </c>
      <c r="BE369" t="s">
        <v>7490</v>
      </c>
      <c r="BF369" t="str">
        <f>HYPERLINK("http://dx.doi.org/10.25145/j.pasos.2018.16.007","http://dx.doi.org/10.25145/j.pasos.2018.16.007")</f>
        <v>http://dx.doi.org/10.25145/j.pasos.2018.16.007</v>
      </c>
      <c r="BG369" t="s">
        <v>74</v>
      </c>
      <c r="BH369" t="s">
        <v>74</v>
      </c>
      <c r="BI369">
        <v>18</v>
      </c>
      <c r="BJ369" t="s">
        <v>7491</v>
      </c>
      <c r="BK369" t="s">
        <v>2081</v>
      </c>
      <c r="BL369" t="s">
        <v>6130</v>
      </c>
      <c r="BM369" t="s">
        <v>7492</v>
      </c>
      <c r="BN369" t="s">
        <v>74</v>
      </c>
      <c r="BO369" t="s">
        <v>560</v>
      </c>
      <c r="BP369" t="s">
        <v>74</v>
      </c>
      <c r="BQ369" t="s">
        <v>74</v>
      </c>
      <c r="BR369" t="s">
        <v>105</v>
      </c>
      <c r="BS369" t="s">
        <v>7493</v>
      </c>
      <c r="BT369" t="str">
        <f>HYPERLINK("https%3A%2F%2Fwww.webofscience.com%2Fwos%2Fwoscc%2Ffull-record%2FWOS:000432678300007","View Full Record in Web of Science")</f>
        <v>View Full Record in Web of Science</v>
      </c>
    </row>
    <row r="370" spans="1:72" x14ac:dyDescent="0.15">
      <c r="A370" t="s">
        <v>72</v>
      </c>
      <c r="B370" t="s">
        <v>7494</v>
      </c>
      <c r="C370" t="s">
        <v>74</v>
      </c>
      <c r="D370" t="s">
        <v>74</v>
      </c>
      <c r="E370" t="s">
        <v>74</v>
      </c>
      <c r="F370" t="s">
        <v>7495</v>
      </c>
      <c r="G370" t="s">
        <v>74</v>
      </c>
      <c r="H370" t="s">
        <v>74</v>
      </c>
      <c r="I370" t="s">
        <v>7496</v>
      </c>
      <c r="J370" t="s">
        <v>4650</v>
      </c>
      <c r="K370" t="s">
        <v>74</v>
      </c>
      <c r="L370" t="s">
        <v>74</v>
      </c>
      <c r="M370" t="s">
        <v>78</v>
      </c>
      <c r="N370" t="s">
        <v>79</v>
      </c>
      <c r="O370" t="s">
        <v>74</v>
      </c>
      <c r="P370" t="s">
        <v>74</v>
      </c>
      <c r="Q370" t="s">
        <v>74</v>
      </c>
      <c r="R370" t="s">
        <v>74</v>
      </c>
      <c r="S370" t="s">
        <v>74</v>
      </c>
      <c r="T370" t="s">
        <v>7497</v>
      </c>
      <c r="U370" t="s">
        <v>7498</v>
      </c>
      <c r="V370" t="s">
        <v>7499</v>
      </c>
      <c r="W370" t="s">
        <v>7500</v>
      </c>
      <c r="X370" t="s">
        <v>3679</v>
      </c>
      <c r="Y370" t="s">
        <v>7501</v>
      </c>
      <c r="Z370" t="s">
        <v>7502</v>
      </c>
      <c r="AA370" t="s">
        <v>74</v>
      </c>
      <c r="AB370" t="s">
        <v>74</v>
      </c>
      <c r="AC370" t="s">
        <v>7503</v>
      </c>
      <c r="AD370" t="s">
        <v>7504</v>
      </c>
      <c r="AE370" t="s">
        <v>7505</v>
      </c>
      <c r="AF370" t="s">
        <v>74</v>
      </c>
      <c r="AG370">
        <v>43</v>
      </c>
      <c r="AH370">
        <v>55</v>
      </c>
      <c r="AI370">
        <v>57</v>
      </c>
      <c r="AJ370">
        <v>11</v>
      </c>
      <c r="AK370">
        <v>68</v>
      </c>
      <c r="AL370" t="s">
        <v>4663</v>
      </c>
      <c r="AM370" t="s">
        <v>4664</v>
      </c>
      <c r="AN370" t="s">
        <v>4665</v>
      </c>
      <c r="AO370" t="s">
        <v>4666</v>
      </c>
      <c r="AP370" t="s">
        <v>74</v>
      </c>
      <c r="AQ370" t="s">
        <v>74</v>
      </c>
      <c r="AR370" t="s">
        <v>4650</v>
      </c>
      <c r="AS370" t="s">
        <v>4667</v>
      </c>
      <c r="AT370" t="s">
        <v>74</v>
      </c>
      <c r="AU370">
        <v>2018</v>
      </c>
      <c r="AV370">
        <v>6</v>
      </c>
      <c r="AW370" t="s">
        <v>74</v>
      </c>
      <c r="AX370" t="s">
        <v>74</v>
      </c>
      <c r="AY370" t="s">
        <v>74</v>
      </c>
      <c r="AZ370" t="s">
        <v>74</v>
      </c>
      <c r="BA370" t="s">
        <v>74</v>
      </c>
      <c r="BB370">
        <v>23639</v>
      </c>
      <c r="BC370">
        <v>23647</v>
      </c>
      <c r="BD370" t="s">
        <v>74</v>
      </c>
      <c r="BE370" t="s">
        <v>7506</v>
      </c>
      <c r="BF370" t="str">
        <f>HYPERLINK("http://dx.doi.org/10.1109/ACCESS.2018.2812421","http://dx.doi.org/10.1109/ACCESS.2018.2812421")</f>
        <v>http://dx.doi.org/10.1109/ACCESS.2018.2812421</v>
      </c>
      <c r="BG370" t="s">
        <v>74</v>
      </c>
      <c r="BH370" t="s">
        <v>74</v>
      </c>
      <c r="BI370">
        <v>9</v>
      </c>
      <c r="BJ370" t="s">
        <v>4669</v>
      </c>
      <c r="BK370" t="s">
        <v>101</v>
      </c>
      <c r="BL370" t="s">
        <v>4670</v>
      </c>
      <c r="BM370" t="s">
        <v>7507</v>
      </c>
      <c r="BN370" t="s">
        <v>74</v>
      </c>
      <c r="BO370" t="s">
        <v>160</v>
      </c>
      <c r="BP370" t="s">
        <v>74</v>
      </c>
      <c r="BQ370" t="s">
        <v>74</v>
      </c>
      <c r="BR370" t="s">
        <v>105</v>
      </c>
      <c r="BS370" t="s">
        <v>7508</v>
      </c>
      <c r="BT370" t="str">
        <f>HYPERLINK("https%3A%2F%2Fwww.webofscience.com%2Fwos%2Fwoscc%2Ffull-record%2FWOS:000432592800001","View Full Record in Web of Science")</f>
        <v>View Full Record in Web of Science</v>
      </c>
    </row>
    <row r="371" spans="1:72" x14ac:dyDescent="0.15">
      <c r="A371" t="s">
        <v>1831</v>
      </c>
      <c r="B371" t="s">
        <v>7509</v>
      </c>
      <c r="C371" t="s">
        <v>74</v>
      </c>
      <c r="D371" t="s">
        <v>4401</v>
      </c>
      <c r="E371" t="s">
        <v>74</v>
      </c>
      <c r="F371" t="s">
        <v>7510</v>
      </c>
      <c r="G371" t="s">
        <v>74</v>
      </c>
      <c r="H371" t="s">
        <v>74</v>
      </c>
      <c r="I371" t="s">
        <v>7511</v>
      </c>
      <c r="J371" t="s">
        <v>4404</v>
      </c>
      <c r="K371" t="s">
        <v>2575</v>
      </c>
      <c r="L371" t="s">
        <v>74</v>
      </c>
      <c r="M371" t="s">
        <v>78</v>
      </c>
      <c r="N371" t="s">
        <v>1862</v>
      </c>
      <c r="O371" t="s">
        <v>74</v>
      </c>
      <c r="P371" t="s">
        <v>74</v>
      </c>
      <c r="Q371" t="s">
        <v>74</v>
      </c>
      <c r="R371" t="s">
        <v>74</v>
      </c>
      <c r="S371" t="s">
        <v>74</v>
      </c>
      <c r="T371" t="s">
        <v>74</v>
      </c>
      <c r="U371" t="s">
        <v>7512</v>
      </c>
      <c r="V371" t="s">
        <v>7513</v>
      </c>
      <c r="W371" t="s">
        <v>7514</v>
      </c>
      <c r="X371" t="s">
        <v>7515</v>
      </c>
      <c r="Y371" t="s">
        <v>7516</v>
      </c>
      <c r="Z371" t="s">
        <v>7517</v>
      </c>
      <c r="AA371" t="s">
        <v>7518</v>
      </c>
      <c r="AB371" t="s">
        <v>7519</v>
      </c>
      <c r="AC371" t="s">
        <v>4446</v>
      </c>
      <c r="AD371" t="s">
        <v>2304</v>
      </c>
      <c r="AE371" t="s">
        <v>74</v>
      </c>
      <c r="AF371" t="s">
        <v>74</v>
      </c>
      <c r="AG371">
        <v>34</v>
      </c>
      <c r="AH371">
        <v>2</v>
      </c>
      <c r="AI371">
        <v>2</v>
      </c>
      <c r="AJ371">
        <v>0</v>
      </c>
      <c r="AK371">
        <v>0</v>
      </c>
      <c r="AL371" t="s">
        <v>2584</v>
      </c>
      <c r="AM371" t="s">
        <v>2585</v>
      </c>
      <c r="AN371" t="s">
        <v>2586</v>
      </c>
      <c r="AO371" t="s">
        <v>2587</v>
      </c>
      <c r="AP371" t="s">
        <v>74</v>
      </c>
      <c r="AQ371" t="s">
        <v>4414</v>
      </c>
      <c r="AR371" t="s">
        <v>2589</v>
      </c>
      <c r="AS371" t="s">
        <v>2590</v>
      </c>
      <c r="AT371" t="s">
        <v>74</v>
      </c>
      <c r="AU371">
        <v>2018</v>
      </c>
      <c r="AV371">
        <v>461</v>
      </c>
      <c r="AW371" t="s">
        <v>74</v>
      </c>
      <c r="AX371" t="s">
        <v>74</v>
      </c>
      <c r="AY371" t="s">
        <v>74</v>
      </c>
      <c r="AZ371" t="s">
        <v>74</v>
      </c>
      <c r="BA371" t="s">
        <v>74</v>
      </c>
      <c r="BB371">
        <v>1</v>
      </c>
      <c r="BC371">
        <v>6</v>
      </c>
      <c r="BD371" t="s">
        <v>74</v>
      </c>
      <c r="BE371" t="s">
        <v>7520</v>
      </c>
      <c r="BF371" t="str">
        <f>HYPERLINK("http://dx.doi.org/10.1144/SP461.15","http://dx.doi.org/10.1144/SP461.15")</f>
        <v>http://dx.doi.org/10.1144/SP461.15</v>
      </c>
      <c r="BG371" t="s">
        <v>74</v>
      </c>
      <c r="BH371" t="s">
        <v>74</v>
      </c>
      <c r="BI371">
        <v>6</v>
      </c>
      <c r="BJ371" t="s">
        <v>4416</v>
      </c>
      <c r="BK371" t="s">
        <v>1856</v>
      </c>
      <c r="BL371" t="s">
        <v>4416</v>
      </c>
      <c r="BM371" t="s">
        <v>4417</v>
      </c>
      <c r="BN371" t="s">
        <v>74</v>
      </c>
      <c r="BO371" t="s">
        <v>7521</v>
      </c>
      <c r="BP371" t="s">
        <v>74</v>
      </c>
      <c r="BQ371" t="s">
        <v>74</v>
      </c>
      <c r="BR371" t="s">
        <v>105</v>
      </c>
      <c r="BS371" t="s">
        <v>7522</v>
      </c>
      <c r="BT371" t="str">
        <f>HYPERLINK("https%3A%2F%2Fwww.webofscience.com%2Fwos%2Fwoscc%2Ffull-record%2FWOS:000431852000001","View Full Record in Web of Science")</f>
        <v>View Full Record in Web of Science</v>
      </c>
    </row>
    <row r="372" spans="1:72" x14ac:dyDescent="0.15">
      <c r="A372" t="s">
        <v>1831</v>
      </c>
      <c r="B372" t="s">
        <v>7523</v>
      </c>
      <c r="C372" t="s">
        <v>74</v>
      </c>
      <c r="D372" t="s">
        <v>4401</v>
      </c>
      <c r="E372" t="s">
        <v>74</v>
      </c>
      <c r="F372" t="s">
        <v>7524</v>
      </c>
      <c r="G372" t="s">
        <v>74</v>
      </c>
      <c r="H372" t="s">
        <v>74</v>
      </c>
      <c r="I372" t="s">
        <v>7525</v>
      </c>
      <c r="J372" t="s">
        <v>4404</v>
      </c>
      <c r="K372" t="s">
        <v>2575</v>
      </c>
      <c r="L372" t="s">
        <v>74</v>
      </c>
      <c r="M372" t="s">
        <v>78</v>
      </c>
      <c r="N372" t="s">
        <v>1862</v>
      </c>
      <c r="O372" t="s">
        <v>74</v>
      </c>
      <c r="P372" t="s">
        <v>74</v>
      </c>
      <c r="Q372" t="s">
        <v>74</v>
      </c>
      <c r="R372" t="s">
        <v>74</v>
      </c>
      <c r="S372" t="s">
        <v>74</v>
      </c>
      <c r="T372" t="s">
        <v>74</v>
      </c>
      <c r="U372" t="s">
        <v>7526</v>
      </c>
      <c r="V372" t="s">
        <v>7527</v>
      </c>
      <c r="W372" t="s">
        <v>7528</v>
      </c>
      <c r="X372" t="s">
        <v>7529</v>
      </c>
      <c r="Y372" t="s">
        <v>7516</v>
      </c>
      <c r="Z372" t="s">
        <v>7517</v>
      </c>
      <c r="AA372" t="s">
        <v>7530</v>
      </c>
      <c r="AB372" t="s">
        <v>7531</v>
      </c>
      <c r="AC372" t="s">
        <v>7532</v>
      </c>
      <c r="AD372" t="s">
        <v>2304</v>
      </c>
      <c r="AE372" t="s">
        <v>74</v>
      </c>
      <c r="AF372" t="s">
        <v>74</v>
      </c>
      <c r="AG372">
        <v>57</v>
      </c>
      <c r="AH372">
        <v>6</v>
      </c>
      <c r="AI372">
        <v>7</v>
      </c>
      <c r="AJ372">
        <v>0</v>
      </c>
      <c r="AK372">
        <v>9</v>
      </c>
      <c r="AL372" t="s">
        <v>2584</v>
      </c>
      <c r="AM372" t="s">
        <v>2585</v>
      </c>
      <c r="AN372" t="s">
        <v>2586</v>
      </c>
      <c r="AO372" t="s">
        <v>2587</v>
      </c>
      <c r="AP372" t="s">
        <v>74</v>
      </c>
      <c r="AQ372" t="s">
        <v>4414</v>
      </c>
      <c r="AR372" t="s">
        <v>2589</v>
      </c>
      <c r="AS372" t="s">
        <v>2590</v>
      </c>
      <c r="AT372" t="s">
        <v>74</v>
      </c>
      <c r="AU372">
        <v>2018</v>
      </c>
      <c r="AV372">
        <v>461</v>
      </c>
      <c r="AW372" t="s">
        <v>74</v>
      </c>
      <c r="AX372" t="s">
        <v>74</v>
      </c>
      <c r="AY372" t="s">
        <v>74</v>
      </c>
      <c r="AZ372" t="s">
        <v>74</v>
      </c>
      <c r="BA372" t="s">
        <v>74</v>
      </c>
      <c r="BB372">
        <v>7</v>
      </c>
      <c r="BC372">
        <v>21</v>
      </c>
      <c r="BD372" t="s">
        <v>74</v>
      </c>
      <c r="BE372" t="s">
        <v>7533</v>
      </c>
      <c r="BF372" t="str">
        <f>HYPERLINK("http://dx.doi.org/10.1144/SP461.5","http://dx.doi.org/10.1144/SP461.5")</f>
        <v>http://dx.doi.org/10.1144/SP461.5</v>
      </c>
      <c r="BG372" t="s">
        <v>74</v>
      </c>
      <c r="BH372" t="s">
        <v>74</v>
      </c>
      <c r="BI372">
        <v>15</v>
      </c>
      <c r="BJ372" t="s">
        <v>4416</v>
      </c>
      <c r="BK372" t="s">
        <v>1856</v>
      </c>
      <c r="BL372" t="s">
        <v>4416</v>
      </c>
      <c r="BM372" t="s">
        <v>4417</v>
      </c>
      <c r="BN372" t="s">
        <v>74</v>
      </c>
      <c r="BO372" t="s">
        <v>7534</v>
      </c>
      <c r="BP372" t="s">
        <v>74</v>
      </c>
      <c r="BQ372" t="s">
        <v>74</v>
      </c>
      <c r="BR372" t="s">
        <v>105</v>
      </c>
      <c r="BS372" t="s">
        <v>7535</v>
      </c>
      <c r="BT372" t="str">
        <f>HYPERLINK("https%3A%2F%2Fwww.webofscience.com%2Fwos%2Fwoscc%2Ffull-record%2FWOS:000431852000002","View Full Record in Web of Science")</f>
        <v>View Full Record in Web of Science</v>
      </c>
    </row>
    <row r="373" spans="1:72" x14ac:dyDescent="0.15">
      <c r="A373" t="s">
        <v>1831</v>
      </c>
      <c r="B373" t="s">
        <v>7536</v>
      </c>
      <c r="C373" t="s">
        <v>74</v>
      </c>
      <c r="D373" t="s">
        <v>4401</v>
      </c>
      <c r="E373" t="s">
        <v>74</v>
      </c>
      <c r="F373" t="s">
        <v>7537</v>
      </c>
      <c r="G373" t="s">
        <v>74</v>
      </c>
      <c r="H373" t="s">
        <v>74</v>
      </c>
      <c r="I373" t="s">
        <v>7538</v>
      </c>
      <c r="J373" t="s">
        <v>4404</v>
      </c>
      <c r="K373" t="s">
        <v>2575</v>
      </c>
      <c r="L373" t="s">
        <v>74</v>
      </c>
      <c r="M373" t="s">
        <v>78</v>
      </c>
      <c r="N373" t="s">
        <v>1862</v>
      </c>
      <c r="O373" t="s">
        <v>74</v>
      </c>
      <c r="P373" t="s">
        <v>74</v>
      </c>
      <c r="Q373" t="s">
        <v>74</v>
      </c>
      <c r="R373" t="s">
        <v>74</v>
      </c>
      <c r="S373" t="s">
        <v>74</v>
      </c>
      <c r="T373" t="s">
        <v>74</v>
      </c>
      <c r="U373" t="s">
        <v>7539</v>
      </c>
      <c r="V373" t="s">
        <v>7540</v>
      </c>
      <c r="W373" t="s">
        <v>7541</v>
      </c>
      <c r="X373" t="s">
        <v>7542</v>
      </c>
      <c r="Y373" t="s">
        <v>7543</v>
      </c>
      <c r="Z373" t="s">
        <v>7544</v>
      </c>
      <c r="AA373" t="s">
        <v>7545</v>
      </c>
      <c r="AB373" t="s">
        <v>7546</v>
      </c>
      <c r="AC373" t="s">
        <v>74</v>
      </c>
      <c r="AD373" t="s">
        <v>74</v>
      </c>
      <c r="AE373" t="s">
        <v>74</v>
      </c>
      <c r="AF373" t="s">
        <v>74</v>
      </c>
      <c r="AG373">
        <v>34</v>
      </c>
      <c r="AH373">
        <v>8</v>
      </c>
      <c r="AI373">
        <v>8</v>
      </c>
      <c r="AJ373">
        <v>0</v>
      </c>
      <c r="AK373">
        <v>0</v>
      </c>
      <c r="AL373" t="s">
        <v>2584</v>
      </c>
      <c r="AM373" t="s">
        <v>2585</v>
      </c>
      <c r="AN373" t="s">
        <v>2586</v>
      </c>
      <c r="AO373" t="s">
        <v>2587</v>
      </c>
      <c r="AP373" t="s">
        <v>74</v>
      </c>
      <c r="AQ373" t="s">
        <v>4414</v>
      </c>
      <c r="AR373" t="s">
        <v>2589</v>
      </c>
      <c r="AS373" t="s">
        <v>2590</v>
      </c>
      <c r="AT373" t="s">
        <v>74</v>
      </c>
      <c r="AU373">
        <v>2018</v>
      </c>
      <c r="AV373">
        <v>461</v>
      </c>
      <c r="AW373" t="s">
        <v>74</v>
      </c>
      <c r="AX373" t="s">
        <v>74</v>
      </c>
      <c r="AY373" t="s">
        <v>74</v>
      </c>
      <c r="AZ373" t="s">
        <v>74</v>
      </c>
      <c r="BA373" t="s">
        <v>74</v>
      </c>
      <c r="BB373">
        <v>49</v>
      </c>
      <c r="BC373">
        <v>59</v>
      </c>
      <c r="BD373" t="s">
        <v>74</v>
      </c>
      <c r="BE373" t="s">
        <v>7547</v>
      </c>
      <c r="BF373" t="str">
        <f>HYPERLINK("http://dx.doi.org/10.1144/SP461.4","http://dx.doi.org/10.1144/SP461.4")</f>
        <v>http://dx.doi.org/10.1144/SP461.4</v>
      </c>
      <c r="BG373" t="s">
        <v>74</v>
      </c>
      <c r="BH373" t="s">
        <v>74</v>
      </c>
      <c r="BI373">
        <v>11</v>
      </c>
      <c r="BJ373" t="s">
        <v>4416</v>
      </c>
      <c r="BK373" t="s">
        <v>1856</v>
      </c>
      <c r="BL373" t="s">
        <v>4416</v>
      </c>
      <c r="BM373" t="s">
        <v>4417</v>
      </c>
      <c r="BN373" t="s">
        <v>74</v>
      </c>
      <c r="BO373" t="s">
        <v>74</v>
      </c>
      <c r="BP373" t="s">
        <v>74</v>
      </c>
      <c r="BQ373" t="s">
        <v>74</v>
      </c>
      <c r="BR373" t="s">
        <v>105</v>
      </c>
      <c r="BS373" t="s">
        <v>7548</v>
      </c>
      <c r="BT373" t="str">
        <f>HYPERLINK("https%3A%2F%2Fwww.webofscience.com%2Fwos%2Fwoscc%2Ffull-record%2FWOS:000431852000005","View Full Record in Web of Science")</f>
        <v>View Full Record in Web of Science</v>
      </c>
    </row>
    <row r="374" spans="1:72" x14ac:dyDescent="0.15">
      <c r="A374" t="s">
        <v>1831</v>
      </c>
      <c r="B374" t="s">
        <v>7549</v>
      </c>
      <c r="C374" t="s">
        <v>74</v>
      </c>
      <c r="D374" t="s">
        <v>4401</v>
      </c>
      <c r="E374" t="s">
        <v>74</v>
      </c>
      <c r="F374" t="s">
        <v>7550</v>
      </c>
      <c r="G374" t="s">
        <v>74</v>
      </c>
      <c r="H374" t="s">
        <v>74</v>
      </c>
      <c r="I374" t="s">
        <v>7551</v>
      </c>
      <c r="J374" t="s">
        <v>4404</v>
      </c>
      <c r="K374" t="s">
        <v>2575</v>
      </c>
      <c r="L374" t="s">
        <v>74</v>
      </c>
      <c r="M374" t="s">
        <v>78</v>
      </c>
      <c r="N374" t="s">
        <v>1862</v>
      </c>
      <c r="O374" t="s">
        <v>74</v>
      </c>
      <c r="P374" t="s">
        <v>74</v>
      </c>
      <c r="Q374" t="s">
        <v>74</v>
      </c>
      <c r="R374" t="s">
        <v>74</v>
      </c>
      <c r="S374" t="s">
        <v>74</v>
      </c>
      <c r="T374" t="s">
        <v>74</v>
      </c>
      <c r="U374" t="s">
        <v>7552</v>
      </c>
      <c r="V374" t="s">
        <v>7553</v>
      </c>
      <c r="W374" t="s">
        <v>7554</v>
      </c>
      <c r="X374" t="s">
        <v>7555</v>
      </c>
      <c r="Y374" t="s">
        <v>7556</v>
      </c>
      <c r="Z374" t="s">
        <v>7557</v>
      </c>
      <c r="AA374" t="s">
        <v>7558</v>
      </c>
      <c r="AB374" t="s">
        <v>7559</v>
      </c>
      <c r="AC374" t="s">
        <v>74</v>
      </c>
      <c r="AD374" t="s">
        <v>74</v>
      </c>
      <c r="AE374" t="s">
        <v>74</v>
      </c>
      <c r="AF374" t="s">
        <v>74</v>
      </c>
      <c r="AG374">
        <v>42</v>
      </c>
      <c r="AH374">
        <v>2</v>
      </c>
      <c r="AI374">
        <v>2</v>
      </c>
      <c r="AJ374">
        <v>0</v>
      </c>
      <c r="AK374">
        <v>3</v>
      </c>
      <c r="AL374" t="s">
        <v>2584</v>
      </c>
      <c r="AM374" t="s">
        <v>2585</v>
      </c>
      <c r="AN374" t="s">
        <v>2586</v>
      </c>
      <c r="AO374" t="s">
        <v>2587</v>
      </c>
      <c r="AP374" t="s">
        <v>74</v>
      </c>
      <c r="AQ374" t="s">
        <v>4414</v>
      </c>
      <c r="AR374" t="s">
        <v>2589</v>
      </c>
      <c r="AS374" t="s">
        <v>2590</v>
      </c>
      <c r="AT374" t="s">
        <v>74</v>
      </c>
      <c r="AU374">
        <v>2018</v>
      </c>
      <c r="AV374">
        <v>461</v>
      </c>
      <c r="AW374" t="s">
        <v>74</v>
      </c>
      <c r="AX374" t="s">
        <v>74</v>
      </c>
      <c r="AY374" t="s">
        <v>74</v>
      </c>
      <c r="AZ374" t="s">
        <v>74</v>
      </c>
      <c r="BA374" t="s">
        <v>74</v>
      </c>
      <c r="BB374">
        <v>61</v>
      </c>
      <c r="BC374">
        <v>75</v>
      </c>
      <c r="BD374" t="s">
        <v>74</v>
      </c>
      <c r="BE374" t="s">
        <v>7560</v>
      </c>
      <c r="BF374" t="str">
        <f>HYPERLINK("http://dx.doi.org/10.1144/SP461.10","http://dx.doi.org/10.1144/SP461.10")</f>
        <v>http://dx.doi.org/10.1144/SP461.10</v>
      </c>
      <c r="BG374" t="s">
        <v>74</v>
      </c>
      <c r="BH374" t="s">
        <v>74</v>
      </c>
      <c r="BI374">
        <v>15</v>
      </c>
      <c r="BJ374" t="s">
        <v>4416</v>
      </c>
      <c r="BK374" t="s">
        <v>1856</v>
      </c>
      <c r="BL374" t="s">
        <v>4416</v>
      </c>
      <c r="BM374" t="s">
        <v>4417</v>
      </c>
      <c r="BN374" t="s">
        <v>74</v>
      </c>
      <c r="BO374" t="s">
        <v>432</v>
      </c>
      <c r="BP374" t="s">
        <v>74</v>
      </c>
      <c r="BQ374" t="s">
        <v>74</v>
      </c>
      <c r="BR374" t="s">
        <v>105</v>
      </c>
      <c r="BS374" t="s">
        <v>7561</v>
      </c>
      <c r="BT374" t="str">
        <f>HYPERLINK("https%3A%2F%2Fwww.webofscience.com%2Fwos%2Fwoscc%2Ffull-record%2FWOS:000431852000006","View Full Record in Web of Science")</f>
        <v>View Full Record in Web of Science</v>
      </c>
    </row>
    <row r="375" spans="1:72" x14ac:dyDescent="0.15">
      <c r="A375" t="s">
        <v>1831</v>
      </c>
      <c r="B375" t="s">
        <v>7562</v>
      </c>
      <c r="C375" t="s">
        <v>74</v>
      </c>
      <c r="D375" t="s">
        <v>4401</v>
      </c>
      <c r="E375" t="s">
        <v>74</v>
      </c>
      <c r="F375" t="s">
        <v>7563</v>
      </c>
      <c r="G375" t="s">
        <v>74</v>
      </c>
      <c r="H375" t="s">
        <v>74</v>
      </c>
      <c r="I375" t="s">
        <v>7564</v>
      </c>
      <c r="J375" t="s">
        <v>4404</v>
      </c>
      <c r="K375" t="s">
        <v>2575</v>
      </c>
      <c r="L375" t="s">
        <v>74</v>
      </c>
      <c r="M375" t="s">
        <v>78</v>
      </c>
      <c r="N375" t="s">
        <v>1862</v>
      </c>
      <c r="O375" t="s">
        <v>74</v>
      </c>
      <c r="P375" t="s">
        <v>74</v>
      </c>
      <c r="Q375" t="s">
        <v>74</v>
      </c>
      <c r="R375" t="s">
        <v>74</v>
      </c>
      <c r="S375" t="s">
        <v>74</v>
      </c>
      <c r="T375" t="s">
        <v>74</v>
      </c>
      <c r="U375" t="s">
        <v>7565</v>
      </c>
      <c r="V375" t="s">
        <v>7566</v>
      </c>
      <c r="W375" t="s">
        <v>7567</v>
      </c>
      <c r="X375" t="s">
        <v>7568</v>
      </c>
      <c r="Y375" t="s">
        <v>7569</v>
      </c>
      <c r="Z375" t="s">
        <v>2629</v>
      </c>
      <c r="AA375" t="s">
        <v>74</v>
      </c>
      <c r="AB375" t="s">
        <v>74</v>
      </c>
      <c r="AC375" t="s">
        <v>74</v>
      </c>
      <c r="AD375" t="s">
        <v>74</v>
      </c>
      <c r="AE375" t="s">
        <v>74</v>
      </c>
      <c r="AF375" t="s">
        <v>74</v>
      </c>
      <c r="AG375">
        <v>32</v>
      </c>
      <c r="AH375">
        <v>5</v>
      </c>
      <c r="AI375">
        <v>5</v>
      </c>
      <c r="AJ375">
        <v>0</v>
      </c>
      <c r="AK375">
        <v>5</v>
      </c>
      <c r="AL375" t="s">
        <v>2584</v>
      </c>
      <c r="AM375" t="s">
        <v>2585</v>
      </c>
      <c r="AN375" t="s">
        <v>2586</v>
      </c>
      <c r="AO375" t="s">
        <v>2587</v>
      </c>
      <c r="AP375" t="s">
        <v>74</v>
      </c>
      <c r="AQ375" t="s">
        <v>4414</v>
      </c>
      <c r="AR375" t="s">
        <v>2589</v>
      </c>
      <c r="AS375" t="s">
        <v>2590</v>
      </c>
      <c r="AT375" t="s">
        <v>74</v>
      </c>
      <c r="AU375">
        <v>2018</v>
      </c>
      <c r="AV375">
        <v>461</v>
      </c>
      <c r="AW375" t="s">
        <v>74</v>
      </c>
      <c r="AX375" t="s">
        <v>74</v>
      </c>
      <c r="AY375" t="s">
        <v>74</v>
      </c>
      <c r="AZ375" t="s">
        <v>74</v>
      </c>
      <c r="BA375" t="s">
        <v>74</v>
      </c>
      <c r="BB375">
        <v>77</v>
      </c>
      <c r="BC375">
        <v>93</v>
      </c>
      <c r="BD375" t="s">
        <v>74</v>
      </c>
      <c r="BE375" t="s">
        <v>7570</v>
      </c>
      <c r="BF375" t="str">
        <f>HYPERLINK("http://dx.doi.org/10.1144/SP461.13","http://dx.doi.org/10.1144/SP461.13")</f>
        <v>http://dx.doi.org/10.1144/SP461.13</v>
      </c>
      <c r="BG375" t="s">
        <v>74</v>
      </c>
      <c r="BH375" t="s">
        <v>74</v>
      </c>
      <c r="BI375">
        <v>17</v>
      </c>
      <c r="BJ375" t="s">
        <v>4416</v>
      </c>
      <c r="BK375" t="s">
        <v>1856</v>
      </c>
      <c r="BL375" t="s">
        <v>4416</v>
      </c>
      <c r="BM375" t="s">
        <v>4417</v>
      </c>
      <c r="BN375" t="s">
        <v>74</v>
      </c>
      <c r="BO375" t="s">
        <v>74</v>
      </c>
      <c r="BP375" t="s">
        <v>74</v>
      </c>
      <c r="BQ375" t="s">
        <v>74</v>
      </c>
      <c r="BR375" t="s">
        <v>105</v>
      </c>
      <c r="BS375" t="s">
        <v>7571</v>
      </c>
      <c r="BT375" t="str">
        <f>HYPERLINK("https%3A%2F%2Fwww.webofscience.com%2Fwos%2Fwoscc%2Ffull-record%2FWOS:000431852000007","View Full Record in Web of Science")</f>
        <v>View Full Record in Web of Science</v>
      </c>
    </row>
    <row r="376" spans="1:72" x14ac:dyDescent="0.15">
      <c r="A376" t="s">
        <v>1831</v>
      </c>
      <c r="B376" t="s">
        <v>7572</v>
      </c>
      <c r="C376" t="s">
        <v>74</v>
      </c>
      <c r="D376" t="s">
        <v>4401</v>
      </c>
      <c r="E376" t="s">
        <v>74</v>
      </c>
      <c r="F376" t="s">
        <v>7573</v>
      </c>
      <c r="G376" t="s">
        <v>74</v>
      </c>
      <c r="H376" t="s">
        <v>74</v>
      </c>
      <c r="I376" t="s">
        <v>7574</v>
      </c>
      <c r="J376" t="s">
        <v>4404</v>
      </c>
      <c r="K376" t="s">
        <v>2575</v>
      </c>
      <c r="L376" t="s">
        <v>74</v>
      </c>
      <c r="M376" t="s">
        <v>78</v>
      </c>
      <c r="N376" t="s">
        <v>1862</v>
      </c>
      <c r="O376" t="s">
        <v>74</v>
      </c>
      <c r="P376" t="s">
        <v>74</v>
      </c>
      <c r="Q376" t="s">
        <v>74</v>
      </c>
      <c r="R376" t="s">
        <v>74</v>
      </c>
      <c r="S376" t="s">
        <v>74</v>
      </c>
      <c r="T376" t="s">
        <v>74</v>
      </c>
      <c r="U376" t="s">
        <v>7575</v>
      </c>
      <c r="V376" t="s">
        <v>7576</v>
      </c>
      <c r="W376" t="s">
        <v>7577</v>
      </c>
      <c r="X376" t="s">
        <v>7578</v>
      </c>
      <c r="Y376" t="s">
        <v>7579</v>
      </c>
      <c r="Z376" t="s">
        <v>2583</v>
      </c>
      <c r="AA376" t="s">
        <v>74</v>
      </c>
      <c r="AB376" t="s">
        <v>7580</v>
      </c>
      <c r="AC376" t="s">
        <v>74</v>
      </c>
      <c r="AD376" t="s">
        <v>74</v>
      </c>
      <c r="AE376" t="s">
        <v>74</v>
      </c>
      <c r="AF376" t="s">
        <v>74</v>
      </c>
      <c r="AG376">
        <v>32</v>
      </c>
      <c r="AH376">
        <v>2</v>
      </c>
      <c r="AI376">
        <v>2</v>
      </c>
      <c r="AJ376">
        <v>0</v>
      </c>
      <c r="AK376">
        <v>2</v>
      </c>
      <c r="AL376" t="s">
        <v>2584</v>
      </c>
      <c r="AM376" t="s">
        <v>2585</v>
      </c>
      <c r="AN376" t="s">
        <v>2586</v>
      </c>
      <c r="AO376" t="s">
        <v>2587</v>
      </c>
      <c r="AP376" t="s">
        <v>74</v>
      </c>
      <c r="AQ376" t="s">
        <v>4414</v>
      </c>
      <c r="AR376" t="s">
        <v>2589</v>
      </c>
      <c r="AS376" t="s">
        <v>2590</v>
      </c>
      <c r="AT376" t="s">
        <v>74</v>
      </c>
      <c r="AU376">
        <v>2018</v>
      </c>
      <c r="AV376">
        <v>461</v>
      </c>
      <c r="AW376" t="s">
        <v>74</v>
      </c>
      <c r="AX376" t="s">
        <v>74</v>
      </c>
      <c r="AY376" t="s">
        <v>74</v>
      </c>
      <c r="AZ376" t="s">
        <v>74</v>
      </c>
      <c r="BA376" t="s">
        <v>74</v>
      </c>
      <c r="BB376">
        <v>95</v>
      </c>
      <c r="BC376">
        <v>111</v>
      </c>
      <c r="BD376" t="s">
        <v>74</v>
      </c>
      <c r="BE376" t="s">
        <v>7581</v>
      </c>
      <c r="BF376" t="str">
        <f>HYPERLINK("http://dx.doi.org/10.1144/SP461.2","http://dx.doi.org/10.1144/SP461.2")</f>
        <v>http://dx.doi.org/10.1144/SP461.2</v>
      </c>
      <c r="BG376" t="s">
        <v>74</v>
      </c>
      <c r="BH376" t="s">
        <v>74</v>
      </c>
      <c r="BI376">
        <v>17</v>
      </c>
      <c r="BJ376" t="s">
        <v>4416</v>
      </c>
      <c r="BK376" t="s">
        <v>1856</v>
      </c>
      <c r="BL376" t="s">
        <v>4416</v>
      </c>
      <c r="BM376" t="s">
        <v>4417</v>
      </c>
      <c r="BN376" t="s">
        <v>74</v>
      </c>
      <c r="BO376" t="s">
        <v>74</v>
      </c>
      <c r="BP376" t="s">
        <v>74</v>
      </c>
      <c r="BQ376" t="s">
        <v>74</v>
      </c>
      <c r="BR376" t="s">
        <v>105</v>
      </c>
      <c r="BS376" t="s">
        <v>7582</v>
      </c>
      <c r="BT376" t="str">
        <f>HYPERLINK("https%3A%2F%2Fwww.webofscience.com%2Fwos%2Fwoscc%2Ffull-record%2FWOS:000431852000008","View Full Record in Web of Science")</f>
        <v>View Full Record in Web of Science</v>
      </c>
    </row>
    <row r="377" spans="1:72" x14ac:dyDescent="0.15">
      <c r="A377" t="s">
        <v>1831</v>
      </c>
      <c r="B377" t="s">
        <v>7583</v>
      </c>
      <c r="C377" t="s">
        <v>74</v>
      </c>
      <c r="D377" t="s">
        <v>4401</v>
      </c>
      <c r="E377" t="s">
        <v>74</v>
      </c>
      <c r="F377" t="s">
        <v>7584</v>
      </c>
      <c r="G377" t="s">
        <v>74</v>
      </c>
      <c r="H377" t="s">
        <v>74</v>
      </c>
      <c r="I377" t="s">
        <v>7585</v>
      </c>
      <c r="J377" t="s">
        <v>4404</v>
      </c>
      <c r="K377" t="s">
        <v>2575</v>
      </c>
      <c r="L377" t="s">
        <v>74</v>
      </c>
      <c r="M377" t="s">
        <v>78</v>
      </c>
      <c r="N377" t="s">
        <v>1862</v>
      </c>
      <c r="O377" t="s">
        <v>74</v>
      </c>
      <c r="P377" t="s">
        <v>74</v>
      </c>
      <c r="Q377" t="s">
        <v>74</v>
      </c>
      <c r="R377" t="s">
        <v>74</v>
      </c>
      <c r="S377" t="s">
        <v>74</v>
      </c>
      <c r="T377" t="s">
        <v>74</v>
      </c>
      <c r="U377" t="s">
        <v>7586</v>
      </c>
      <c r="V377" t="s">
        <v>7587</v>
      </c>
      <c r="W377" t="s">
        <v>7588</v>
      </c>
      <c r="X377" t="s">
        <v>7589</v>
      </c>
      <c r="Y377" t="s">
        <v>7590</v>
      </c>
      <c r="Z377" t="s">
        <v>7591</v>
      </c>
      <c r="AA377" t="s">
        <v>7592</v>
      </c>
      <c r="AB377" t="s">
        <v>7593</v>
      </c>
      <c r="AC377" t="s">
        <v>7594</v>
      </c>
      <c r="AD377" t="s">
        <v>2304</v>
      </c>
      <c r="AE377" t="s">
        <v>74</v>
      </c>
      <c r="AF377" t="s">
        <v>74</v>
      </c>
      <c r="AG377">
        <v>44</v>
      </c>
      <c r="AH377">
        <v>12</v>
      </c>
      <c r="AI377">
        <v>12</v>
      </c>
      <c r="AJ377">
        <v>1</v>
      </c>
      <c r="AK377">
        <v>4</v>
      </c>
      <c r="AL377" t="s">
        <v>2584</v>
      </c>
      <c r="AM377" t="s">
        <v>2585</v>
      </c>
      <c r="AN377" t="s">
        <v>2586</v>
      </c>
      <c r="AO377" t="s">
        <v>2587</v>
      </c>
      <c r="AP377" t="s">
        <v>74</v>
      </c>
      <c r="AQ377" t="s">
        <v>4414</v>
      </c>
      <c r="AR377" t="s">
        <v>2589</v>
      </c>
      <c r="AS377" t="s">
        <v>2590</v>
      </c>
      <c r="AT377" t="s">
        <v>74</v>
      </c>
      <c r="AU377">
        <v>2018</v>
      </c>
      <c r="AV377">
        <v>461</v>
      </c>
      <c r="AW377" t="s">
        <v>74</v>
      </c>
      <c r="AX377" t="s">
        <v>74</v>
      </c>
      <c r="AY377" t="s">
        <v>74</v>
      </c>
      <c r="AZ377" t="s">
        <v>74</v>
      </c>
      <c r="BA377" t="s">
        <v>74</v>
      </c>
      <c r="BB377">
        <v>113</v>
      </c>
      <c r="BC377">
        <v>129</v>
      </c>
      <c r="BD377" t="s">
        <v>74</v>
      </c>
      <c r="BE377" t="s">
        <v>7595</v>
      </c>
      <c r="BF377" t="str">
        <f>HYPERLINK("http://dx.doi.org/10.1144/SP461.12","http://dx.doi.org/10.1144/SP461.12")</f>
        <v>http://dx.doi.org/10.1144/SP461.12</v>
      </c>
      <c r="BG377" t="s">
        <v>74</v>
      </c>
      <c r="BH377" t="s">
        <v>74</v>
      </c>
      <c r="BI377">
        <v>17</v>
      </c>
      <c r="BJ377" t="s">
        <v>4416</v>
      </c>
      <c r="BK377" t="s">
        <v>1856</v>
      </c>
      <c r="BL377" t="s">
        <v>4416</v>
      </c>
      <c r="BM377" t="s">
        <v>4417</v>
      </c>
      <c r="BN377" t="s">
        <v>74</v>
      </c>
      <c r="BO377" t="s">
        <v>74</v>
      </c>
      <c r="BP377" t="s">
        <v>74</v>
      </c>
      <c r="BQ377" t="s">
        <v>74</v>
      </c>
      <c r="BR377" t="s">
        <v>105</v>
      </c>
      <c r="BS377" t="s">
        <v>7596</v>
      </c>
      <c r="BT377" t="str">
        <f>HYPERLINK("https%3A%2F%2Fwww.webofscience.com%2Fwos%2Fwoscc%2Ffull-record%2FWOS:000431852000009","View Full Record in Web of Science")</f>
        <v>View Full Record in Web of Science</v>
      </c>
    </row>
    <row r="378" spans="1:72" x14ac:dyDescent="0.15">
      <c r="A378" t="s">
        <v>1831</v>
      </c>
      <c r="B378" t="s">
        <v>7597</v>
      </c>
      <c r="C378" t="s">
        <v>74</v>
      </c>
      <c r="D378" t="s">
        <v>4401</v>
      </c>
      <c r="E378" t="s">
        <v>74</v>
      </c>
      <c r="F378" t="s">
        <v>7598</v>
      </c>
      <c r="G378" t="s">
        <v>74</v>
      </c>
      <c r="H378" t="s">
        <v>74</v>
      </c>
      <c r="I378" t="s">
        <v>7599</v>
      </c>
      <c r="J378" t="s">
        <v>4404</v>
      </c>
      <c r="K378" t="s">
        <v>2575</v>
      </c>
      <c r="L378" t="s">
        <v>74</v>
      </c>
      <c r="M378" t="s">
        <v>78</v>
      </c>
      <c r="N378" t="s">
        <v>1862</v>
      </c>
      <c r="O378" t="s">
        <v>74</v>
      </c>
      <c r="P378" t="s">
        <v>74</v>
      </c>
      <c r="Q378" t="s">
        <v>74</v>
      </c>
      <c r="R378" t="s">
        <v>74</v>
      </c>
      <c r="S378" t="s">
        <v>74</v>
      </c>
      <c r="T378" t="s">
        <v>74</v>
      </c>
      <c r="U378" t="s">
        <v>7600</v>
      </c>
      <c r="V378" t="s">
        <v>7601</v>
      </c>
      <c r="W378" t="s">
        <v>7602</v>
      </c>
      <c r="X378" t="s">
        <v>7603</v>
      </c>
      <c r="Y378" t="s">
        <v>7516</v>
      </c>
      <c r="Z378" t="s">
        <v>7517</v>
      </c>
      <c r="AA378" t="s">
        <v>7604</v>
      </c>
      <c r="AB378" t="s">
        <v>7605</v>
      </c>
      <c r="AC378" t="s">
        <v>7606</v>
      </c>
      <c r="AD378" t="s">
        <v>2304</v>
      </c>
      <c r="AE378" t="s">
        <v>74</v>
      </c>
      <c r="AF378" t="s">
        <v>74</v>
      </c>
      <c r="AG378">
        <v>40</v>
      </c>
      <c r="AH378">
        <v>9</v>
      </c>
      <c r="AI378">
        <v>9</v>
      </c>
      <c r="AJ378">
        <v>0</v>
      </c>
      <c r="AK378">
        <v>2</v>
      </c>
      <c r="AL378" t="s">
        <v>2584</v>
      </c>
      <c r="AM378" t="s">
        <v>2585</v>
      </c>
      <c r="AN378" t="s">
        <v>2586</v>
      </c>
      <c r="AO378" t="s">
        <v>2587</v>
      </c>
      <c r="AP378" t="s">
        <v>74</v>
      </c>
      <c r="AQ378" t="s">
        <v>4414</v>
      </c>
      <c r="AR378" t="s">
        <v>2589</v>
      </c>
      <c r="AS378" t="s">
        <v>2590</v>
      </c>
      <c r="AT378" t="s">
        <v>74</v>
      </c>
      <c r="AU378">
        <v>2018</v>
      </c>
      <c r="AV378">
        <v>461</v>
      </c>
      <c r="AW378" t="s">
        <v>74</v>
      </c>
      <c r="AX378" t="s">
        <v>74</v>
      </c>
      <c r="AY378" t="s">
        <v>74</v>
      </c>
      <c r="AZ378" t="s">
        <v>74</v>
      </c>
      <c r="BA378" t="s">
        <v>74</v>
      </c>
      <c r="BB378">
        <v>131</v>
      </c>
      <c r="BC378">
        <v>143</v>
      </c>
      <c r="BD378" t="s">
        <v>74</v>
      </c>
      <c r="BE378" t="s">
        <v>7607</v>
      </c>
      <c r="BF378" t="str">
        <f>HYPERLINK("http://dx.doi.org/10.1144/SP461.1","http://dx.doi.org/10.1144/SP461.1")</f>
        <v>http://dx.doi.org/10.1144/SP461.1</v>
      </c>
      <c r="BG378" t="s">
        <v>74</v>
      </c>
      <c r="BH378" t="s">
        <v>74</v>
      </c>
      <c r="BI378">
        <v>13</v>
      </c>
      <c r="BJ378" t="s">
        <v>4416</v>
      </c>
      <c r="BK378" t="s">
        <v>1856</v>
      </c>
      <c r="BL378" t="s">
        <v>4416</v>
      </c>
      <c r="BM378" t="s">
        <v>4417</v>
      </c>
      <c r="BN378" t="s">
        <v>74</v>
      </c>
      <c r="BO378" t="s">
        <v>1168</v>
      </c>
      <c r="BP378" t="s">
        <v>74</v>
      </c>
      <c r="BQ378" t="s">
        <v>74</v>
      </c>
      <c r="BR378" t="s">
        <v>105</v>
      </c>
      <c r="BS378" t="s">
        <v>7608</v>
      </c>
      <c r="BT378" t="str">
        <f>HYPERLINK("https%3A%2F%2Fwww.webofscience.com%2Fwos%2Fwoscc%2Ffull-record%2FWOS:000431852000010","View Full Record in Web of Science")</f>
        <v>View Full Record in Web of Science</v>
      </c>
    </row>
    <row r="379" spans="1:72" x14ac:dyDescent="0.15">
      <c r="A379" t="s">
        <v>1831</v>
      </c>
      <c r="B379" t="s">
        <v>7609</v>
      </c>
      <c r="C379" t="s">
        <v>74</v>
      </c>
      <c r="D379" t="s">
        <v>4401</v>
      </c>
      <c r="E379" t="s">
        <v>74</v>
      </c>
      <c r="F379" t="s">
        <v>7610</v>
      </c>
      <c r="G379" t="s">
        <v>74</v>
      </c>
      <c r="H379" t="s">
        <v>74</v>
      </c>
      <c r="I379" t="s">
        <v>7611</v>
      </c>
      <c r="J379" t="s">
        <v>4404</v>
      </c>
      <c r="K379" t="s">
        <v>2575</v>
      </c>
      <c r="L379" t="s">
        <v>74</v>
      </c>
      <c r="M379" t="s">
        <v>78</v>
      </c>
      <c r="N379" t="s">
        <v>1862</v>
      </c>
      <c r="O379" t="s">
        <v>74</v>
      </c>
      <c r="P379" t="s">
        <v>74</v>
      </c>
      <c r="Q379" t="s">
        <v>74</v>
      </c>
      <c r="R379" t="s">
        <v>74</v>
      </c>
      <c r="S379" t="s">
        <v>74</v>
      </c>
      <c r="T379" t="s">
        <v>74</v>
      </c>
      <c r="U379" t="s">
        <v>7612</v>
      </c>
      <c r="V379" t="s">
        <v>7613</v>
      </c>
      <c r="W379" t="s">
        <v>7614</v>
      </c>
      <c r="X379" t="s">
        <v>7615</v>
      </c>
      <c r="Y379" t="s">
        <v>7616</v>
      </c>
      <c r="Z379" t="s">
        <v>7617</v>
      </c>
      <c r="AA379" t="s">
        <v>7618</v>
      </c>
      <c r="AB379" t="s">
        <v>7619</v>
      </c>
      <c r="AC379" t="s">
        <v>74</v>
      </c>
      <c r="AD379" t="s">
        <v>74</v>
      </c>
      <c r="AE379" t="s">
        <v>74</v>
      </c>
      <c r="AF379" t="s">
        <v>74</v>
      </c>
      <c r="AG379">
        <v>41</v>
      </c>
      <c r="AH379">
        <v>5</v>
      </c>
      <c r="AI379">
        <v>5</v>
      </c>
      <c r="AJ379">
        <v>0</v>
      </c>
      <c r="AK379">
        <v>1</v>
      </c>
      <c r="AL379" t="s">
        <v>2584</v>
      </c>
      <c r="AM379" t="s">
        <v>2585</v>
      </c>
      <c r="AN379" t="s">
        <v>2586</v>
      </c>
      <c r="AO379" t="s">
        <v>2587</v>
      </c>
      <c r="AP379" t="s">
        <v>74</v>
      </c>
      <c r="AQ379" t="s">
        <v>4414</v>
      </c>
      <c r="AR379" t="s">
        <v>2589</v>
      </c>
      <c r="AS379" t="s">
        <v>2590</v>
      </c>
      <c r="AT379" t="s">
        <v>74</v>
      </c>
      <c r="AU379">
        <v>2018</v>
      </c>
      <c r="AV379">
        <v>461</v>
      </c>
      <c r="AW379" t="s">
        <v>74</v>
      </c>
      <c r="AX379" t="s">
        <v>74</v>
      </c>
      <c r="AY379" t="s">
        <v>74</v>
      </c>
      <c r="AZ379" t="s">
        <v>74</v>
      </c>
      <c r="BA379" t="s">
        <v>74</v>
      </c>
      <c r="BB379">
        <v>145</v>
      </c>
      <c r="BC379">
        <v>159</v>
      </c>
      <c r="BD379" t="s">
        <v>74</v>
      </c>
      <c r="BE379" t="s">
        <v>7620</v>
      </c>
      <c r="BF379" t="str">
        <f>HYPERLINK("http://dx.doi.org/10.1144/SP461.9","http://dx.doi.org/10.1144/SP461.9")</f>
        <v>http://dx.doi.org/10.1144/SP461.9</v>
      </c>
      <c r="BG379" t="s">
        <v>74</v>
      </c>
      <c r="BH379" t="s">
        <v>74</v>
      </c>
      <c r="BI379">
        <v>15</v>
      </c>
      <c r="BJ379" t="s">
        <v>4416</v>
      </c>
      <c r="BK379" t="s">
        <v>1856</v>
      </c>
      <c r="BL379" t="s">
        <v>4416</v>
      </c>
      <c r="BM379" t="s">
        <v>4417</v>
      </c>
      <c r="BN379" t="s">
        <v>74</v>
      </c>
      <c r="BO379" t="s">
        <v>74</v>
      </c>
      <c r="BP379" t="s">
        <v>74</v>
      </c>
      <c r="BQ379" t="s">
        <v>74</v>
      </c>
      <c r="BR379" t="s">
        <v>105</v>
      </c>
      <c r="BS379" t="s">
        <v>7621</v>
      </c>
      <c r="BT379" t="str">
        <f>HYPERLINK("https%3A%2F%2Fwww.webofscience.com%2Fwos%2Fwoscc%2Ffull-record%2FWOS:000431852000011","View Full Record in Web of Science")</f>
        <v>View Full Record in Web of Science</v>
      </c>
    </row>
    <row r="380" spans="1:72" x14ac:dyDescent="0.15">
      <c r="A380" t="s">
        <v>1831</v>
      </c>
      <c r="B380" t="s">
        <v>7622</v>
      </c>
      <c r="C380" t="s">
        <v>74</v>
      </c>
      <c r="D380" t="s">
        <v>4401</v>
      </c>
      <c r="E380" t="s">
        <v>74</v>
      </c>
      <c r="F380" t="s">
        <v>7623</v>
      </c>
      <c r="G380" t="s">
        <v>74</v>
      </c>
      <c r="H380" t="s">
        <v>74</v>
      </c>
      <c r="I380" t="s">
        <v>7624</v>
      </c>
      <c r="J380" t="s">
        <v>4404</v>
      </c>
      <c r="K380" t="s">
        <v>2575</v>
      </c>
      <c r="L380" t="s">
        <v>74</v>
      </c>
      <c r="M380" t="s">
        <v>78</v>
      </c>
      <c r="N380" t="s">
        <v>1862</v>
      </c>
      <c r="O380" t="s">
        <v>74</v>
      </c>
      <c r="P380" t="s">
        <v>74</v>
      </c>
      <c r="Q380" t="s">
        <v>74</v>
      </c>
      <c r="R380" t="s">
        <v>74</v>
      </c>
      <c r="S380" t="s">
        <v>74</v>
      </c>
      <c r="T380" t="s">
        <v>74</v>
      </c>
      <c r="U380" t="s">
        <v>7625</v>
      </c>
      <c r="V380" t="s">
        <v>7626</v>
      </c>
      <c r="W380" t="s">
        <v>7627</v>
      </c>
      <c r="X380" t="s">
        <v>7628</v>
      </c>
      <c r="Y380" t="s">
        <v>7629</v>
      </c>
      <c r="Z380" t="s">
        <v>7630</v>
      </c>
      <c r="AA380" t="s">
        <v>7631</v>
      </c>
      <c r="AB380" t="s">
        <v>7632</v>
      </c>
      <c r="AC380" t="s">
        <v>7633</v>
      </c>
      <c r="AD380" t="s">
        <v>2304</v>
      </c>
      <c r="AE380" t="s">
        <v>74</v>
      </c>
      <c r="AF380" t="s">
        <v>74</v>
      </c>
      <c r="AG380">
        <v>55</v>
      </c>
      <c r="AH380">
        <v>32</v>
      </c>
      <c r="AI380">
        <v>34</v>
      </c>
      <c r="AJ380">
        <v>1</v>
      </c>
      <c r="AK380">
        <v>8</v>
      </c>
      <c r="AL380" t="s">
        <v>2584</v>
      </c>
      <c r="AM380" t="s">
        <v>2585</v>
      </c>
      <c r="AN380" t="s">
        <v>2586</v>
      </c>
      <c r="AO380" t="s">
        <v>2587</v>
      </c>
      <c r="AP380" t="s">
        <v>74</v>
      </c>
      <c r="AQ380" t="s">
        <v>4414</v>
      </c>
      <c r="AR380" t="s">
        <v>2589</v>
      </c>
      <c r="AS380" t="s">
        <v>2590</v>
      </c>
      <c r="AT380" t="s">
        <v>74</v>
      </c>
      <c r="AU380">
        <v>2018</v>
      </c>
      <c r="AV380">
        <v>461</v>
      </c>
      <c r="AW380" t="s">
        <v>74</v>
      </c>
      <c r="AX380" t="s">
        <v>74</v>
      </c>
      <c r="AY380" t="s">
        <v>74</v>
      </c>
      <c r="AZ380" t="s">
        <v>74</v>
      </c>
      <c r="BA380" t="s">
        <v>74</v>
      </c>
      <c r="BB380">
        <v>175</v>
      </c>
      <c r="BC380">
        <v>186</v>
      </c>
      <c r="BD380" t="s">
        <v>74</v>
      </c>
      <c r="BE380" t="s">
        <v>7634</v>
      </c>
      <c r="BF380" t="str">
        <f>HYPERLINK("http://dx.doi.org/10.1144/SP461.6","http://dx.doi.org/10.1144/SP461.6")</f>
        <v>http://dx.doi.org/10.1144/SP461.6</v>
      </c>
      <c r="BG380" t="s">
        <v>74</v>
      </c>
      <c r="BH380" t="s">
        <v>74</v>
      </c>
      <c r="BI380">
        <v>12</v>
      </c>
      <c r="BJ380" t="s">
        <v>4416</v>
      </c>
      <c r="BK380" t="s">
        <v>1856</v>
      </c>
      <c r="BL380" t="s">
        <v>4416</v>
      </c>
      <c r="BM380" t="s">
        <v>4417</v>
      </c>
      <c r="BN380" t="s">
        <v>74</v>
      </c>
      <c r="BO380" t="s">
        <v>4418</v>
      </c>
      <c r="BP380" t="s">
        <v>74</v>
      </c>
      <c r="BQ380" t="s">
        <v>74</v>
      </c>
      <c r="BR380" t="s">
        <v>105</v>
      </c>
      <c r="BS380" t="s">
        <v>7635</v>
      </c>
      <c r="BT380" t="str">
        <f>HYPERLINK("https%3A%2F%2Fwww.webofscience.com%2Fwos%2Fwoscc%2Ffull-record%2FWOS:000431852000013","View Full Record in Web of Science")</f>
        <v>View Full Record in Web of Science</v>
      </c>
    </row>
    <row r="381" spans="1:72" x14ac:dyDescent="0.15">
      <c r="A381" t="s">
        <v>1831</v>
      </c>
      <c r="B381" t="s">
        <v>7636</v>
      </c>
      <c r="C381" t="s">
        <v>74</v>
      </c>
      <c r="D381" t="s">
        <v>4401</v>
      </c>
      <c r="E381" t="s">
        <v>74</v>
      </c>
      <c r="F381" t="s">
        <v>7637</v>
      </c>
      <c r="G381" t="s">
        <v>74</v>
      </c>
      <c r="H381" t="s">
        <v>74</v>
      </c>
      <c r="I381" t="s">
        <v>7638</v>
      </c>
      <c r="J381" t="s">
        <v>4404</v>
      </c>
      <c r="K381" t="s">
        <v>2575</v>
      </c>
      <c r="L381" t="s">
        <v>74</v>
      </c>
      <c r="M381" t="s">
        <v>78</v>
      </c>
      <c r="N381" t="s">
        <v>1862</v>
      </c>
      <c r="O381" t="s">
        <v>74</v>
      </c>
      <c r="P381" t="s">
        <v>74</v>
      </c>
      <c r="Q381" t="s">
        <v>74</v>
      </c>
      <c r="R381" t="s">
        <v>74</v>
      </c>
      <c r="S381" t="s">
        <v>74</v>
      </c>
      <c r="T381" t="s">
        <v>74</v>
      </c>
      <c r="U381" t="s">
        <v>7639</v>
      </c>
      <c r="V381" t="s">
        <v>7640</v>
      </c>
      <c r="W381" t="s">
        <v>7641</v>
      </c>
      <c r="X381" t="s">
        <v>7642</v>
      </c>
      <c r="Y381" t="s">
        <v>7643</v>
      </c>
      <c r="Z381" t="s">
        <v>7517</v>
      </c>
      <c r="AA381" t="s">
        <v>7644</v>
      </c>
      <c r="AB381" t="s">
        <v>7645</v>
      </c>
      <c r="AC381" t="s">
        <v>7646</v>
      </c>
      <c r="AD381" t="s">
        <v>2304</v>
      </c>
      <c r="AE381" t="s">
        <v>74</v>
      </c>
      <c r="AF381" t="s">
        <v>74</v>
      </c>
      <c r="AG381">
        <v>89</v>
      </c>
      <c r="AH381">
        <v>30</v>
      </c>
      <c r="AI381">
        <v>33</v>
      </c>
      <c r="AJ381">
        <v>0</v>
      </c>
      <c r="AK381">
        <v>5</v>
      </c>
      <c r="AL381" t="s">
        <v>2584</v>
      </c>
      <c r="AM381" t="s">
        <v>2585</v>
      </c>
      <c r="AN381" t="s">
        <v>2586</v>
      </c>
      <c r="AO381" t="s">
        <v>2587</v>
      </c>
      <c r="AP381" t="s">
        <v>74</v>
      </c>
      <c r="AQ381" t="s">
        <v>4414</v>
      </c>
      <c r="AR381" t="s">
        <v>2589</v>
      </c>
      <c r="AS381" t="s">
        <v>2590</v>
      </c>
      <c r="AT381" t="s">
        <v>74</v>
      </c>
      <c r="AU381">
        <v>2018</v>
      </c>
      <c r="AV381">
        <v>461</v>
      </c>
      <c r="AW381" t="s">
        <v>74</v>
      </c>
      <c r="AX381" t="s">
        <v>74</v>
      </c>
      <c r="AY381" t="s">
        <v>74</v>
      </c>
      <c r="AZ381" t="s">
        <v>74</v>
      </c>
      <c r="BA381" t="s">
        <v>74</v>
      </c>
      <c r="BB381">
        <v>197</v>
      </c>
      <c r="BC381">
        <v>213</v>
      </c>
      <c r="BD381" t="s">
        <v>74</v>
      </c>
      <c r="BE381" t="s">
        <v>7647</v>
      </c>
      <c r="BF381" t="str">
        <f>HYPERLINK("http://dx.doi.org/10.1144/SP461.8","http://dx.doi.org/10.1144/SP461.8")</f>
        <v>http://dx.doi.org/10.1144/SP461.8</v>
      </c>
      <c r="BG381" t="s">
        <v>74</v>
      </c>
      <c r="BH381" t="s">
        <v>74</v>
      </c>
      <c r="BI381">
        <v>17</v>
      </c>
      <c r="BJ381" t="s">
        <v>4416</v>
      </c>
      <c r="BK381" t="s">
        <v>1856</v>
      </c>
      <c r="BL381" t="s">
        <v>4416</v>
      </c>
      <c r="BM381" t="s">
        <v>4417</v>
      </c>
      <c r="BN381" t="s">
        <v>74</v>
      </c>
      <c r="BO381" t="s">
        <v>1751</v>
      </c>
      <c r="BP381" t="s">
        <v>74</v>
      </c>
      <c r="BQ381" t="s">
        <v>74</v>
      </c>
      <c r="BR381" t="s">
        <v>105</v>
      </c>
      <c r="BS381" t="s">
        <v>7648</v>
      </c>
      <c r="BT381" t="str">
        <f>HYPERLINK("https%3A%2F%2Fwww.webofscience.com%2Fwos%2Fwoscc%2Ffull-record%2FWOS:000431852000015","View Full Record in Web of Science")</f>
        <v>View Full Record in Web of Science</v>
      </c>
    </row>
    <row r="382" spans="1:72" x14ac:dyDescent="0.15">
      <c r="A382" t="s">
        <v>1831</v>
      </c>
      <c r="B382" t="s">
        <v>7649</v>
      </c>
      <c r="C382" t="s">
        <v>74</v>
      </c>
      <c r="D382" t="s">
        <v>4401</v>
      </c>
      <c r="E382" t="s">
        <v>74</v>
      </c>
      <c r="F382" t="s">
        <v>7650</v>
      </c>
      <c r="G382" t="s">
        <v>74</v>
      </c>
      <c r="H382" t="s">
        <v>74</v>
      </c>
      <c r="I382" t="s">
        <v>7651</v>
      </c>
      <c r="J382" t="s">
        <v>4404</v>
      </c>
      <c r="K382" t="s">
        <v>2575</v>
      </c>
      <c r="L382" t="s">
        <v>74</v>
      </c>
      <c r="M382" t="s">
        <v>78</v>
      </c>
      <c r="N382" t="s">
        <v>1862</v>
      </c>
      <c r="O382" t="s">
        <v>74</v>
      </c>
      <c r="P382" t="s">
        <v>74</v>
      </c>
      <c r="Q382" t="s">
        <v>74</v>
      </c>
      <c r="R382" t="s">
        <v>74</v>
      </c>
      <c r="S382" t="s">
        <v>74</v>
      </c>
      <c r="T382" t="s">
        <v>74</v>
      </c>
      <c r="U382" t="s">
        <v>7652</v>
      </c>
      <c r="V382" t="s">
        <v>7653</v>
      </c>
      <c r="W382" t="s">
        <v>7654</v>
      </c>
      <c r="X382" t="s">
        <v>7655</v>
      </c>
      <c r="Y382" t="s">
        <v>7656</v>
      </c>
      <c r="Z382" t="s">
        <v>7657</v>
      </c>
      <c r="AA382" t="s">
        <v>7658</v>
      </c>
      <c r="AB382" t="s">
        <v>7659</v>
      </c>
      <c r="AC382" t="s">
        <v>74</v>
      </c>
      <c r="AD382" t="s">
        <v>74</v>
      </c>
      <c r="AE382" t="s">
        <v>74</v>
      </c>
      <c r="AF382" t="s">
        <v>74</v>
      </c>
      <c r="AG382">
        <v>35</v>
      </c>
      <c r="AH382">
        <v>4</v>
      </c>
      <c r="AI382">
        <v>5</v>
      </c>
      <c r="AJ382">
        <v>0</v>
      </c>
      <c r="AK382">
        <v>4</v>
      </c>
      <c r="AL382" t="s">
        <v>2584</v>
      </c>
      <c r="AM382" t="s">
        <v>2585</v>
      </c>
      <c r="AN382" t="s">
        <v>2586</v>
      </c>
      <c r="AO382" t="s">
        <v>2587</v>
      </c>
      <c r="AP382" t="s">
        <v>74</v>
      </c>
      <c r="AQ382" t="s">
        <v>4414</v>
      </c>
      <c r="AR382" t="s">
        <v>2589</v>
      </c>
      <c r="AS382" t="s">
        <v>2590</v>
      </c>
      <c r="AT382" t="s">
        <v>74</v>
      </c>
      <c r="AU382">
        <v>2018</v>
      </c>
      <c r="AV382">
        <v>461</v>
      </c>
      <c r="AW382" t="s">
        <v>74</v>
      </c>
      <c r="AX382" t="s">
        <v>74</v>
      </c>
      <c r="AY382" t="s">
        <v>74</v>
      </c>
      <c r="AZ382" t="s">
        <v>74</v>
      </c>
      <c r="BA382" t="s">
        <v>74</v>
      </c>
      <c r="BB382">
        <v>215</v>
      </c>
      <c r="BC382">
        <v>230</v>
      </c>
      <c r="BD382" t="s">
        <v>74</v>
      </c>
      <c r="BE382" t="s">
        <v>7660</v>
      </c>
      <c r="BF382" t="str">
        <f>HYPERLINK("http://dx.doi.org/10.1144/SP461.16","http://dx.doi.org/10.1144/SP461.16")</f>
        <v>http://dx.doi.org/10.1144/SP461.16</v>
      </c>
      <c r="BG382" t="s">
        <v>74</v>
      </c>
      <c r="BH382" t="s">
        <v>74</v>
      </c>
      <c r="BI382">
        <v>16</v>
      </c>
      <c r="BJ382" t="s">
        <v>4416</v>
      </c>
      <c r="BK382" t="s">
        <v>1856</v>
      </c>
      <c r="BL382" t="s">
        <v>4416</v>
      </c>
      <c r="BM382" t="s">
        <v>4417</v>
      </c>
      <c r="BN382" t="s">
        <v>74</v>
      </c>
      <c r="BO382" t="s">
        <v>74</v>
      </c>
      <c r="BP382" t="s">
        <v>74</v>
      </c>
      <c r="BQ382" t="s">
        <v>74</v>
      </c>
      <c r="BR382" t="s">
        <v>105</v>
      </c>
      <c r="BS382" t="s">
        <v>7661</v>
      </c>
      <c r="BT382" t="str">
        <f>HYPERLINK("https%3A%2F%2Fwww.webofscience.com%2Fwos%2Fwoscc%2Ffull-record%2FWOS:000431852000016","View Full Record in Web of Science")</f>
        <v>View Full Record in Web of Science</v>
      </c>
    </row>
    <row r="383" spans="1:72" x14ac:dyDescent="0.15">
      <c r="A383" t="s">
        <v>1831</v>
      </c>
      <c r="B383" t="s">
        <v>7662</v>
      </c>
      <c r="C383" t="s">
        <v>74</v>
      </c>
      <c r="D383" t="s">
        <v>4401</v>
      </c>
      <c r="E383" t="s">
        <v>74</v>
      </c>
      <c r="F383" t="s">
        <v>7663</v>
      </c>
      <c r="G383" t="s">
        <v>74</v>
      </c>
      <c r="H383" t="s">
        <v>74</v>
      </c>
      <c r="I383" t="s">
        <v>7664</v>
      </c>
      <c r="J383" t="s">
        <v>4404</v>
      </c>
      <c r="K383" t="s">
        <v>2575</v>
      </c>
      <c r="L383" t="s">
        <v>74</v>
      </c>
      <c r="M383" t="s">
        <v>78</v>
      </c>
      <c r="N383" t="s">
        <v>1862</v>
      </c>
      <c r="O383" t="s">
        <v>74</v>
      </c>
      <c r="P383" t="s">
        <v>74</v>
      </c>
      <c r="Q383" t="s">
        <v>74</v>
      </c>
      <c r="R383" t="s">
        <v>74</v>
      </c>
      <c r="S383" t="s">
        <v>74</v>
      </c>
      <c r="T383" t="s">
        <v>74</v>
      </c>
      <c r="U383" t="s">
        <v>7665</v>
      </c>
      <c r="V383" t="s">
        <v>7666</v>
      </c>
      <c r="W383" t="s">
        <v>7667</v>
      </c>
      <c r="X383" t="s">
        <v>7668</v>
      </c>
      <c r="Y383" t="s">
        <v>7669</v>
      </c>
      <c r="Z383" t="s">
        <v>7670</v>
      </c>
      <c r="AA383" t="s">
        <v>7671</v>
      </c>
      <c r="AB383" t="s">
        <v>7672</v>
      </c>
      <c r="AC383" t="s">
        <v>7673</v>
      </c>
      <c r="AD383" t="s">
        <v>2304</v>
      </c>
      <c r="AE383" t="s">
        <v>74</v>
      </c>
      <c r="AF383" t="s">
        <v>74</v>
      </c>
      <c r="AG383">
        <v>85</v>
      </c>
      <c r="AH383">
        <v>58</v>
      </c>
      <c r="AI383">
        <v>63</v>
      </c>
      <c r="AJ383">
        <v>0</v>
      </c>
      <c r="AK383">
        <v>16</v>
      </c>
      <c r="AL383" t="s">
        <v>2584</v>
      </c>
      <c r="AM383" t="s">
        <v>2585</v>
      </c>
      <c r="AN383" t="s">
        <v>2586</v>
      </c>
      <c r="AO383" t="s">
        <v>2587</v>
      </c>
      <c r="AP383" t="s">
        <v>74</v>
      </c>
      <c r="AQ383" t="s">
        <v>4414</v>
      </c>
      <c r="AR383" t="s">
        <v>2589</v>
      </c>
      <c r="AS383" t="s">
        <v>2590</v>
      </c>
      <c r="AT383" t="s">
        <v>74</v>
      </c>
      <c r="AU383">
        <v>2018</v>
      </c>
      <c r="AV383">
        <v>461</v>
      </c>
      <c r="AW383" t="s">
        <v>74</v>
      </c>
      <c r="AX383" t="s">
        <v>74</v>
      </c>
      <c r="AY383" t="s">
        <v>74</v>
      </c>
      <c r="AZ383" t="s">
        <v>74</v>
      </c>
      <c r="BA383" t="s">
        <v>74</v>
      </c>
      <c r="BB383">
        <v>231</v>
      </c>
      <c r="BC383">
        <v>248</v>
      </c>
      <c r="BD383" t="s">
        <v>74</v>
      </c>
      <c r="BE383" t="s">
        <v>7674</v>
      </c>
      <c r="BF383" t="str">
        <f>HYPERLINK("http://dx.doi.org/10.1144/SP461.7","http://dx.doi.org/10.1144/SP461.7")</f>
        <v>http://dx.doi.org/10.1144/SP461.7</v>
      </c>
      <c r="BG383" t="s">
        <v>74</v>
      </c>
      <c r="BH383" t="s">
        <v>74</v>
      </c>
      <c r="BI383">
        <v>18</v>
      </c>
      <c r="BJ383" t="s">
        <v>4416</v>
      </c>
      <c r="BK383" t="s">
        <v>1856</v>
      </c>
      <c r="BL383" t="s">
        <v>4416</v>
      </c>
      <c r="BM383" t="s">
        <v>4417</v>
      </c>
      <c r="BN383" t="s">
        <v>74</v>
      </c>
      <c r="BO383" t="s">
        <v>7675</v>
      </c>
      <c r="BP383" t="s">
        <v>74</v>
      </c>
      <c r="BQ383" t="s">
        <v>74</v>
      </c>
      <c r="BR383" t="s">
        <v>105</v>
      </c>
      <c r="BS383" t="s">
        <v>7676</v>
      </c>
      <c r="BT383" t="str">
        <f>HYPERLINK("https%3A%2F%2Fwww.webofscience.com%2Fwos%2Fwoscc%2Ffull-record%2FWOS:000431852000017","View Full Record in Web of Science")</f>
        <v>View Full Record in Web of Science</v>
      </c>
    </row>
    <row r="384" spans="1:72" x14ac:dyDescent="0.15">
      <c r="A384" t="s">
        <v>72</v>
      </c>
      <c r="B384" t="s">
        <v>7677</v>
      </c>
      <c r="C384" t="s">
        <v>74</v>
      </c>
      <c r="D384" t="s">
        <v>74</v>
      </c>
      <c r="E384" t="s">
        <v>74</v>
      </c>
      <c r="F384" t="s">
        <v>7678</v>
      </c>
      <c r="G384" t="s">
        <v>74</v>
      </c>
      <c r="H384" t="s">
        <v>74</v>
      </c>
      <c r="I384" t="s">
        <v>7679</v>
      </c>
      <c r="J384" t="s">
        <v>7680</v>
      </c>
      <c r="K384" t="s">
        <v>74</v>
      </c>
      <c r="L384" t="s">
        <v>74</v>
      </c>
      <c r="M384" t="s">
        <v>78</v>
      </c>
      <c r="N384" t="s">
        <v>7681</v>
      </c>
      <c r="O384" t="s">
        <v>74</v>
      </c>
      <c r="P384" t="s">
        <v>74</v>
      </c>
      <c r="Q384" t="s">
        <v>74</v>
      </c>
      <c r="R384" t="s">
        <v>74</v>
      </c>
      <c r="S384" t="s">
        <v>74</v>
      </c>
      <c r="T384" t="s">
        <v>74</v>
      </c>
      <c r="U384" t="s">
        <v>74</v>
      </c>
      <c r="V384" t="s">
        <v>74</v>
      </c>
      <c r="W384" t="s">
        <v>74</v>
      </c>
      <c r="X384" t="s">
        <v>74</v>
      </c>
      <c r="Y384" t="s">
        <v>74</v>
      </c>
      <c r="Z384" t="s">
        <v>74</v>
      </c>
      <c r="AA384" t="s">
        <v>74</v>
      </c>
      <c r="AB384" t="s">
        <v>74</v>
      </c>
      <c r="AC384" t="s">
        <v>74</v>
      </c>
      <c r="AD384" t="s">
        <v>74</v>
      </c>
      <c r="AE384" t="s">
        <v>74</v>
      </c>
      <c r="AF384" t="s">
        <v>74</v>
      </c>
      <c r="AG384">
        <v>1</v>
      </c>
      <c r="AH384">
        <v>0</v>
      </c>
      <c r="AI384">
        <v>0</v>
      </c>
      <c r="AJ384">
        <v>0</v>
      </c>
      <c r="AK384">
        <v>2</v>
      </c>
      <c r="AL384" t="s">
        <v>1700</v>
      </c>
      <c r="AM384" t="s">
        <v>1701</v>
      </c>
      <c r="AN384" t="s">
        <v>1702</v>
      </c>
      <c r="AO384" t="s">
        <v>7682</v>
      </c>
      <c r="AP384" t="s">
        <v>7683</v>
      </c>
      <c r="AQ384" t="s">
        <v>74</v>
      </c>
      <c r="AR384" t="s">
        <v>7684</v>
      </c>
      <c r="AS384" t="s">
        <v>7685</v>
      </c>
      <c r="AT384" t="s">
        <v>74</v>
      </c>
      <c r="AU384">
        <v>2018</v>
      </c>
      <c r="AV384">
        <v>53</v>
      </c>
      <c r="AW384">
        <v>2</v>
      </c>
      <c r="AX384" t="s">
        <v>74</v>
      </c>
      <c r="AY384" t="s">
        <v>74</v>
      </c>
      <c r="AZ384" t="s">
        <v>74</v>
      </c>
      <c r="BA384" t="s">
        <v>74</v>
      </c>
      <c r="BB384">
        <v>244</v>
      </c>
      <c r="BC384">
        <v>244</v>
      </c>
      <c r="BD384" t="s">
        <v>74</v>
      </c>
      <c r="BE384" t="s">
        <v>7686</v>
      </c>
      <c r="BF384" t="str">
        <f>HYPERLINK("http://dx.doi.org/10.1080/09670262.2018.1467118","http://dx.doi.org/10.1080/09670262.2018.1467118")</f>
        <v>http://dx.doi.org/10.1080/09670262.2018.1467118</v>
      </c>
      <c r="BG384" t="s">
        <v>74</v>
      </c>
      <c r="BH384" t="s">
        <v>74</v>
      </c>
      <c r="BI384">
        <v>1</v>
      </c>
      <c r="BJ384" t="s">
        <v>7687</v>
      </c>
      <c r="BK384" t="s">
        <v>101</v>
      </c>
      <c r="BL384" t="s">
        <v>7687</v>
      </c>
      <c r="BM384" t="s">
        <v>7688</v>
      </c>
      <c r="BN384" t="s">
        <v>74</v>
      </c>
      <c r="BO384" t="s">
        <v>306</v>
      </c>
      <c r="BP384" t="s">
        <v>74</v>
      </c>
      <c r="BQ384" t="s">
        <v>74</v>
      </c>
      <c r="BR384" t="s">
        <v>105</v>
      </c>
      <c r="BS384" t="s">
        <v>7689</v>
      </c>
      <c r="BT384" t="str">
        <f>HYPERLINK("https%3A%2F%2Fwww.webofscience.com%2Fwos%2Fwoscc%2Ffull-record%2FWOS:000431546100013","View Full Record in Web of Science")</f>
        <v>View Full Record in Web of Science</v>
      </c>
    </row>
    <row r="385" spans="1:72" x14ac:dyDescent="0.15">
      <c r="A385" t="s">
        <v>72</v>
      </c>
      <c r="B385" t="s">
        <v>7690</v>
      </c>
      <c r="C385" t="s">
        <v>74</v>
      </c>
      <c r="D385" t="s">
        <v>74</v>
      </c>
      <c r="E385" t="s">
        <v>74</v>
      </c>
      <c r="F385" t="s">
        <v>7691</v>
      </c>
      <c r="G385" t="s">
        <v>74</v>
      </c>
      <c r="H385" t="s">
        <v>74</v>
      </c>
      <c r="I385" t="s">
        <v>7692</v>
      </c>
      <c r="J385" t="s">
        <v>4035</v>
      </c>
      <c r="K385" t="s">
        <v>74</v>
      </c>
      <c r="L385" t="s">
        <v>74</v>
      </c>
      <c r="M385" t="s">
        <v>78</v>
      </c>
      <c r="N385" t="s">
        <v>79</v>
      </c>
      <c r="O385" t="s">
        <v>74</v>
      </c>
      <c r="P385" t="s">
        <v>74</v>
      </c>
      <c r="Q385" t="s">
        <v>74</v>
      </c>
      <c r="R385" t="s">
        <v>74</v>
      </c>
      <c r="S385" t="s">
        <v>74</v>
      </c>
      <c r="T385" t="s">
        <v>7693</v>
      </c>
      <c r="U385" t="s">
        <v>74</v>
      </c>
      <c r="V385" t="s">
        <v>7694</v>
      </c>
      <c r="W385" t="s">
        <v>7695</v>
      </c>
      <c r="X385" t="s">
        <v>7696</v>
      </c>
      <c r="Y385" t="s">
        <v>7697</v>
      </c>
      <c r="Z385" t="s">
        <v>7698</v>
      </c>
      <c r="AA385" t="s">
        <v>7699</v>
      </c>
      <c r="AB385" t="s">
        <v>74</v>
      </c>
      <c r="AC385" t="s">
        <v>74</v>
      </c>
      <c r="AD385" t="s">
        <v>74</v>
      </c>
      <c r="AE385" t="s">
        <v>74</v>
      </c>
      <c r="AF385" t="s">
        <v>74</v>
      </c>
      <c r="AG385">
        <v>1</v>
      </c>
      <c r="AH385">
        <v>2</v>
      </c>
      <c r="AI385">
        <v>2</v>
      </c>
      <c r="AJ385">
        <v>1</v>
      </c>
      <c r="AK385">
        <v>18</v>
      </c>
      <c r="AL385" t="s">
        <v>4040</v>
      </c>
      <c r="AM385" t="s">
        <v>92</v>
      </c>
      <c r="AN385" t="s">
        <v>4041</v>
      </c>
      <c r="AO385" t="s">
        <v>4042</v>
      </c>
      <c r="AP385" t="s">
        <v>4043</v>
      </c>
      <c r="AQ385" t="s">
        <v>74</v>
      </c>
      <c r="AR385" t="s">
        <v>4044</v>
      </c>
      <c r="AS385" t="s">
        <v>4045</v>
      </c>
      <c r="AT385" t="s">
        <v>74</v>
      </c>
      <c r="AU385">
        <v>2018</v>
      </c>
      <c r="AV385">
        <v>74</v>
      </c>
      <c r="AW385">
        <v>3</v>
      </c>
      <c r="AX385" t="s">
        <v>74</v>
      </c>
      <c r="AY385" t="s">
        <v>74</v>
      </c>
      <c r="AZ385" t="s">
        <v>1146</v>
      </c>
      <c r="BA385" t="s">
        <v>74</v>
      </c>
      <c r="BB385">
        <v>142</v>
      </c>
      <c r="BC385">
        <v>147</v>
      </c>
      <c r="BD385" t="s">
        <v>74</v>
      </c>
      <c r="BE385" t="s">
        <v>7700</v>
      </c>
      <c r="BF385" t="str">
        <f>HYPERLINK("http://dx.doi.org/10.1080/00963402.2018.1461935","http://dx.doi.org/10.1080/00963402.2018.1461935")</f>
        <v>http://dx.doi.org/10.1080/00963402.2018.1461935</v>
      </c>
      <c r="BG385" t="s">
        <v>74</v>
      </c>
      <c r="BH385" t="s">
        <v>74</v>
      </c>
      <c r="BI385">
        <v>6</v>
      </c>
      <c r="BJ385" t="s">
        <v>4047</v>
      </c>
      <c r="BK385" t="s">
        <v>3136</v>
      </c>
      <c r="BL385" t="s">
        <v>4047</v>
      </c>
      <c r="BM385" t="s">
        <v>4048</v>
      </c>
      <c r="BN385" t="s">
        <v>74</v>
      </c>
      <c r="BO385" t="s">
        <v>74</v>
      </c>
      <c r="BP385" t="s">
        <v>74</v>
      </c>
      <c r="BQ385" t="s">
        <v>74</v>
      </c>
      <c r="BR385" t="s">
        <v>105</v>
      </c>
      <c r="BS385" t="s">
        <v>7701</v>
      </c>
      <c r="BT385" t="str">
        <f>HYPERLINK("https%3A%2F%2Fwww.webofscience.com%2Fwos%2Fwoscc%2Ffull-record%2FWOS:000431526800002","View Full Record in Web of Science")</f>
        <v>View Full Record in Web of Science</v>
      </c>
    </row>
    <row r="386" spans="1:72" x14ac:dyDescent="0.15">
      <c r="A386" t="s">
        <v>72</v>
      </c>
      <c r="B386" t="s">
        <v>7702</v>
      </c>
      <c r="C386" t="s">
        <v>74</v>
      </c>
      <c r="D386" t="s">
        <v>74</v>
      </c>
      <c r="E386" t="s">
        <v>74</v>
      </c>
      <c r="F386" t="s">
        <v>7703</v>
      </c>
      <c r="G386" t="s">
        <v>74</v>
      </c>
      <c r="H386" t="s">
        <v>74</v>
      </c>
      <c r="I386" t="s">
        <v>7704</v>
      </c>
      <c r="J386" t="s">
        <v>7705</v>
      </c>
      <c r="K386" t="s">
        <v>74</v>
      </c>
      <c r="L386" t="s">
        <v>74</v>
      </c>
      <c r="M386" t="s">
        <v>78</v>
      </c>
      <c r="N386" t="s">
        <v>79</v>
      </c>
      <c r="O386" t="s">
        <v>74</v>
      </c>
      <c r="P386" t="s">
        <v>74</v>
      </c>
      <c r="Q386" t="s">
        <v>74</v>
      </c>
      <c r="R386" t="s">
        <v>74</v>
      </c>
      <c r="S386" t="s">
        <v>74</v>
      </c>
      <c r="T386" t="s">
        <v>7706</v>
      </c>
      <c r="U386" t="s">
        <v>7707</v>
      </c>
      <c r="V386" t="s">
        <v>7708</v>
      </c>
      <c r="W386" t="s">
        <v>7709</v>
      </c>
      <c r="X386" t="s">
        <v>7710</v>
      </c>
      <c r="Y386" t="s">
        <v>7711</v>
      </c>
      <c r="Z386" t="s">
        <v>7712</v>
      </c>
      <c r="AA386" t="s">
        <v>7713</v>
      </c>
      <c r="AB386" t="s">
        <v>7714</v>
      </c>
      <c r="AC386" t="s">
        <v>7715</v>
      </c>
      <c r="AD386" t="s">
        <v>7716</v>
      </c>
      <c r="AE386" t="s">
        <v>7717</v>
      </c>
      <c r="AF386" t="s">
        <v>74</v>
      </c>
      <c r="AG386">
        <v>78</v>
      </c>
      <c r="AH386">
        <v>18</v>
      </c>
      <c r="AI386">
        <v>18</v>
      </c>
      <c r="AJ386">
        <v>0</v>
      </c>
      <c r="AK386">
        <v>4</v>
      </c>
      <c r="AL386" t="s">
        <v>4791</v>
      </c>
      <c r="AM386" t="s">
        <v>4792</v>
      </c>
      <c r="AN386" t="s">
        <v>4793</v>
      </c>
      <c r="AO386" t="s">
        <v>7718</v>
      </c>
      <c r="AP386" t="s">
        <v>7719</v>
      </c>
      <c r="AQ386" t="s">
        <v>74</v>
      </c>
      <c r="AR386" t="s">
        <v>7720</v>
      </c>
      <c r="AS386" t="s">
        <v>7721</v>
      </c>
      <c r="AT386" t="s">
        <v>74</v>
      </c>
      <c r="AU386">
        <v>2018</v>
      </c>
      <c r="AV386">
        <v>25</v>
      </c>
      <c r="AW386" t="s">
        <v>7722</v>
      </c>
      <c r="AX386" t="s">
        <v>74</v>
      </c>
      <c r="AY386" t="s">
        <v>74</v>
      </c>
      <c r="AZ386" t="s">
        <v>1146</v>
      </c>
      <c r="BA386" t="s">
        <v>74</v>
      </c>
      <c r="BB386">
        <v>138</v>
      </c>
      <c r="BC386">
        <v>149</v>
      </c>
      <c r="BD386" t="s">
        <v>74</v>
      </c>
      <c r="BE386" t="s">
        <v>7723</v>
      </c>
      <c r="BF386" t="str">
        <f>HYPERLINK("http://dx.doi.org/10.1080/10420940.2017.1292909","http://dx.doi.org/10.1080/10420940.2017.1292909")</f>
        <v>http://dx.doi.org/10.1080/10420940.2017.1292909</v>
      </c>
      <c r="BG386" t="s">
        <v>74</v>
      </c>
      <c r="BH386" t="s">
        <v>74</v>
      </c>
      <c r="BI386">
        <v>12</v>
      </c>
      <c r="BJ386" t="s">
        <v>1496</v>
      </c>
      <c r="BK386" t="s">
        <v>101</v>
      </c>
      <c r="BL386" t="s">
        <v>1496</v>
      </c>
      <c r="BM386" t="s">
        <v>7724</v>
      </c>
      <c r="BN386" t="s">
        <v>74</v>
      </c>
      <c r="BO386" t="s">
        <v>74</v>
      </c>
      <c r="BP386" t="s">
        <v>74</v>
      </c>
      <c r="BQ386" t="s">
        <v>74</v>
      </c>
      <c r="BR386" t="s">
        <v>105</v>
      </c>
      <c r="BS386" t="s">
        <v>7725</v>
      </c>
      <c r="BT386" t="str">
        <f>HYPERLINK("https%3A%2F%2Fwww.webofscience.com%2Fwos%2Fwoscc%2Ffull-record%2FWOS:000430848800007","View Full Record in Web of Science")</f>
        <v>View Full Record in Web of Science</v>
      </c>
    </row>
    <row r="387" spans="1:72" x14ac:dyDescent="0.15">
      <c r="A387" t="s">
        <v>72</v>
      </c>
      <c r="B387" t="s">
        <v>7726</v>
      </c>
      <c r="C387" t="s">
        <v>74</v>
      </c>
      <c r="D387" t="s">
        <v>74</v>
      </c>
      <c r="E387" t="s">
        <v>74</v>
      </c>
      <c r="F387" t="s">
        <v>7727</v>
      </c>
      <c r="G387" t="s">
        <v>74</v>
      </c>
      <c r="H387" t="s">
        <v>74</v>
      </c>
      <c r="I387" t="s">
        <v>7728</v>
      </c>
      <c r="J387" t="s">
        <v>7729</v>
      </c>
      <c r="K387" t="s">
        <v>74</v>
      </c>
      <c r="L387" t="s">
        <v>74</v>
      </c>
      <c r="M387" t="s">
        <v>78</v>
      </c>
      <c r="N387" t="s">
        <v>79</v>
      </c>
      <c r="O387" t="s">
        <v>74</v>
      </c>
      <c r="P387" t="s">
        <v>74</v>
      </c>
      <c r="Q387" t="s">
        <v>74</v>
      </c>
      <c r="R387" t="s">
        <v>74</v>
      </c>
      <c r="S387" t="s">
        <v>74</v>
      </c>
      <c r="T387" t="s">
        <v>7730</v>
      </c>
      <c r="U387" t="s">
        <v>7731</v>
      </c>
      <c r="V387" t="s">
        <v>7732</v>
      </c>
      <c r="W387" t="s">
        <v>7733</v>
      </c>
      <c r="X387" t="s">
        <v>2320</v>
      </c>
      <c r="Y387" t="s">
        <v>7734</v>
      </c>
      <c r="Z387" t="s">
        <v>7735</v>
      </c>
      <c r="AA387" t="s">
        <v>7736</v>
      </c>
      <c r="AB387" t="s">
        <v>7737</v>
      </c>
      <c r="AC387" t="s">
        <v>7738</v>
      </c>
      <c r="AD387" t="s">
        <v>7739</v>
      </c>
      <c r="AE387" t="s">
        <v>7740</v>
      </c>
      <c r="AF387" t="s">
        <v>74</v>
      </c>
      <c r="AG387">
        <v>20</v>
      </c>
      <c r="AH387">
        <v>3</v>
      </c>
      <c r="AI387">
        <v>6</v>
      </c>
      <c r="AJ387">
        <v>0</v>
      </c>
      <c r="AK387">
        <v>3</v>
      </c>
      <c r="AL387" t="s">
        <v>7741</v>
      </c>
      <c r="AM387" t="s">
        <v>2992</v>
      </c>
      <c r="AN387" t="s">
        <v>7742</v>
      </c>
      <c r="AO387" t="s">
        <v>7743</v>
      </c>
      <c r="AP387" t="s">
        <v>7744</v>
      </c>
      <c r="AQ387" t="s">
        <v>74</v>
      </c>
      <c r="AR387" t="s">
        <v>7745</v>
      </c>
      <c r="AS387" t="s">
        <v>7746</v>
      </c>
      <c r="AT387" t="s">
        <v>2468</v>
      </c>
      <c r="AU387">
        <v>2018</v>
      </c>
      <c r="AV387">
        <v>58</v>
      </c>
      <c r="AW387">
        <v>1</v>
      </c>
      <c r="AX387" t="s">
        <v>74</v>
      </c>
      <c r="AY387" t="s">
        <v>74</v>
      </c>
      <c r="AZ387" t="s">
        <v>74</v>
      </c>
      <c r="BA387" t="s">
        <v>74</v>
      </c>
      <c r="BB387">
        <v>104</v>
      </c>
      <c r="BC387">
        <v>112</v>
      </c>
      <c r="BD387" t="s">
        <v>74</v>
      </c>
      <c r="BE387" t="s">
        <v>7747</v>
      </c>
      <c r="BF387" t="str">
        <f>HYPERLINK("http://dx.doi.org/10.1134/S0032945218010149","http://dx.doi.org/10.1134/S0032945218010149")</f>
        <v>http://dx.doi.org/10.1134/S0032945218010149</v>
      </c>
      <c r="BG387" t="s">
        <v>74</v>
      </c>
      <c r="BH387" t="s">
        <v>74</v>
      </c>
      <c r="BI387">
        <v>9</v>
      </c>
      <c r="BJ387" t="s">
        <v>7748</v>
      </c>
      <c r="BK387" t="s">
        <v>101</v>
      </c>
      <c r="BL387" t="s">
        <v>7748</v>
      </c>
      <c r="BM387" t="s">
        <v>7749</v>
      </c>
      <c r="BN387" t="s">
        <v>74</v>
      </c>
      <c r="BO387" t="s">
        <v>74</v>
      </c>
      <c r="BP387" t="s">
        <v>74</v>
      </c>
      <c r="BQ387" t="s">
        <v>74</v>
      </c>
      <c r="BR387" t="s">
        <v>105</v>
      </c>
      <c r="BS387" t="s">
        <v>7750</v>
      </c>
      <c r="BT387" t="str">
        <f>HYPERLINK("https%3A%2F%2Fwww.webofscience.com%2Fwos%2Fwoscc%2Ffull-record%2FWOS:000431598100011","View Full Record in Web of Science")</f>
        <v>View Full Record in Web of Science</v>
      </c>
    </row>
    <row r="388" spans="1:72" x14ac:dyDescent="0.15">
      <c r="A388" t="s">
        <v>1831</v>
      </c>
      <c r="B388" t="s">
        <v>7751</v>
      </c>
      <c r="C388" t="s">
        <v>74</v>
      </c>
      <c r="D388" t="s">
        <v>7752</v>
      </c>
      <c r="E388" t="s">
        <v>74</v>
      </c>
      <c r="F388" t="s">
        <v>7753</v>
      </c>
      <c r="G388" t="s">
        <v>74</v>
      </c>
      <c r="H388" t="s">
        <v>74</v>
      </c>
      <c r="I388" t="s">
        <v>7754</v>
      </c>
      <c r="J388" t="s">
        <v>7755</v>
      </c>
      <c r="K388" t="s">
        <v>7756</v>
      </c>
      <c r="L388" t="s">
        <v>74</v>
      </c>
      <c r="M388" t="s">
        <v>78</v>
      </c>
      <c r="N388" t="s">
        <v>1862</v>
      </c>
      <c r="O388" t="s">
        <v>74</v>
      </c>
      <c r="P388" t="s">
        <v>74</v>
      </c>
      <c r="Q388" t="s">
        <v>74</v>
      </c>
      <c r="R388" t="s">
        <v>74</v>
      </c>
      <c r="S388" t="s">
        <v>74</v>
      </c>
      <c r="T388" t="s">
        <v>74</v>
      </c>
      <c r="U388" t="s">
        <v>7757</v>
      </c>
      <c r="V388" t="s">
        <v>7758</v>
      </c>
      <c r="W388" t="s">
        <v>7759</v>
      </c>
      <c r="X388" t="s">
        <v>7760</v>
      </c>
      <c r="Y388" t="s">
        <v>7761</v>
      </c>
      <c r="Z388" t="s">
        <v>7762</v>
      </c>
      <c r="AA388" t="s">
        <v>7763</v>
      </c>
      <c r="AB388" t="s">
        <v>7764</v>
      </c>
      <c r="AC388" t="s">
        <v>74</v>
      </c>
      <c r="AD388" t="s">
        <v>74</v>
      </c>
      <c r="AE388" t="s">
        <v>74</v>
      </c>
      <c r="AF388" t="s">
        <v>74</v>
      </c>
      <c r="AG388">
        <v>127</v>
      </c>
      <c r="AH388">
        <v>11</v>
      </c>
      <c r="AI388">
        <v>11</v>
      </c>
      <c r="AJ388">
        <v>0</v>
      </c>
      <c r="AK388">
        <v>5</v>
      </c>
      <c r="AL388" t="s">
        <v>1898</v>
      </c>
      <c r="AM388" t="s">
        <v>1899</v>
      </c>
      <c r="AN388" t="s">
        <v>1900</v>
      </c>
      <c r="AO388" t="s">
        <v>7765</v>
      </c>
      <c r="AP388" t="s">
        <v>74</v>
      </c>
      <c r="AQ388" t="s">
        <v>7766</v>
      </c>
      <c r="AR388" t="s">
        <v>7767</v>
      </c>
      <c r="AS388" t="s">
        <v>74</v>
      </c>
      <c r="AT388" t="s">
        <v>74</v>
      </c>
      <c r="AU388">
        <v>2018</v>
      </c>
      <c r="AV388" t="s">
        <v>74</v>
      </c>
      <c r="AW388" t="s">
        <v>74</v>
      </c>
      <c r="AX388" t="s">
        <v>74</v>
      </c>
      <c r="AY388" t="s">
        <v>74</v>
      </c>
      <c r="AZ388" t="s">
        <v>74</v>
      </c>
      <c r="BA388" t="s">
        <v>74</v>
      </c>
      <c r="BB388">
        <v>207</v>
      </c>
      <c r="BC388">
        <v>234</v>
      </c>
      <c r="BD388" t="s">
        <v>74</v>
      </c>
      <c r="BE388" t="s">
        <v>7768</v>
      </c>
      <c r="BF388" t="str">
        <f>HYPERLINK("http://dx.doi.org/10.1007/978-3-319-57852-1_12","http://dx.doi.org/10.1007/978-3-319-57852-1_12")</f>
        <v>http://dx.doi.org/10.1007/978-3-319-57852-1_12</v>
      </c>
      <c r="BG388" t="s">
        <v>7769</v>
      </c>
      <c r="BH388" t="s">
        <v>74</v>
      </c>
      <c r="BI388">
        <v>28</v>
      </c>
      <c r="BJ388" t="s">
        <v>7770</v>
      </c>
      <c r="BK388" t="s">
        <v>1856</v>
      </c>
      <c r="BL388" t="s">
        <v>7771</v>
      </c>
      <c r="BM388" t="s">
        <v>7772</v>
      </c>
      <c r="BN388" t="s">
        <v>74</v>
      </c>
      <c r="BO388" t="s">
        <v>74</v>
      </c>
      <c r="BP388" t="s">
        <v>74</v>
      </c>
      <c r="BQ388" t="s">
        <v>74</v>
      </c>
      <c r="BR388" t="s">
        <v>105</v>
      </c>
      <c r="BS388" t="s">
        <v>7773</v>
      </c>
      <c r="BT388" t="str">
        <f>HYPERLINK("https%3A%2F%2Fwww.webofscience.com%2Fwos%2Fwoscc%2Ffull-record%2FWOS:000429825400013","View Full Record in Web of Science")</f>
        <v>View Full Record in Web of Science</v>
      </c>
    </row>
    <row r="389" spans="1:72" x14ac:dyDescent="0.15">
      <c r="A389" t="s">
        <v>72</v>
      </c>
      <c r="B389" t="s">
        <v>7774</v>
      </c>
      <c r="C389" t="s">
        <v>74</v>
      </c>
      <c r="D389" t="s">
        <v>74</v>
      </c>
      <c r="E389" t="s">
        <v>74</v>
      </c>
      <c r="F389" t="s">
        <v>7775</v>
      </c>
      <c r="G389" t="s">
        <v>74</v>
      </c>
      <c r="H389" t="s">
        <v>74</v>
      </c>
      <c r="I389" t="s">
        <v>7776</v>
      </c>
      <c r="J389" t="s">
        <v>7777</v>
      </c>
      <c r="K389" t="s">
        <v>74</v>
      </c>
      <c r="L389" t="s">
        <v>74</v>
      </c>
      <c r="M389" t="s">
        <v>78</v>
      </c>
      <c r="N389" t="s">
        <v>79</v>
      </c>
      <c r="O389" t="s">
        <v>74</v>
      </c>
      <c r="P389" t="s">
        <v>74</v>
      </c>
      <c r="Q389" t="s">
        <v>74</v>
      </c>
      <c r="R389" t="s">
        <v>74</v>
      </c>
      <c r="S389" t="s">
        <v>74</v>
      </c>
      <c r="T389" t="s">
        <v>7778</v>
      </c>
      <c r="U389" t="s">
        <v>7779</v>
      </c>
      <c r="V389" t="s">
        <v>7780</v>
      </c>
      <c r="W389" t="s">
        <v>7781</v>
      </c>
      <c r="X389" t="s">
        <v>7782</v>
      </c>
      <c r="Y389" t="s">
        <v>7783</v>
      </c>
      <c r="Z389" t="s">
        <v>7784</v>
      </c>
      <c r="AA389" t="s">
        <v>7785</v>
      </c>
      <c r="AB389" t="s">
        <v>7786</v>
      </c>
      <c r="AC389" t="s">
        <v>7787</v>
      </c>
      <c r="AD389" t="s">
        <v>7788</v>
      </c>
      <c r="AE389" t="s">
        <v>7789</v>
      </c>
      <c r="AF389" t="s">
        <v>74</v>
      </c>
      <c r="AG389">
        <v>45</v>
      </c>
      <c r="AH389">
        <v>12</v>
      </c>
      <c r="AI389">
        <v>12</v>
      </c>
      <c r="AJ389">
        <v>12</v>
      </c>
      <c r="AK389">
        <v>67</v>
      </c>
      <c r="AL389" t="s">
        <v>4791</v>
      </c>
      <c r="AM389" t="s">
        <v>4792</v>
      </c>
      <c r="AN389" t="s">
        <v>4793</v>
      </c>
      <c r="AO389" t="s">
        <v>7790</v>
      </c>
      <c r="AP389" t="s">
        <v>7791</v>
      </c>
      <c r="AQ389" t="s">
        <v>74</v>
      </c>
      <c r="AR389" t="s">
        <v>7792</v>
      </c>
      <c r="AS389" t="s">
        <v>7793</v>
      </c>
      <c r="AT389" t="s">
        <v>74</v>
      </c>
      <c r="AU389">
        <v>2018</v>
      </c>
      <c r="AV389">
        <v>27</v>
      </c>
      <c r="AW389">
        <v>3</v>
      </c>
      <c r="AX389" t="s">
        <v>74</v>
      </c>
      <c r="AY389" t="s">
        <v>74</v>
      </c>
      <c r="AZ389" t="s">
        <v>74</v>
      </c>
      <c r="BA389" t="s">
        <v>74</v>
      </c>
      <c r="BB389">
        <v>292</v>
      </c>
      <c r="BC389">
        <v>304</v>
      </c>
      <c r="BD389" t="s">
        <v>74</v>
      </c>
      <c r="BE389" t="s">
        <v>7794</v>
      </c>
      <c r="BF389" t="str">
        <f>HYPERLINK("http://dx.doi.org/10.1080/10498850.2018.1428706","http://dx.doi.org/10.1080/10498850.2018.1428706")</f>
        <v>http://dx.doi.org/10.1080/10498850.2018.1428706</v>
      </c>
      <c r="BG389" t="s">
        <v>74</v>
      </c>
      <c r="BH389" t="s">
        <v>74</v>
      </c>
      <c r="BI389">
        <v>13</v>
      </c>
      <c r="BJ389" t="s">
        <v>4481</v>
      </c>
      <c r="BK389" t="s">
        <v>101</v>
      </c>
      <c r="BL389" t="s">
        <v>4481</v>
      </c>
      <c r="BM389" t="s">
        <v>7795</v>
      </c>
      <c r="BN389" t="s">
        <v>74</v>
      </c>
      <c r="BO389" t="s">
        <v>74</v>
      </c>
      <c r="BP389" t="s">
        <v>74</v>
      </c>
      <c r="BQ389" t="s">
        <v>74</v>
      </c>
      <c r="BR389" t="s">
        <v>105</v>
      </c>
      <c r="BS389" t="s">
        <v>7796</v>
      </c>
      <c r="BT389" t="str">
        <f>HYPERLINK("https%3A%2F%2Fwww.webofscience.com%2Fwos%2Fwoscc%2Ffull-record%2FWOS:000431062200004","View Full Record in Web of Science")</f>
        <v>View Full Record in Web of Science</v>
      </c>
    </row>
    <row r="390" spans="1:72" x14ac:dyDescent="0.15">
      <c r="A390" t="s">
        <v>72</v>
      </c>
      <c r="B390" t="s">
        <v>7797</v>
      </c>
      <c r="C390" t="s">
        <v>74</v>
      </c>
      <c r="D390" t="s">
        <v>74</v>
      </c>
      <c r="E390" t="s">
        <v>74</v>
      </c>
      <c r="F390" t="s">
        <v>7798</v>
      </c>
      <c r="G390" t="s">
        <v>74</v>
      </c>
      <c r="H390" t="s">
        <v>74</v>
      </c>
      <c r="I390" t="s">
        <v>7799</v>
      </c>
      <c r="J390" t="s">
        <v>7800</v>
      </c>
      <c r="K390" t="s">
        <v>74</v>
      </c>
      <c r="L390" t="s">
        <v>74</v>
      </c>
      <c r="M390" t="s">
        <v>78</v>
      </c>
      <c r="N390" t="s">
        <v>79</v>
      </c>
      <c r="O390" t="s">
        <v>74</v>
      </c>
      <c r="P390" t="s">
        <v>74</v>
      </c>
      <c r="Q390" t="s">
        <v>74</v>
      </c>
      <c r="R390" t="s">
        <v>74</v>
      </c>
      <c r="S390" t="s">
        <v>74</v>
      </c>
      <c r="T390" t="s">
        <v>7801</v>
      </c>
      <c r="U390" t="s">
        <v>7802</v>
      </c>
      <c r="V390" t="s">
        <v>7803</v>
      </c>
      <c r="W390" t="s">
        <v>7804</v>
      </c>
      <c r="X390" t="s">
        <v>7805</v>
      </c>
      <c r="Y390" t="s">
        <v>7806</v>
      </c>
      <c r="Z390" t="s">
        <v>7807</v>
      </c>
      <c r="AA390" t="s">
        <v>7808</v>
      </c>
      <c r="AB390" t="s">
        <v>7809</v>
      </c>
      <c r="AC390" t="s">
        <v>7810</v>
      </c>
      <c r="AD390" t="s">
        <v>7811</v>
      </c>
      <c r="AE390" t="s">
        <v>7812</v>
      </c>
      <c r="AF390" t="s">
        <v>74</v>
      </c>
      <c r="AG390">
        <v>58</v>
      </c>
      <c r="AH390">
        <v>4</v>
      </c>
      <c r="AI390">
        <v>4</v>
      </c>
      <c r="AJ390">
        <v>0</v>
      </c>
      <c r="AK390">
        <v>21</v>
      </c>
      <c r="AL390" t="s">
        <v>7813</v>
      </c>
      <c r="AM390" t="s">
        <v>7814</v>
      </c>
      <c r="AN390" t="s">
        <v>7815</v>
      </c>
      <c r="AO390" t="s">
        <v>7816</v>
      </c>
      <c r="AP390" t="s">
        <v>7817</v>
      </c>
      <c r="AQ390" t="s">
        <v>74</v>
      </c>
      <c r="AR390" t="s">
        <v>7818</v>
      </c>
      <c r="AS390" t="s">
        <v>7819</v>
      </c>
      <c r="AT390" t="s">
        <v>74</v>
      </c>
      <c r="AU390">
        <v>2018</v>
      </c>
      <c r="AV390">
        <v>13</v>
      </c>
      <c r="AW390">
        <v>2</v>
      </c>
      <c r="AX390" t="s">
        <v>74</v>
      </c>
      <c r="AY390" t="s">
        <v>74</v>
      </c>
      <c r="AZ390" t="s">
        <v>74</v>
      </c>
      <c r="BA390" t="s">
        <v>74</v>
      </c>
      <c r="BB390">
        <v>61</v>
      </c>
      <c r="BC390">
        <v>73</v>
      </c>
      <c r="BD390" t="s">
        <v>74</v>
      </c>
      <c r="BE390" t="s">
        <v>7820</v>
      </c>
      <c r="BF390" t="str">
        <f>HYPERLINK("http://dx.doi.org/10.17221/231/2016-SWR","http://dx.doi.org/10.17221/231/2016-SWR")</f>
        <v>http://dx.doi.org/10.17221/231/2016-SWR</v>
      </c>
      <c r="BG390" t="s">
        <v>74</v>
      </c>
      <c r="BH390" t="s">
        <v>74</v>
      </c>
      <c r="BI390">
        <v>13</v>
      </c>
      <c r="BJ390" t="s">
        <v>7821</v>
      </c>
      <c r="BK390" t="s">
        <v>101</v>
      </c>
      <c r="BL390" t="s">
        <v>7822</v>
      </c>
      <c r="BM390" t="s">
        <v>7823</v>
      </c>
      <c r="BN390" t="s">
        <v>74</v>
      </c>
      <c r="BO390" t="s">
        <v>160</v>
      </c>
      <c r="BP390" t="s">
        <v>74</v>
      </c>
      <c r="BQ390" t="s">
        <v>74</v>
      </c>
      <c r="BR390" t="s">
        <v>105</v>
      </c>
      <c r="BS390" t="s">
        <v>7824</v>
      </c>
      <c r="BT390" t="str">
        <f>HYPERLINK("https%3A%2F%2Fwww.webofscience.com%2Fwos%2Fwoscc%2Ffull-record%2FWOS:000430186300001","View Full Record in Web of Science")</f>
        <v>View Full Record in Web of Science</v>
      </c>
    </row>
    <row r="391" spans="1:72" x14ac:dyDescent="0.15">
      <c r="A391" t="s">
        <v>72</v>
      </c>
      <c r="B391" t="s">
        <v>7825</v>
      </c>
      <c r="C391" t="s">
        <v>74</v>
      </c>
      <c r="D391" t="s">
        <v>74</v>
      </c>
      <c r="E391" t="s">
        <v>74</v>
      </c>
      <c r="F391" t="s">
        <v>7826</v>
      </c>
      <c r="G391" t="s">
        <v>74</v>
      </c>
      <c r="H391" t="s">
        <v>74</v>
      </c>
      <c r="I391" t="s">
        <v>7827</v>
      </c>
      <c r="J391" t="s">
        <v>7828</v>
      </c>
      <c r="K391" t="s">
        <v>74</v>
      </c>
      <c r="L391" t="s">
        <v>74</v>
      </c>
      <c r="M391" t="s">
        <v>78</v>
      </c>
      <c r="N391" t="s">
        <v>52</v>
      </c>
      <c r="O391" t="s">
        <v>74</v>
      </c>
      <c r="P391" t="s">
        <v>74</v>
      </c>
      <c r="Q391" t="s">
        <v>74</v>
      </c>
      <c r="R391" t="s">
        <v>74</v>
      </c>
      <c r="S391" t="s">
        <v>74</v>
      </c>
      <c r="T391" t="s">
        <v>74</v>
      </c>
      <c r="U391" t="s">
        <v>74</v>
      </c>
      <c r="V391" t="s">
        <v>74</v>
      </c>
      <c r="W391" t="s">
        <v>7829</v>
      </c>
      <c r="X391" t="s">
        <v>7830</v>
      </c>
      <c r="Y391" t="s">
        <v>74</v>
      </c>
      <c r="Z391" t="s">
        <v>74</v>
      </c>
      <c r="AA391" t="s">
        <v>7831</v>
      </c>
      <c r="AB391" t="s">
        <v>74</v>
      </c>
      <c r="AC391" t="s">
        <v>74</v>
      </c>
      <c r="AD391" t="s">
        <v>74</v>
      </c>
      <c r="AE391" t="s">
        <v>74</v>
      </c>
      <c r="AF391" t="s">
        <v>74</v>
      </c>
      <c r="AG391">
        <v>0</v>
      </c>
      <c r="AH391">
        <v>0</v>
      </c>
      <c r="AI391">
        <v>0</v>
      </c>
      <c r="AJ391">
        <v>0</v>
      </c>
      <c r="AK391">
        <v>0</v>
      </c>
      <c r="AL391" t="s">
        <v>7832</v>
      </c>
      <c r="AM391" t="s">
        <v>3443</v>
      </c>
      <c r="AN391" t="s">
        <v>7833</v>
      </c>
      <c r="AO391" t="s">
        <v>7834</v>
      </c>
      <c r="AP391" t="s">
        <v>74</v>
      </c>
      <c r="AQ391" t="s">
        <v>74</v>
      </c>
      <c r="AR391" t="s">
        <v>7835</v>
      </c>
      <c r="AS391" t="s">
        <v>7836</v>
      </c>
      <c r="AT391" t="s">
        <v>74</v>
      </c>
      <c r="AU391">
        <v>2018</v>
      </c>
      <c r="AV391">
        <v>15</v>
      </c>
      <c r="AW391" t="s">
        <v>74</v>
      </c>
      <c r="AX391" t="s">
        <v>74</v>
      </c>
      <c r="AY391" t="s">
        <v>74</v>
      </c>
      <c r="AZ391" t="s">
        <v>74</v>
      </c>
      <c r="BA391" t="s">
        <v>74</v>
      </c>
      <c r="BB391">
        <v>127</v>
      </c>
      <c r="BC391">
        <v>127</v>
      </c>
      <c r="BD391" t="s">
        <v>74</v>
      </c>
      <c r="BE391" t="s">
        <v>74</v>
      </c>
      <c r="BF391" t="s">
        <v>74</v>
      </c>
      <c r="BG391" t="s">
        <v>74</v>
      </c>
      <c r="BH391" t="s">
        <v>74</v>
      </c>
      <c r="BI391">
        <v>1</v>
      </c>
      <c r="BJ391" t="s">
        <v>7837</v>
      </c>
      <c r="BK391" t="s">
        <v>101</v>
      </c>
      <c r="BL391" t="s">
        <v>7837</v>
      </c>
      <c r="BM391" t="s">
        <v>7838</v>
      </c>
      <c r="BN391" t="s">
        <v>74</v>
      </c>
      <c r="BO391" t="s">
        <v>74</v>
      </c>
      <c r="BP391" t="s">
        <v>74</v>
      </c>
      <c r="BQ391" t="s">
        <v>74</v>
      </c>
      <c r="BR391" t="s">
        <v>105</v>
      </c>
      <c r="BS391" t="s">
        <v>7839</v>
      </c>
      <c r="BT391" t="str">
        <f>HYPERLINK("https%3A%2F%2Fwww.webofscience.com%2Fwos%2Fwoscc%2Ffull-record%2FWOS:000430116300055","View Full Record in Web of Science")</f>
        <v>View Full Record in Web of Science</v>
      </c>
    </row>
    <row r="392" spans="1:72" x14ac:dyDescent="0.15">
      <c r="A392" t="s">
        <v>72</v>
      </c>
      <c r="B392" t="s">
        <v>7840</v>
      </c>
      <c r="C392" t="s">
        <v>74</v>
      </c>
      <c r="D392" t="s">
        <v>74</v>
      </c>
      <c r="E392" t="s">
        <v>74</v>
      </c>
      <c r="F392" t="s">
        <v>7841</v>
      </c>
      <c r="G392" t="s">
        <v>74</v>
      </c>
      <c r="H392" t="s">
        <v>74</v>
      </c>
      <c r="I392" t="s">
        <v>7842</v>
      </c>
      <c r="J392" t="s">
        <v>5147</v>
      </c>
      <c r="K392" t="s">
        <v>74</v>
      </c>
      <c r="L392" t="s">
        <v>74</v>
      </c>
      <c r="M392" t="s">
        <v>78</v>
      </c>
      <c r="N392" t="s">
        <v>79</v>
      </c>
      <c r="O392" t="s">
        <v>74</v>
      </c>
      <c r="P392" t="s">
        <v>74</v>
      </c>
      <c r="Q392" t="s">
        <v>74</v>
      </c>
      <c r="R392" t="s">
        <v>74</v>
      </c>
      <c r="S392" t="s">
        <v>74</v>
      </c>
      <c r="T392" t="s">
        <v>7843</v>
      </c>
      <c r="U392" t="s">
        <v>7844</v>
      </c>
      <c r="V392" t="s">
        <v>7845</v>
      </c>
      <c r="W392" t="s">
        <v>7846</v>
      </c>
      <c r="X392" t="s">
        <v>7847</v>
      </c>
      <c r="Y392" t="s">
        <v>7848</v>
      </c>
      <c r="Z392" t="s">
        <v>7849</v>
      </c>
      <c r="AA392" t="s">
        <v>7850</v>
      </c>
      <c r="AB392" t="s">
        <v>7851</v>
      </c>
      <c r="AC392" t="s">
        <v>7852</v>
      </c>
      <c r="AD392" t="s">
        <v>7853</v>
      </c>
      <c r="AE392" t="s">
        <v>7854</v>
      </c>
      <c r="AF392" t="s">
        <v>74</v>
      </c>
      <c r="AG392">
        <v>32</v>
      </c>
      <c r="AH392">
        <v>0</v>
      </c>
      <c r="AI392">
        <v>0</v>
      </c>
      <c r="AJ392">
        <v>1</v>
      </c>
      <c r="AK392">
        <v>16</v>
      </c>
      <c r="AL392" t="s">
        <v>5160</v>
      </c>
      <c r="AM392" t="s">
        <v>5161</v>
      </c>
      <c r="AN392" t="s">
        <v>5162</v>
      </c>
      <c r="AO392" t="s">
        <v>5163</v>
      </c>
      <c r="AP392" t="s">
        <v>5164</v>
      </c>
      <c r="AQ392" t="s">
        <v>74</v>
      </c>
      <c r="AR392" t="s">
        <v>5165</v>
      </c>
      <c r="AS392" t="s">
        <v>5166</v>
      </c>
      <c r="AT392" t="s">
        <v>74</v>
      </c>
      <c r="AU392">
        <v>2018</v>
      </c>
      <c r="AV392">
        <v>14</v>
      </c>
      <c r="AW392">
        <v>4</v>
      </c>
      <c r="AX392" t="s">
        <v>74</v>
      </c>
      <c r="AY392" t="s">
        <v>74</v>
      </c>
      <c r="AZ392" t="s">
        <v>74</v>
      </c>
      <c r="BA392" t="s">
        <v>74</v>
      </c>
      <c r="BB392">
        <v>345</v>
      </c>
      <c r="BC392">
        <v>353</v>
      </c>
      <c r="BD392" t="s">
        <v>74</v>
      </c>
      <c r="BE392" t="s">
        <v>7855</v>
      </c>
      <c r="BF392" t="str">
        <f>HYPERLINK("http://dx.doi.org/10.1080/17451000.2018.1425457","http://dx.doi.org/10.1080/17451000.2018.1425457")</f>
        <v>http://dx.doi.org/10.1080/17451000.2018.1425457</v>
      </c>
      <c r="BG392" t="s">
        <v>74</v>
      </c>
      <c r="BH392" t="s">
        <v>74</v>
      </c>
      <c r="BI392">
        <v>9</v>
      </c>
      <c r="BJ392" t="s">
        <v>5168</v>
      </c>
      <c r="BK392" t="s">
        <v>101</v>
      </c>
      <c r="BL392" t="s">
        <v>610</v>
      </c>
      <c r="BM392" t="s">
        <v>7856</v>
      </c>
      <c r="BN392" t="s">
        <v>74</v>
      </c>
      <c r="BO392" t="s">
        <v>74</v>
      </c>
      <c r="BP392" t="s">
        <v>74</v>
      </c>
      <c r="BQ392" t="s">
        <v>74</v>
      </c>
      <c r="BR392" t="s">
        <v>105</v>
      </c>
      <c r="BS392" t="s">
        <v>7857</v>
      </c>
      <c r="BT392" t="str">
        <f>HYPERLINK("https%3A%2F%2Fwww.webofscience.com%2Fwos%2Fwoscc%2Ffull-record%2FWOS:000430079400002","View Full Record in Web of Science")</f>
        <v>View Full Record in Web of Science</v>
      </c>
    </row>
    <row r="393" spans="1:72" x14ac:dyDescent="0.15">
      <c r="A393" t="s">
        <v>72</v>
      </c>
      <c r="B393" t="s">
        <v>7858</v>
      </c>
      <c r="C393" t="s">
        <v>74</v>
      </c>
      <c r="D393" t="s">
        <v>74</v>
      </c>
      <c r="E393" t="s">
        <v>74</v>
      </c>
      <c r="F393" t="s">
        <v>7859</v>
      </c>
      <c r="G393" t="s">
        <v>74</v>
      </c>
      <c r="H393" t="s">
        <v>74</v>
      </c>
      <c r="I393" t="s">
        <v>7860</v>
      </c>
      <c r="J393" t="s">
        <v>7861</v>
      </c>
      <c r="K393" t="s">
        <v>74</v>
      </c>
      <c r="L393" t="s">
        <v>74</v>
      </c>
      <c r="M393" t="s">
        <v>78</v>
      </c>
      <c r="N393" t="s">
        <v>79</v>
      </c>
      <c r="O393" t="s">
        <v>74</v>
      </c>
      <c r="P393" t="s">
        <v>74</v>
      </c>
      <c r="Q393" t="s">
        <v>74</v>
      </c>
      <c r="R393" t="s">
        <v>74</v>
      </c>
      <c r="S393" t="s">
        <v>74</v>
      </c>
      <c r="T393" t="s">
        <v>74</v>
      </c>
      <c r="U393" t="s">
        <v>7862</v>
      </c>
      <c r="V393" t="s">
        <v>7863</v>
      </c>
      <c r="W393" t="s">
        <v>7864</v>
      </c>
      <c r="X393" t="s">
        <v>7865</v>
      </c>
      <c r="Y393" t="s">
        <v>7866</v>
      </c>
      <c r="Z393" t="s">
        <v>7867</v>
      </c>
      <c r="AA393" t="s">
        <v>7868</v>
      </c>
      <c r="AB393" t="s">
        <v>7869</v>
      </c>
      <c r="AC393" t="s">
        <v>74</v>
      </c>
      <c r="AD393" t="s">
        <v>74</v>
      </c>
      <c r="AE393" t="s">
        <v>74</v>
      </c>
      <c r="AF393" t="s">
        <v>74</v>
      </c>
      <c r="AG393">
        <v>105</v>
      </c>
      <c r="AH393">
        <v>10</v>
      </c>
      <c r="AI393">
        <v>11</v>
      </c>
      <c r="AJ393">
        <v>1</v>
      </c>
      <c r="AK393">
        <v>8</v>
      </c>
      <c r="AL393" t="s">
        <v>4022</v>
      </c>
      <c r="AM393" t="s">
        <v>4023</v>
      </c>
      <c r="AN393" t="s">
        <v>4024</v>
      </c>
      <c r="AO393" t="s">
        <v>7870</v>
      </c>
      <c r="AP393" t="s">
        <v>7871</v>
      </c>
      <c r="AQ393" t="s">
        <v>74</v>
      </c>
      <c r="AR393" t="s">
        <v>7872</v>
      </c>
      <c r="AS393" t="s">
        <v>7873</v>
      </c>
      <c r="AT393" t="s">
        <v>2468</v>
      </c>
      <c r="AU393">
        <v>2018</v>
      </c>
      <c r="AV393">
        <v>31</v>
      </c>
      <c r="AW393">
        <v>1</v>
      </c>
      <c r="AX393" t="s">
        <v>74</v>
      </c>
      <c r="AY393" t="s">
        <v>74</v>
      </c>
      <c r="AZ393" t="s">
        <v>74</v>
      </c>
      <c r="BA393" t="s">
        <v>74</v>
      </c>
      <c r="BB393">
        <v>147</v>
      </c>
      <c r="BC393">
        <v>175</v>
      </c>
      <c r="BD393" t="s">
        <v>74</v>
      </c>
      <c r="BE393" t="s">
        <v>7874</v>
      </c>
      <c r="BF393" t="str">
        <f>HYPERLINK("http://dx.doi.org/10.1175/JCLI-D-17-0184.1","http://dx.doi.org/10.1175/JCLI-D-17-0184.1")</f>
        <v>http://dx.doi.org/10.1175/JCLI-D-17-0184.1</v>
      </c>
      <c r="BG393" t="s">
        <v>74</v>
      </c>
      <c r="BH393" t="s">
        <v>74</v>
      </c>
      <c r="BI393">
        <v>29</v>
      </c>
      <c r="BJ393" t="s">
        <v>430</v>
      </c>
      <c r="BK393" t="s">
        <v>101</v>
      </c>
      <c r="BL393" t="s">
        <v>430</v>
      </c>
      <c r="BM393" t="s">
        <v>7875</v>
      </c>
      <c r="BN393" t="s">
        <v>74</v>
      </c>
      <c r="BO393" t="s">
        <v>5571</v>
      </c>
      <c r="BP393" t="s">
        <v>74</v>
      </c>
      <c r="BQ393" t="s">
        <v>74</v>
      </c>
      <c r="BR393" t="s">
        <v>105</v>
      </c>
      <c r="BS393" t="s">
        <v>7876</v>
      </c>
      <c r="BT393" t="str">
        <f>HYPERLINK("https%3A%2F%2Fwww.webofscience.com%2Fwos%2Fwoscc%2Ffull-record%2FWOS:000429528800009","View Full Record in Web of Science")</f>
        <v>View Full Record in Web of Science</v>
      </c>
    </row>
    <row r="394" spans="1:72" x14ac:dyDescent="0.15">
      <c r="A394" t="s">
        <v>72</v>
      </c>
      <c r="B394" t="s">
        <v>7877</v>
      </c>
      <c r="C394" t="s">
        <v>74</v>
      </c>
      <c r="D394" t="s">
        <v>74</v>
      </c>
      <c r="E394" t="s">
        <v>74</v>
      </c>
      <c r="F394" t="s">
        <v>7878</v>
      </c>
      <c r="G394" t="s">
        <v>74</v>
      </c>
      <c r="H394" t="s">
        <v>74</v>
      </c>
      <c r="I394" t="s">
        <v>7879</v>
      </c>
      <c r="J394" t="s">
        <v>7861</v>
      </c>
      <c r="K394" t="s">
        <v>74</v>
      </c>
      <c r="L394" t="s">
        <v>74</v>
      </c>
      <c r="M394" t="s">
        <v>78</v>
      </c>
      <c r="N394" t="s">
        <v>79</v>
      </c>
      <c r="O394" t="s">
        <v>74</v>
      </c>
      <c r="P394" t="s">
        <v>74</v>
      </c>
      <c r="Q394" t="s">
        <v>74</v>
      </c>
      <c r="R394" t="s">
        <v>74</v>
      </c>
      <c r="S394" t="s">
        <v>74</v>
      </c>
      <c r="T394" t="s">
        <v>74</v>
      </c>
      <c r="U394" t="s">
        <v>7880</v>
      </c>
      <c r="V394" t="s">
        <v>7881</v>
      </c>
      <c r="W394" t="s">
        <v>7882</v>
      </c>
      <c r="X394" t="s">
        <v>7883</v>
      </c>
      <c r="Y394" t="s">
        <v>7884</v>
      </c>
      <c r="Z394" t="s">
        <v>7885</v>
      </c>
      <c r="AA394" t="s">
        <v>7886</v>
      </c>
      <c r="AB394" t="s">
        <v>74</v>
      </c>
      <c r="AC394" t="s">
        <v>7887</v>
      </c>
      <c r="AD394" t="s">
        <v>7888</v>
      </c>
      <c r="AE394" t="s">
        <v>7889</v>
      </c>
      <c r="AF394" t="s">
        <v>74</v>
      </c>
      <c r="AG394">
        <v>60</v>
      </c>
      <c r="AH394">
        <v>45</v>
      </c>
      <c r="AI394">
        <v>49</v>
      </c>
      <c r="AJ394">
        <v>0</v>
      </c>
      <c r="AK394">
        <v>17</v>
      </c>
      <c r="AL394" t="s">
        <v>4022</v>
      </c>
      <c r="AM394" t="s">
        <v>4023</v>
      </c>
      <c r="AN394" t="s">
        <v>4024</v>
      </c>
      <c r="AO394" t="s">
        <v>7870</v>
      </c>
      <c r="AP394" t="s">
        <v>7871</v>
      </c>
      <c r="AQ394" t="s">
        <v>74</v>
      </c>
      <c r="AR394" t="s">
        <v>7872</v>
      </c>
      <c r="AS394" t="s">
        <v>7873</v>
      </c>
      <c r="AT394" t="s">
        <v>2468</v>
      </c>
      <c r="AU394">
        <v>2018</v>
      </c>
      <c r="AV394">
        <v>31</v>
      </c>
      <c r="AW394">
        <v>1</v>
      </c>
      <c r="AX394" t="s">
        <v>74</v>
      </c>
      <c r="AY394" t="s">
        <v>74</v>
      </c>
      <c r="AZ394" t="s">
        <v>74</v>
      </c>
      <c r="BA394" t="s">
        <v>74</v>
      </c>
      <c r="BB394">
        <v>195</v>
      </c>
      <c r="BC394">
        <v>211</v>
      </c>
      <c r="BD394" t="s">
        <v>74</v>
      </c>
      <c r="BE394" t="s">
        <v>7890</v>
      </c>
      <c r="BF394" t="str">
        <f>HYPERLINK("http://dx.doi.org/10.1175/JCLI-D-17-0320.1","http://dx.doi.org/10.1175/JCLI-D-17-0320.1")</f>
        <v>http://dx.doi.org/10.1175/JCLI-D-17-0320.1</v>
      </c>
      <c r="BG394" t="s">
        <v>74</v>
      </c>
      <c r="BH394" t="s">
        <v>74</v>
      </c>
      <c r="BI394">
        <v>17</v>
      </c>
      <c r="BJ394" t="s">
        <v>430</v>
      </c>
      <c r="BK394" t="s">
        <v>101</v>
      </c>
      <c r="BL394" t="s">
        <v>430</v>
      </c>
      <c r="BM394" t="s">
        <v>7875</v>
      </c>
      <c r="BN394" t="s">
        <v>74</v>
      </c>
      <c r="BO394" t="s">
        <v>7891</v>
      </c>
      <c r="BP394" t="s">
        <v>74</v>
      </c>
      <c r="BQ394" t="s">
        <v>74</v>
      </c>
      <c r="BR394" t="s">
        <v>105</v>
      </c>
      <c r="BS394" t="s">
        <v>7892</v>
      </c>
      <c r="BT394" t="str">
        <f>HYPERLINK("https%3A%2F%2Fwww.webofscience.com%2Fwos%2Fwoscc%2Ffull-record%2FWOS:000429528800011","View Full Record in Web of Science")</f>
        <v>View Full Record in Web of Science</v>
      </c>
    </row>
    <row r="395" spans="1:72" x14ac:dyDescent="0.15">
      <c r="A395" t="s">
        <v>72</v>
      </c>
      <c r="B395" t="s">
        <v>7893</v>
      </c>
      <c r="C395" t="s">
        <v>74</v>
      </c>
      <c r="D395" t="s">
        <v>74</v>
      </c>
      <c r="E395" t="s">
        <v>74</v>
      </c>
      <c r="F395" t="s">
        <v>7894</v>
      </c>
      <c r="G395" t="s">
        <v>74</v>
      </c>
      <c r="H395" t="s">
        <v>74</v>
      </c>
      <c r="I395" t="s">
        <v>7895</v>
      </c>
      <c r="J395" t="s">
        <v>7861</v>
      </c>
      <c r="K395" t="s">
        <v>74</v>
      </c>
      <c r="L395" t="s">
        <v>74</v>
      </c>
      <c r="M395" t="s">
        <v>78</v>
      </c>
      <c r="N395" t="s">
        <v>79</v>
      </c>
      <c r="O395" t="s">
        <v>74</v>
      </c>
      <c r="P395" t="s">
        <v>74</v>
      </c>
      <c r="Q395" t="s">
        <v>74</v>
      </c>
      <c r="R395" t="s">
        <v>74</v>
      </c>
      <c r="S395" t="s">
        <v>74</v>
      </c>
      <c r="T395" t="s">
        <v>74</v>
      </c>
      <c r="U395" t="s">
        <v>7896</v>
      </c>
      <c r="V395" t="s">
        <v>7897</v>
      </c>
      <c r="W395" t="s">
        <v>7898</v>
      </c>
      <c r="X395" t="s">
        <v>7899</v>
      </c>
      <c r="Y395" t="s">
        <v>7900</v>
      </c>
      <c r="Z395" t="s">
        <v>7901</v>
      </c>
      <c r="AA395" t="s">
        <v>7902</v>
      </c>
      <c r="AB395" t="s">
        <v>7903</v>
      </c>
      <c r="AC395" t="s">
        <v>7904</v>
      </c>
      <c r="AD395" t="s">
        <v>7905</v>
      </c>
      <c r="AE395" t="s">
        <v>7906</v>
      </c>
      <c r="AF395" t="s">
        <v>74</v>
      </c>
      <c r="AG395">
        <v>24</v>
      </c>
      <c r="AH395">
        <v>12</v>
      </c>
      <c r="AI395">
        <v>13</v>
      </c>
      <c r="AJ395">
        <v>1</v>
      </c>
      <c r="AK395">
        <v>17</v>
      </c>
      <c r="AL395" t="s">
        <v>4022</v>
      </c>
      <c r="AM395" t="s">
        <v>4023</v>
      </c>
      <c r="AN395" t="s">
        <v>4024</v>
      </c>
      <c r="AO395" t="s">
        <v>7870</v>
      </c>
      <c r="AP395" t="s">
        <v>7871</v>
      </c>
      <c r="AQ395" t="s">
        <v>74</v>
      </c>
      <c r="AR395" t="s">
        <v>7872</v>
      </c>
      <c r="AS395" t="s">
        <v>7873</v>
      </c>
      <c r="AT395" t="s">
        <v>2468</v>
      </c>
      <c r="AU395">
        <v>2018</v>
      </c>
      <c r="AV395">
        <v>31</v>
      </c>
      <c r="AW395">
        <v>1</v>
      </c>
      <c r="AX395" t="s">
        <v>74</v>
      </c>
      <c r="AY395" t="s">
        <v>74</v>
      </c>
      <c r="AZ395" t="s">
        <v>74</v>
      </c>
      <c r="BA395" t="s">
        <v>74</v>
      </c>
      <c r="BB395">
        <v>317</v>
      </c>
      <c r="BC395">
        <v>323</v>
      </c>
      <c r="BD395" t="s">
        <v>74</v>
      </c>
      <c r="BE395" t="s">
        <v>7907</v>
      </c>
      <c r="BF395" t="str">
        <f>HYPERLINK("http://dx.doi.org/10.1175/JCLI-D-17-0418.1","http://dx.doi.org/10.1175/JCLI-D-17-0418.1")</f>
        <v>http://dx.doi.org/10.1175/JCLI-D-17-0418.1</v>
      </c>
      <c r="BG395" t="s">
        <v>74</v>
      </c>
      <c r="BH395" t="s">
        <v>74</v>
      </c>
      <c r="BI395">
        <v>7</v>
      </c>
      <c r="BJ395" t="s">
        <v>430</v>
      </c>
      <c r="BK395" t="s">
        <v>101</v>
      </c>
      <c r="BL395" t="s">
        <v>430</v>
      </c>
      <c r="BM395" t="s">
        <v>7875</v>
      </c>
      <c r="BN395" t="s">
        <v>74</v>
      </c>
      <c r="BO395" t="s">
        <v>306</v>
      </c>
      <c r="BP395" t="s">
        <v>74</v>
      </c>
      <c r="BQ395" t="s">
        <v>74</v>
      </c>
      <c r="BR395" t="s">
        <v>105</v>
      </c>
      <c r="BS395" t="s">
        <v>7908</v>
      </c>
      <c r="BT395" t="str">
        <f>HYPERLINK("https%3A%2F%2Fwww.webofscience.com%2Fwos%2Fwoscc%2Ffull-record%2FWOS:000429528800018","View Full Record in Web of Science")</f>
        <v>View Full Record in Web of Science</v>
      </c>
    </row>
    <row r="396" spans="1:72" x14ac:dyDescent="0.15">
      <c r="A396" t="s">
        <v>72</v>
      </c>
      <c r="B396" t="s">
        <v>7909</v>
      </c>
      <c r="C396" t="s">
        <v>74</v>
      </c>
      <c r="D396" t="s">
        <v>74</v>
      </c>
      <c r="E396" t="s">
        <v>74</v>
      </c>
      <c r="F396" t="s">
        <v>7910</v>
      </c>
      <c r="G396" t="s">
        <v>74</v>
      </c>
      <c r="H396" t="s">
        <v>74</v>
      </c>
      <c r="I396" t="s">
        <v>7911</v>
      </c>
      <c r="J396" t="s">
        <v>4010</v>
      </c>
      <c r="K396" t="s">
        <v>74</v>
      </c>
      <c r="L396" t="s">
        <v>74</v>
      </c>
      <c r="M396" t="s">
        <v>78</v>
      </c>
      <c r="N396" t="s">
        <v>79</v>
      </c>
      <c r="O396" t="s">
        <v>74</v>
      </c>
      <c r="P396" t="s">
        <v>74</v>
      </c>
      <c r="Q396" t="s">
        <v>74</v>
      </c>
      <c r="R396" t="s">
        <v>74</v>
      </c>
      <c r="S396" t="s">
        <v>74</v>
      </c>
      <c r="T396" t="s">
        <v>74</v>
      </c>
      <c r="U396" t="s">
        <v>74</v>
      </c>
      <c r="V396" t="s">
        <v>74</v>
      </c>
      <c r="W396" t="s">
        <v>7912</v>
      </c>
      <c r="X396" t="s">
        <v>7913</v>
      </c>
      <c r="Y396" t="s">
        <v>7914</v>
      </c>
      <c r="Z396" t="s">
        <v>74</v>
      </c>
      <c r="AA396" t="s">
        <v>7915</v>
      </c>
      <c r="AB396" t="s">
        <v>7916</v>
      </c>
      <c r="AC396" t="s">
        <v>7917</v>
      </c>
      <c r="AD396" t="s">
        <v>7918</v>
      </c>
      <c r="AE396" t="s">
        <v>7919</v>
      </c>
      <c r="AF396" t="s">
        <v>74</v>
      </c>
      <c r="AG396">
        <v>12</v>
      </c>
      <c r="AH396">
        <v>30</v>
      </c>
      <c r="AI396">
        <v>36</v>
      </c>
      <c r="AJ396">
        <v>4</v>
      </c>
      <c r="AK396">
        <v>26</v>
      </c>
      <c r="AL396" t="s">
        <v>4022</v>
      </c>
      <c r="AM396" t="s">
        <v>4023</v>
      </c>
      <c r="AN396" t="s">
        <v>4024</v>
      </c>
      <c r="AO396" t="s">
        <v>4025</v>
      </c>
      <c r="AP396" t="s">
        <v>4026</v>
      </c>
      <c r="AQ396" t="s">
        <v>74</v>
      </c>
      <c r="AR396" t="s">
        <v>4027</v>
      </c>
      <c r="AS396" t="s">
        <v>4028</v>
      </c>
      <c r="AT396" t="s">
        <v>2468</v>
      </c>
      <c r="AU396">
        <v>2018</v>
      </c>
      <c r="AV396">
        <v>99</v>
      </c>
      <c r="AW396">
        <v>1</v>
      </c>
      <c r="AX396" t="s">
        <v>74</v>
      </c>
      <c r="AY396" t="s">
        <v>1831</v>
      </c>
      <c r="AZ396" t="s">
        <v>74</v>
      </c>
      <c r="BA396" t="s">
        <v>74</v>
      </c>
      <c r="BB396" t="s">
        <v>7920</v>
      </c>
      <c r="BC396" t="s">
        <v>7921</v>
      </c>
      <c r="BD396" t="s">
        <v>74</v>
      </c>
      <c r="BE396" t="s">
        <v>7922</v>
      </c>
      <c r="BF396" t="str">
        <f>HYPERLINK("http://dx.doi.org/10.1175/BAMS-D-17-0093.1","http://dx.doi.org/10.1175/BAMS-D-17-0093.1")</f>
        <v>http://dx.doi.org/10.1175/BAMS-D-17-0093.1</v>
      </c>
      <c r="BG396" t="s">
        <v>74</v>
      </c>
      <c r="BH396" t="s">
        <v>74</v>
      </c>
      <c r="BI396">
        <v>5</v>
      </c>
      <c r="BJ396" t="s">
        <v>430</v>
      </c>
      <c r="BK396" t="s">
        <v>101</v>
      </c>
      <c r="BL396" t="s">
        <v>430</v>
      </c>
      <c r="BM396" t="s">
        <v>7923</v>
      </c>
      <c r="BN396" t="s">
        <v>74</v>
      </c>
      <c r="BO396" t="s">
        <v>7924</v>
      </c>
      <c r="BP396" t="s">
        <v>74</v>
      </c>
      <c r="BQ396" t="s">
        <v>74</v>
      </c>
      <c r="BR396" t="s">
        <v>105</v>
      </c>
      <c r="BS396" t="s">
        <v>7925</v>
      </c>
      <c r="BT396" t="str">
        <f>HYPERLINK("https%3A%2F%2Fwww.webofscience.com%2Fwos%2Fwoscc%2Ffull-record%2FWOS:000429319000009","View Full Record in Web of Science")</f>
        <v>View Full Record in Web of Science</v>
      </c>
    </row>
    <row r="397" spans="1:72" x14ac:dyDescent="0.15">
      <c r="A397" t="s">
        <v>72</v>
      </c>
      <c r="B397" t="s">
        <v>7926</v>
      </c>
      <c r="C397" t="s">
        <v>74</v>
      </c>
      <c r="D397" t="s">
        <v>74</v>
      </c>
      <c r="E397" t="s">
        <v>74</v>
      </c>
      <c r="F397" t="s">
        <v>7927</v>
      </c>
      <c r="G397" t="s">
        <v>74</v>
      </c>
      <c r="H397" t="s">
        <v>74</v>
      </c>
      <c r="I397" t="s">
        <v>7928</v>
      </c>
      <c r="J397" t="s">
        <v>7929</v>
      </c>
      <c r="K397" t="s">
        <v>74</v>
      </c>
      <c r="L397" t="s">
        <v>74</v>
      </c>
      <c r="M397" t="s">
        <v>7930</v>
      </c>
      <c r="N397" t="s">
        <v>79</v>
      </c>
      <c r="O397" t="s">
        <v>74</v>
      </c>
      <c r="P397" t="s">
        <v>74</v>
      </c>
      <c r="Q397" t="s">
        <v>74</v>
      </c>
      <c r="R397" t="s">
        <v>74</v>
      </c>
      <c r="S397" t="s">
        <v>74</v>
      </c>
      <c r="T397" t="s">
        <v>74</v>
      </c>
      <c r="U397" t="s">
        <v>7931</v>
      </c>
      <c r="V397" t="s">
        <v>7932</v>
      </c>
      <c r="W397" t="s">
        <v>7933</v>
      </c>
      <c r="X397" t="s">
        <v>7934</v>
      </c>
      <c r="Y397" t="s">
        <v>7935</v>
      </c>
      <c r="Z397" t="s">
        <v>7936</v>
      </c>
      <c r="AA397" t="s">
        <v>74</v>
      </c>
      <c r="AB397" t="s">
        <v>7937</v>
      </c>
      <c r="AC397" t="s">
        <v>74</v>
      </c>
      <c r="AD397" t="s">
        <v>74</v>
      </c>
      <c r="AE397" t="s">
        <v>74</v>
      </c>
      <c r="AF397" t="s">
        <v>74</v>
      </c>
      <c r="AG397">
        <v>15</v>
      </c>
      <c r="AH397">
        <v>2</v>
      </c>
      <c r="AI397">
        <v>2</v>
      </c>
      <c r="AJ397">
        <v>1</v>
      </c>
      <c r="AK397">
        <v>14</v>
      </c>
      <c r="AL397" t="s">
        <v>7938</v>
      </c>
      <c r="AM397" t="s">
        <v>3107</v>
      </c>
      <c r="AN397" t="s">
        <v>7939</v>
      </c>
      <c r="AO397" t="s">
        <v>7940</v>
      </c>
      <c r="AP397" t="s">
        <v>7941</v>
      </c>
      <c r="AQ397" t="s">
        <v>74</v>
      </c>
      <c r="AR397" t="s">
        <v>7942</v>
      </c>
      <c r="AS397" t="s">
        <v>7943</v>
      </c>
      <c r="AT397" t="s">
        <v>74</v>
      </c>
      <c r="AU397">
        <v>2018</v>
      </c>
      <c r="AV397">
        <v>84</v>
      </c>
      <c r="AW397">
        <v>2</v>
      </c>
      <c r="AX397" t="s">
        <v>74</v>
      </c>
      <c r="AY397" t="s">
        <v>74</v>
      </c>
      <c r="AZ397" t="s">
        <v>74</v>
      </c>
      <c r="BA397" t="s">
        <v>74</v>
      </c>
      <c r="BB397">
        <v>261</v>
      </c>
      <c r="BC397">
        <v>268</v>
      </c>
      <c r="BD397" t="s">
        <v>74</v>
      </c>
      <c r="BE397" t="s">
        <v>7944</v>
      </c>
      <c r="BF397" t="str">
        <f>HYPERLINK("http://dx.doi.org/10.2331/suisan.17-00051","http://dx.doi.org/10.2331/suisan.17-00051")</f>
        <v>http://dx.doi.org/10.2331/suisan.17-00051</v>
      </c>
      <c r="BG397" t="s">
        <v>74</v>
      </c>
      <c r="BH397" t="s">
        <v>74</v>
      </c>
      <c r="BI397">
        <v>8</v>
      </c>
      <c r="BJ397" t="s">
        <v>6350</v>
      </c>
      <c r="BK397" t="s">
        <v>101</v>
      </c>
      <c r="BL397" t="s">
        <v>6350</v>
      </c>
      <c r="BM397" t="s">
        <v>7945</v>
      </c>
      <c r="BN397" t="s">
        <v>74</v>
      </c>
      <c r="BO397" t="s">
        <v>160</v>
      </c>
      <c r="BP397" t="s">
        <v>74</v>
      </c>
      <c r="BQ397" t="s">
        <v>74</v>
      </c>
      <c r="BR397" t="s">
        <v>105</v>
      </c>
      <c r="BS397" t="s">
        <v>7946</v>
      </c>
      <c r="BT397" t="str">
        <f>HYPERLINK("https%3A%2F%2Fwww.webofscience.com%2Fwos%2Fwoscc%2Ffull-record%2FWOS:000429211800009","View Full Record in Web of Science")</f>
        <v>View Full Record in Web of Science</v>
      </c>
    </row>
    <row r="398" spans="1:72" x14ac:dyDescent="0.15">
      <c r="A398" t="s">
        <v>72</v>
      </c>
      <c r="B398" t="s">
        <v>7947</v>
      </c>
      <c r="C398" t="s">
        <v>74</v>
      </c>
      <c r="D398" t="s">
        <v>74</v>
      </c>
      <c r="E398" t="s">
        <v>74</v>
      </c>
      <c r="F398" t="s">
        <v>7948</v>
      </c>
      <c r="G398" t="s">
        <v>74</v>
      </c>
      <c r="H398" t="s">
        <v>74</v>
      </c>
      <c r="I398" t="s">
        <v>7949</v>
      </c>
      <c r="J398" t="s">
        <v>7950</v>
      </c>
      <c r="K398" t="s">
        <v>74</v>
      </c>
      <c r="L398" t="s">
        <v>74</v>
      </c>
      <c r="M398" t="s">
        <v>78</v>
      </c>
      <c r="N398" t="s">
        <v>79</v>
      </c>
      <c r="O398" t="s">
        <v>74</v>
      </c>
      <c r="P398" t="s">
        <v>74</v>
      </c>
      <c r="Q398" t="s">
        <v>74</v>
      </c>
      <c r="R398" t="s">
        <v>74</v>
      </c>
      <c r="S398" t="s">
        <v>74</v>
      </c>
      <c r="T398" t="s">
        <v>7951</v>
      </c>
      <c r="U398" t="s">
        <v>7952</v>
      </c>
      <c r="V398" t="s">
        <v>7953</v>
      </c>
      <c r="W398" t="s">
        <v>7954</v>
      </c>
      <c r="X398" t="s">
        <v>7955</v>
      </c>
      <c r="Y398" t="s">
        <v>7956</v>
      </c>
      <c r="Z398" t="s">
        <v>7957</v>
      </c>
      <c r="AA398" t="s">
        <v>1738</v>
      </c>
      <c r="AB398" t="s">
        <v>7958</v>
      </c>
      <c r="AC398" t="s">
        <v>7959</v>
      </c>
      <c r="AD398" t="s">
        <v>7960</v>
      </c>
      <c r="AE398" t="s">
        <v>7961</v>
      </c>
      <c r="AF398" t="s">
        <v>74</v>
      </c>
      <c r="AG398">
        <v>84</v>
      </c>
      <c r="AH398">
        <v>41</v>
      </c>
      <c r="AI398">
        <v>46</v>
      </c>
      <c r="AJ398">
        <v>0</v>
      </c>
      <c r="AK398">
        <v>37</v>
      </c>
      <c r="AL398" t="s">
        <v>4270</v>
      </c>
      <c r="AM398" t="s">
        <v>4271</v>
      </c>
      <c r="AN398" t="s">
        <v>4272</v>
      </c>
      <c r="AO398" t="s">
        <v>7962</v>
      </c>
      <c r="AP398" t="s">
        <v>7963</v>
      </c>
      <c r="AQ398" t="s">
        <v>74</v>
      </c>
      <c r="AR398" t="s">
        <v>7964</v>
      </c>
      <c r="AS398" t="s">
        <v>7965</v>
      </c>
      <c r="AT398" t="s">
        <v>2468</v>
      </c>
      <c r="AU398">
        <v>2018</v>
      </c>
      <c r="AV398">
        <v>28</v>
      </c>
      <c r="AW398">
        <v>1</v>
      </c>
      <c r="AX398" t="s">
        <v>74</v>
      </c>
      <c r="AY398" t="s">
        <v>74</v>
      </c>
      <c r="AZ398" t="s">
        <v>74</v>
      </c>
      <c r="BA398" t="s">
        <v>74</v>
      </c>
      <c r="BB398">
        <v>212</v>
      </c>
      <c r="BC398">
        <v>224</v>
      </c>
      <c r="BD398" t="s">
        <v>74</v>
      </c>
      <c r="BE398" t="s">
        <v>7966</v>
      </c>
      <c r="BF398" t="str">
        <f>HYPERLINK("http://dx.doi.org/10.1002/eap.1642","http://dx.doi.org/10.1002/eap.1642")</f>
        <v>http://dx.doi.org/10.1002/eap.1642</v>
      </c>
      <c r="BG398" t="s">
        <v>74</v>
      </c>
      <c r="BH398" t="s">
        <v>74</v>
      </c>
      <c r="BI398">
        <v>13</v>
      </c>
      <c r="BJ398" t="s">
        <v>7380</v>
      </c>
      <c r="BK398" t="s">
        <v>101</v>
      </c>
      <c r="BL398" t="s">
        <v>1120</v>
      </c>
      <c r="BM398" t="s">
        <v>7967</v>
      </c>
      <c r="BN398">
        <v>29055070</v>
      </c>
      <c r="BO398" t="s">
        <v>74</v>
      </c>
      <c r="BP398" t="s">
        <v>74</v>
      </c>
      <c r="BQ398" t="s">
        <v>74</v>
      </c>
      <c r="BR398" t="s">
        <v>105</v>
      </c>
      <c r="BS398" t="s">
        <v>7968</v>
      </c>
      <c r="BT398" t="str">
        <f>HYPERLINK("https%3A%2F%2Fwww.webofscience.com%2Fwos%2Fwoscc%2Ffull-record%2FWOS:000429004700016","View Full Record in Web of Science")</f>
        <v>View Full Record in Web of Science</v>
      </c>
    </row>
    <row r="399" spans="1:72" x14ac:dyDescent="0.15">
      <c r="A399" t="s">
        <v>1776</v>
      </c>
      <c r="B399" t="s">
        <v>7969</v>
      </c>
      <c r="C399" t="s">
        <v>74</v>
      </c>
      <c r="D399" t="s">
        <v>7970</v>
      </c>
      <c r="E399" t="s">
        <v>74</v>
      </c>
      <c r="F399" t="s">
        <v>7971</v>
      </c>
      <c r="G399" t="s">
        <v>74</v>
      </c>
      <c r="H399" t="s">
        <v>74</v>
      </c>
      <c r="I399" t="s">
        <v>7972</v>
      </c>
      <c r="J399" t="s">
        <v>7973</v>
      </c>
      <c r="K399" t="s">
        <v>74</v>
      </c>
      <c r="L399" t="s">
        <v>74</v>
      </c>
      <c r="M399" t="s">
        <v>78</v>
      </c>
      <c r="N399" t="s">
        <v>1782</v>
      </c>
      <c r="O399" t="s">
        <v>7974</v>
      </c>
      <c r="P399" t="s">
        <v>7975</v>
      </c>
      <c r="Q399" t="s">
        <v>7976</v>
      </c>
      <c r="R399" t="s">
        <v>74</v>
      </c>
      <c r="S399" t="s">
        <v>74</v>
      </c>
      <c r="T399" t="s">
        <v>7977</v>
      </c>
      <c r="U399" t="s">
        <v>74</v>
      </c>
      <c r="V399" t="s">
        <v>7978</v>
      </c>
      <c r="W399" t="s">
        <v>7979</v>
      </c>
      <c r="X399" t="s">
        <v>7980</v>
      </c>
      <c r="Y399" t="s">
        <v>7981</v>
      </c>
      <c r="Z399" t="s">
        <v>7982</v>
      </c>
      <c r="AA399" t="s">
        <v>74</v>
      </c>
      <c r="AB399" t="s">
        <v>74</v>
      </c>
      <c r="AC399" t="s">
        <v>7983</v>
      </c>
      <c r="AD399" t="s">
        <v>7984</v>
      </c>
      <c r="AE399" t="s">
        <v>7985</v>
      </c>
      <c r="AF399" t="s">
        <v>74</v>
      </c>
      <c r="AG399">
        <v>11</v>
      </c>
      <c r="AH399">
        <v>0</v>
      </c>
      <c r="AI399">
        <v>0</v>
      </c>
      <c r="AJ399">
        <v>0</v>
      </c>
      <c r="AK399">
        <v>1</v>
      </c>
      <c r="AL399" t="s">
        <v>7986</v>
      </c>
      <c r="AM399" t="s">
        <v>7987</v>
      </c>
      <c r="AN399" t="s">
        <v>7988</v>
      </c>
      <c r="AO399" t="s">
        <v>74</v>
      </c>
      <c r="AP399" t="s">
        <v>74</v>
      </c>
      <c r="AQ399" t="s">
        <v>7989</v>
      </c>
      <c r="AR399" t="s">
        <v>74</v>
      </c>
      <c r="AS399" t="s">
        <v>74</v>
      </c>
      <c r="AT399" t="s">
        <v>74</v>
      </c>
      <c r="AU399">
        <v>2018</v>
      </c>
      <c r="AV399" t="s">
        <v>74</v>
      </c>
      <c r="AW399" t="s">
        <v>74</v>
      </c>
      <c r="AX399" t="s">
        <v>74</v>
      </c>
      <c r="AY399" t="s">
        <v>74</v>
      </c>
      <c r="AZ399" t="s">
        <v>74</v>
      </c>
      <c r="BA399" t="s">
        <v>74</v>
      </c>
      <c r="BB399">
        <v>102</v>
      </c>
      <c r="BC399">
        <v>112</v>
      </c>
      <c r="BD399" t="s">
        <v>74</v>
      </c>
      <c r="BE399" t="s">
        <v>74</v>
      </c>
      <c r="BF399" t="s">
        <v>74</v>
      </c>
      <c r="BG399" t="s">
        <v>74</v>
      </c>
      <c r="BH399" t="s">
        <v>74</v>
      </c>
      <c r="BI399">
        <v>11</v>
      </c>
      <c r="BJ399" t="s">
        <v>7990</v>
      </c>
      <c r="BK399" t="s">
        <v>1801</v>
      </c>
      <c r="BL399" t="s">
        <v>7991</v>
      </c>
      <c r="BM399" t="s">
        <v>7992</v>
      </c>
      <c r="BN399" t="s">
        <v>74</v>
      </c>
      <c r="BO399" t="s">
        <v>74</v>
      </c>
      <c r="BP399" t="s">
        <v>74</v>
      </c>
      <c r="BQ399" t="s">
        <v>74</v>
      </c>
      <c r="BR399" t="s">
        <v>105</v>
      </c>
      <c r="BS399" t="s">
        <v>7993</v>
      </c>
      <c r="BT399" t="str">
        <f>HYPERLINK("https%3A%2F%2Fwww.webofscience.com%2Fwos%2Fwoscc%2Ffull-record%2FWOS:000428201900012","View Full Record in Web of Science")</f>
        <v>View Full Record in Web of Science</v>
      </c>
    </row>
    <row r="400" spans="1:72" x14ac:dyDescent="0.15">
      <c r="A400" t="s">
        <v>72</v>
      </c>
      <c r="B400" t="s">
        <v>7994</v>
      </c>
      <c r="C400" t="s">
        <v>74</v>
      </c>
      <c r="D400" t="s">
        <v>74</v>
      </c>
      <c r="E400" t="s">
        <v>74</v>
      </c>
      <c r="F400" t="s">
        <v>7995</v>
      </c>
      <c r="G400" t="s">
        <v>74</v>
      </c>
      <c r="H400" t="s">
        <v>74</v>
      </c>
      <c r="I400" t="s">
        <v>7996</v>
      </c>
      <c r="J400" t="s">
        <v>7997</v>
      </c>
      <c r="K400" t="s">
        <v>74</v>
      </c>
      <c r="L400" t="s">
        <v>74</v>
      </c>
      <c r="M400" t="s">
        <v>78</v>
      </c>
      <c r="N400" t="s">
        <v>79</v>
      </c>
      <c r="O400" t="s">
        <v>74</v>
      </c>
      <c r="P400" t="s">
        <v>74</v>
      </c>
      <c r="Q400" t="s">
        <v>74</v>
      </c>
      <c r="R400" t="s">
        <v>74</v>
      </c>
      <c r="S400" t="s">
        <v>74</v>
      </c>
      <c r="T400" t="s">
        <v>7998</v>
      </c>
      <c r="U400" t="s">
        <v>7999</v>
      </c>
      <c r="V400" t="s">
        <v>8000</v>
      </c>
      <c r="W400" t="s">
        <v>8001</v>
      </c>
      <c r="X400" t="s">
        <v>8002</v>
      </c>
      <c r="Y400" t="s">
        <v>8003</v>
      </c>
      <c r="Z400" t="s">
        <v>8004</v>
      </c>
      <c r="AA400" t="s">
        <v>8005</v>
      </c>
      <c r="AB400" t="s">
        <v>74</v>
      </c>
      <c r="AC400" t="s">
        <v>8006</v>
      </c>
      <c r="AD400" t="s">
        <v>8006</v>
      </c>
      <c r="AE400" t="s">
        <v>8007</v>
      </c>
      <c r="AF400" t="s">
        <v>74</v>
      </c>
      <c r="AG400">
        <v>35</v>
      </c>
      <c r="AH400">
        <v>2</v>
      </c>
      <c r="AI400">
        <v>2</v>
      </c>
      <c r="AJ400">
        <v>0</v>
      </c>
      <c r="AK400">
        <v>3</v>
      </c>
      <c r="AL400" t="s">
        <v>1700</v>
      </c>
      <c r="AM400" t="s">
        <v>1701</v>
      </c>
      <c r="AN400" t="s">
        <v>1702</v>
      </c>
      <c r="AO400" t="s">
        <v>8008</v>
      </c>
      <c r="AP400" t="s">
        <v>8009</v>
      </c>
      <c r="AQ400" t="s">
        <v>74</v>
      </c>
      <c r="AR400" t="s">
        <v>8010</v>
      </c>
      <c r="AS400" t="s">
        <v>8011</v>
      </c>
      <c r="AT400" t="s">
        <v>74</v>
      </c>
      <c r="AU400">
        <v>2018</v>
      </c>
      <c r="AV400">
        <v>52</v>
      </c>
      <c r="AW400" t="s">
        <v>8012</v>
      </c>
      <c r="AX400" t="s">
        <v>74</v>
      </c>
      <c r="AY400" t="s">
        <v>74</v>
      </c>
      <c r="AZ400" t="s">
        <v>74</v>
      </c>
      <c r="BA400" t="s">
        <v>74</v>
      </c>
      <c r="BB400">
        <v>739</v>
      </c>
      <c r="BC400">
        <v>750</v>
      </c>
      <c r="BD400" t="s">
        <v>74</v>
      </c>
      <c r="BE400" t="s">
        <v>8013</v>
      </c>
      <c r="BF400" t="str">
        <f>HYPERLINK("http://dx.doi.org/10.1080/00222933.2018.1444212","http://dx.doi.org/10.1080/00222933.2018.1444212")</f>
        <v>http://dx.doi.org/10.1080/00222933.2018.1444212</v>
      </c>
      <c r="BG400" t="s">
        <v>74</v>
      </c>
      <c r="BH400" t="s">
        <v>74</v>
      </c>
      <c r="BI400">
        <v>12</v>
      </c>
      <c r="BJ400" t="s">
        <v>8014</v>
      </c>
      <c r="BK400" t="s">
        <v>101</v>
      </c>
      <c r="BL400" t="s">
        <v>8015</v>
      </c>
      <c r="BM400" t="s">
        <v>8016</v>
      </c>
      <c r="BN400" t="s">
        <v>74</v>
      </c>
      <c r="BO400" t="s">
        <v>74</v>
      </c>
      <c r="BP400" t="s">
        <v>74</v>
      </c>
      <c r="BQ400" t="s">
        <v>74</v>
      </c>
      <c r="BR400" t="s">
        <v>105</v>
      </c>
      <c r="BS400" t="s">
        <v>8017</v>
      </c>
      <c r="BT400" t="str">
        <f>HYPERLINK("https%3A%2F%2Fwww.webofscience.com%2Fwos%2Fwoscc%2Ffull-record%2FWOS:000428841800001","View Full Record in Web of Science")</f>
        <v>View Full Record in Web of Science</v>
      </c>
    </row>
    <row r="401" spans="1:72" x14ac:dyDescent="0.15">
      <c r="A401" t="s">
        <v>72</v>
      </c>
      <c r="B401" t="s">
        <v>8018</v>
      </c>
      <c r="C401" t="s">
        <v>74</v>
      </c>
      <c r="D401" t="s">
        <v>74</v>
      </c>
      <c r="E401" t="s">
        <v>74</v>
      </c>
      <c r="F401" t="s">
        <v>8019</v>
      </c>
      <c r="G401" t="s">
        <v>74</v>
      </c>
      <c r="H401" t="s">
        <v>74</v>
      </c>
      <c r="I401" t="s">
        <v>8020</v>
      </c>
      <c r="J401" t="s">
        <v>6447</v>
      </c>
      <c r="K401" t="s">
        <v>74</v>
      </c>
      <c r="L401" t="s">
        <v>74</v>
      </c>
      <c r="M401" t="s">
        <v>78</v>
      </c>
      <c r="N401" t="s">
        <v>79</v>
      </c>
      <c r="O401" t="s">
        <v>74</v>
      </c>
      <c r="P401" t="s">
        <v>74</v>
      </c>
      <c r="Q401" t="s">
        <v>74</v>
      </c>
      <c r="R401" t="s">
        <v>74</v>
      </c>
      <c r="S401" t="s">
        <v>74</v>
      </c>
      <c r="T401" t="s">
        <v>8021</v>
      </c>
      <c r="U401" t="s">
        <v>8022</v>
      </c>
      <c r="V401" t="s">
        <v>8023</v>
      </c>
      <c r="W401" t="s">
        <v>8024</v>
      </c>
      <c r="X401" t="s">
        <v>8025</v>
      </c>
      <c r="Y401" t="s">
        <v>8026</v>
      </c>
      <c r="Z401" t="s">
        <v>8027</v>
      </c>
      <c r="AA401" t="s">
        <v>8028</v>
      </c>
      <c r="AB401" t="s">
        <v>8029</v>
      </c>
      <c r="AC401" t="s">
        <v>74</v>
      </c>
      <c r="AD401" t="s">
        <v>74</v>
      </c>
      <c r="AE401" t="s">
        <v>74</v>
      </c>
      <c r="AF401" t="s">
        <v>74</v>
      </c>
      <c r="AG401">
        <v>78</v>
      </c>
      <c r="AH401">
        <v>2</v>
      </c>
      <c r="AI401">
        <v>2</v>
      </c>
      <c r="AJ401">
        <v>2</v>
      </c>
      <c r="AK401">
        <v>12</v>
      </c>
      <c r="AL401" t="s">
        <v>4791</v>
      </c>
      <c r="AM401" t="s">
        <v>4792</v>
      </c>
      <c r="AN401" t="s">
        <v>4793</v>
      </c>
      <c r="AO401" t="s">
        <v>6459</v>
      </c>
      <c r="AP401" t="s">
        <v>6460</v>
      </c>
      <c r="AQ401" t="s">
        <v>74</v>
      </c>
      <c r="AR401" t="s">
        <v>6461</v>
      </c>
      <c r="AS401" t="s">
        <v>6462</v>
      </c>
      <c r="AT401" t="s">
        <v>74</v>
      </c>
      <c r="AU401">
        <v>2018</v>
      </c>
      <c r="AV401">
        <v>41</v>
      </c>
      <c r="AW401">
        <v>2</v>
      </c>
      <c r="AX401" t="s">
        <v>74</v>
      </c>
      <c r="AY401" t="s">
        <v>74</v>
      </c>
      <c r="AZ401" t="s">
        <v>74</v>
      </c>
      <c r="BA401" t="s">
        <v>74</v>
      </c>
      <c r="BB401">
        <v>177</v>
      </c>
      <c r="BC401">
        <v>200</v>
      </c>
      <c r="BD401" t="s">
        <v>74</v>
      </c>
      <c r="BE401" t="s">
        <v>8030</v>
      </c>
      <c r="BF401" t="str">
        <f>HYPERLINK("http://dx.doi.org/10.1080/01490419.2017.1367340","http://dx.doi.org/10.1080/01490419.2017.1367340")</f>
        <v>http://dx.doi.org/10.1080/01490419.2017.1367340</v>
      </c>
      <c r="BG401" t="s">
        <v>74</v>
      </c>
      <c r="BH401" t="s">
        <v>74</v>
      </c>
      <c r="BI401">
        <v>24</v>
      </c>
      <c r="BJ401" t="s">
        <v>6464</v>
      </c>
      <c r="BK401" t="s">
        <v>101</v>
      </c>
      <c r="BL401" t="s">
        <v>6464</v>
      </c>
      <c r="BM401" t="s">
        <v>8031</v>
      </c>
      <c r="BN401" t="s">
        <v>74</v>
      </c>
      <c r="BO401" t="s">
        <v>74</v>
      </c>
      <c r="BP401" t="s">
        <v>74</v>
      </c>
      <c r="BQ401" t="s">
        <v>74</v>
      </c>
      <c r="BR401" t="s">
        <v>105</v>
      </c>
      <c r="BS401" t="s">
        <v>8032</v>
      </c>
      <c r="BT401" t="str">
        <f>HYPERLINK("https%3A%2F%2Fwww.webofscience.com%2Fwos%2Fwoscc%2Ffull-record%2FWOS:000428864800005","View Full Record in Web of Science")</f>
        <v>View Full Record in Web of Science</v>
      </c>
    </row>
    <row r="402" spans="1:72" x14ac:dyDescent="0.15">
      <c r="A402" t="s">
        <v>72</v>
      </c>
      <c r="B402" t="s">
        <v>8033</v>
      </c>
      <c r="C402" t="s">
        <v>74</v>
      </c>
      <c r="D402" t="s">
        <v>74</v>
      </c>
      <c r="E402" t="s">
        <v>74</v>
      </c>
      <c r="F402" t="s">
        <v>8034</v>
      </c>
      <c r="G402" t="s">
        <v>74</v>
      </c>
      <c r="H402" t="s">
        <v>74</v>
      </c>
      <c r="I402" t="s">
        <v>8035</v>
      </c>
      <c r="J402" t="s">
        <v>8036</v>
      </c>
      <c r="K402" t="s">
        <v>74</v>
      </c>
      <c r="L402" t="s">
        <v>74</v>
      </c>
      <c r="M402" t="s">
        <v>78</v>
      </c>
      <c r="N402" t="s">
        <v>79</v>
      </c>
      <c r="O402" t="s">
        <v>74</v>
      </c>
      <c r="P402" t="s">
        <v>74</v>
      </c>
      <c r="Q402" t="s">
        <v>74</v>
      </c>
      <c r="R402" t="s">
        <v>74</v>
      </c>
      <c r="S402" t="s">
        <v>74</v>
      </c>
      <c r="T402" t="s">
        <v>8037</v>
      </c>
      <c r="U402" t="s">
        <v>8038</v>
      </c>
      <c r="V402" t="s">
        <v>8039</v>
      </c>
      <c r="W402" t="s">
        <v>8040</v>
      </c>
      <c r="X402" t="s">
        <v>8041</v>
      </c>
      <c r="Y402" t="s">
        <v>8042</v>
      </c>
      <c r="Z402" t="s">
        <v>5979</v>
      </c>
      <c r="AA402" t="s">
        <v>8043</v>
      </c>
      <c r="AB402" t="s">
        <v>5963</v>
      </c>
      <c r="AC402" t="s">
        <v>8044</v>
      </c>
      <c r="AD402" t="s">
        <v>8045</v>
      </c>
      <c r="AE402" t="s">
        <v>8046</v>
      </c>
      <c r="AF402" t="s">
        <v>74</v>
      </c>
      <c r="AG402">
        <v>33</v>
      </c>
      <c r="AH402">
        <v>3</v>
      </c>
      <c r="AI402">
        <v>4</v>
      </c>
      <c r="AJ402">
        <v>0</v>
      </c>
      <c r="AK402">
        <v>15</v>
      </c>
      <c r="AL402" t="s">
        <v>8047</v>
      </c>
      <c r="AM402" t="s">
        <v>2073</v>
      </c>
      <c r="AN402" t="s">
        <v>8048</v>
      </c>
      <c r="AO402" t="s">
        <v>8049</v>
      </c>
      <c r="AP402" t="s">
        <v>8050</v>
      </c>
      <c r="AQ402" t="s">
        <v>74</v>
      </c>
      <c r="AR402" t="s">
        <v>8051</v>
      </c>
      <c r="AS402" t="s">
        <v>8052</v>
      </c>
      <c r="AT402" t="s">
        <v>2468</v>
      </c>
      <c r="AU402">
        <v>2018</v>
      </c>
      <c r="AV402">
        <v>18</v>
      </c>
      <c r="AW402">
        <v>1</v>
      </c>
      <c r="AX402" t="s">
        <v>74</v>
      </c>
      <c r="AY402" t="s">
        <v>74</v>
      </c>
      <c r="AZ402" t="s">
        <v>74</v>
      </c>
      <c r="BA402" t="s">
        <v>74</v>
      </c>
      <c r="BB402" t="s">
        <v>74</v>
      </c>
      <c r="BC402" t="s">
        <v>74</v>
      </c>
      <c r="BD402">
        <v>5</v>
      </c>
      <c r="BE402" t="s">
        <v>8053</v>
      </c>
      <c r="BF402" t="str">
        <f>HYPERLINK("http://dx.doi.org/10.1088/1674-4527/18/1/5","http://dx.doi.org/10.1088/1674-4527/18/1/5")</f>
        <v>http://dx.doi.org/10.1088/1674-4527/18/1/5</v>
      </c>
      <c r="BG402" t="s">
        <v>74</v>
      </c>
      <c r="BH402" t="s">
        <v>74</v>
      </c>
      <c r="BI402">
        <v>10</v>
      </c>
      <c r="BJ402" t="s">
        <v>787</v>
      </c>
      <c r="BK402" t="s">
        <v>101</v>
      </c>
      <c r="BL402" t="s">
        <v>787</v>
      </c>
      <c r="BM402" t="s">
        <v>8054</v>
      </c>
      <c r="BN402" t="s">
        <v>74</v>
      </c>
      <c r="BO402" t="s">
        <v>74</v>
      </c>
      <c r="BP402" t="s">
        <v>74</v>
      </c>
      <c r="BQ402" t="s">
        <v>74</v>
      </c>
      <c r="BR402" t="s">
        <v>105</v>
      </c>
      <c r="BS402" t="s">
        <v>8055</v>
      </c>
      <c r="BT402" t="str">
        <f>HYPERLINK("https%3A%2F%2Fwww.webofscience.com%2Fwos%2Fwoscc%2Ffull-record%2FWOS:000428267100005","View Full Record in Web of Science")</f>
        <v>View Full Record in Web of Science</v>
      </c>
    </row>
    <row r="403" spans="1:72" x14ac:dyDescent="0.15">
      <c r="A403" t="s">
        <v>72</v>
      </c>
      <c r="B403" t="s">
        <v>8056</v>
      </c>
      <c r="C403" t="s">
        <v>74</v>
      </c>
      <c r="D403" t="s">
        <v>74</v>
      </c>
      <c r="E403" t="s">
        <v>74</v>
      </c>
      <c r="F403" t="s">
        <v>8057</v>
      </c>
      <c r="G403" t="s">
        <v>74</v>
      </c>
      <c r="H403" t="s">
        <v>74</v>
      </c>
      <c r="I403" t="s">
        <v>8058</v>
      </c>
      <c r="J403" t="s">
        <v>8059</v>
      </c>
      <c r="K403" t="s">
        <v>74</v>
      </c>
      <c r="L403" t="s">
        <v>74</v>
      </c>
      <c r="M403" t="s">
        <v>78</v>
      </c>
      <c r="N403" t="s">
        <v>79</v>
      </c>
      <c r="O403" t="s">
        <v>74</v>
      </c>
      <c r="P403" t="s">
        <v>74</v>
      </c>
      <c r="Q403" t="s">
        <v>74</v>
      </c>
      <c r="R403" t="s">
        <v>74</v>
      </c>
      <c r="S403" t="s">
        <v>74</v>
      </c>
      <c r="T403" t="s">
        <v>8060</v>
      </c>
      <c r="U403" t="s">
        <v>8061</v>
      </c>
      <c r="V403" t="s">
        <v>8062</v>
      </c>
      <c r="W403" t="s">
        <v>8063</v>
      </c>
      <c r="X403" t="s">
        <v>8064</v>
      </c>
      <c r="Y403" t="s">
        <v>8065</v>
      </c>
      <c r="Z403" t="s">
        <v>8066</v>
      </c>
      <c r="AA403" t="s">
        <v>8067</v>
      </c>
      <c r="AB403" t="s">
        <v>8068</v>
      </c>
      <c r="AC403" t="s">
        <v>8069</v>
      </c>
      <c r="AD403" t="s">
        <v>8070</v>
      </c>
      <c r="AE403" t="s">
        <v>8071</v>
      </c>
      <c r="AF403" t="s">
        <v>74</v>
      </c>
      <c r="AG403">
        <v>108</v>
      </c>
      <c r="AH403">
        <v>13</v>
      </c>
      <c r="AI403">
        <v>13</v>
      </c>
      <c r="AJ403">
        <v>0</v>
      </c>
      <c r="AK403">
        <v>4</v>
      </c>
      <c r="AL403" t="s">
        <v>1186</v>
      </c>
      <c r="AM403" t="s">
        <v>808</v>
      </c>
      <c r="AN403" t="s">
        <v>1187</v>
      </c>
      <c r="AO403" t="s">
        <v>8072</v>
      </c>
      <c r="AP403" t="s">
        <v>8073</v>
      </c>
      <c r="AQ403" t="s">
        <v>74</v>
      </c>
      <c r="AR403" t="s">
        <v>8074</v>
      </c>
      <c r="AS403" t="s">
        <v>8075</v>
      </c>
      <c r="AT403" t="s">
        <v>2468</v>
      </c>
      <c r="AU403">
        <v>2018</v>
      </c>
      <c r="AV403">
        <v>53</v>
      </c>
      <c r="AW403" t="s">
        <v>74</v>
      </c>
      <c r="AX403" t="s">
        <v>74</v>
      </c>
      <c r="AY403" t="s">
        <v>74</v>
      </c>
      <c r="AZ403" t="s">
        <v>74</v>
      </c>
      <c r="BA403" t="s">
        <v>74</v>
      </c>
      <c r="BB403">
        <v>110</v>
      </c>
      <c r="BC403">
        <v>128</v>
      </c>
      <c r="BD403" t="s">
        <v>74</v>
      </c>
      <c r="BE403" t="s">
        <v>8076</v>
      </c>
      <c r="BF403" t="str">
        <f>HYPERLINK("http://dx.doi.org/10.1016/j.gr.2017.04.025","http://dx.doi.org/10.1016/j.gr.2017.04.025")</f>
        <v>http://dx.doi.org/10.1016/j.gr.2017.04.025</v>
      </c>
      <c r="BG403" t="s">
        <v>74</v>
      </c>
      <c r="BH403" t="s">
        <v>74</v>
      </c>
      <c r="BI403">
        <v>19</v>
      </c>
      <c r="BJ403" t="s">
        <v>280</v>
      </c>
      <c r="BK403" t="s">
        <v>101</v>
      </c>
      <c r="BL403" t="s">
        <v>281</v>
      </c>
      <c r="BM403" t="s">
        <v>8077</v>
      </c>
      <c r="BN403" t="s">
        <v>74</v>
      </c>
      <c r="BO403" t="s">
        <v>74</v>
      </c>
      <c r="BP403" t="s">
        <v>74</v>
      </c>
      <c r="BQ403" t="s">
        <v>74</v>
      </c>
      <c r="BR403" t="s">
        <v>105</v>
      </c>
      <c r="BS403" t="s">
        <v>8078</v>
      </c>
      <c r="BT403" t="str">
        <f>HYPERLINK("https%3A%2F%2Fwww.webofscience.com%2Fwos%2Fwoscc%2Ffull-record%2FWOS:000428464200008","View Full Record in Web of Science")</f>
        <v>View Full Record in Web of Science</v>
      </c>
    </row>
    <row r="404" spans="1:72" x14ac:dyDescent="0.15">
      <c r="A404" t="s">
        <v>72</v>
      </c>
      <c r="B404" t="s">
        <v>8079</v>
      </c>
      <c r="C404" t="s">
        <v>74</v>
      </c>
      <c r="D404" t="s">
        <v>74</v>
      </c>
      <c r="E404" t="s">
        <v>74</v>
      </c>
      <c r="F404" t="s">
        <v>8080</v>
      </c>
      <c r="G404" t="s">
        <v>74</v>
      </c>
      <c r="H404" t="s">
        <v>74</v>
      </c>
      <c r="I404" t="s">
        <v>8081</v>
      </c>
      <c r="J404" t="s">
        <v>8082</v>
      </c>
      <c r="K404" t="s">
        <v>74</v>
      </c>
      <c r="L404" t="s">
        <v>74</v>
      </c>
      <c r="M404" t="s">
        <v>78</v>
      </c>
      <c r="N404" t="s">
        <v>79</v>
      </c>
      <c r="O404" t="s">
        <v>74</v>
      </c>
      <c r="P404" t="s">
        <v>74</v>
      </c>
      <c r="Q404" t="s">
        <v>74</v>
      </c>
      <c r="R404" t="s">
        <v>74</v>
      </c>
      <c r="S404" t="s">
        <v>74</v>
      </c>
      <c r="T404" t="s">
        <v>8083</v>
      </c>
      <c r="U404" t="s">
        <v>74</v>
      </c>
      <c r="V404" t="s">
        <v>8084</v>
      </c>
      <c r="W404" t="s">
        <v>8085</v>
      </c>
      <c r="X404" t="s">
        <v>8086</v>
      </c>
      <c r="Y404" t="s">
        <v>8087</v>
      </c>
      <c r="Z404" t="s">
        <v>8088</v>
      </c>
      <c r="AA404" t="s">
        <v>74</v>
      </c>
      <c r="AB404" t="s">
        <v>8089</v>
      </c>
      <c r="AC404" t="s">
        <v>74</v>
      </c>
      <c r="AD404" t="s">
        <v>74</v>
      </c>
      <c r="AE404" t="s">
        <v>74</v>
      </c>
      <c r="AF404" t="s">
        <v>74</v>
      </c>
      <c r="AG404">
        <v>65</v>
      </c>
      <c r="AH404">
        <v>15</v>
      </c>
      <c r="AI404">
        <v>15</v>
      </c>
      <c r="AJ404">
        <v>1</v>
      </c>
      <c r="AK404">
        <v>13</v>
      </c>
      <c r="AL404" t="s">
        <v>8090</v>
      </c>
      <c r="AM404" t="s">
        <v>7191</v>
      </c>
      <c r="AN404" t="s">
        <v>8091</v>
      </c>
      <c r="AO404" t="s">
        <v>8092</v>
      </c>
      <c r="AP404" t="s">
        <v>8093</v>
      </c>
      <c r="AQ404" t="s">
        <v>74</v>
      </c>
      <c r="AR404" t="s">
        <v>8094</v>
      </c>
      <c r="AS404" t="s">
        <v>8095</v>
      </c>
      <c r="AT404" t="s">
        <v>74</v>
      </c>
      <c r="AU404">
        <v>2018</v>
      </c>
      <c r="AV404">
        <v>33</v>
      </c>
      <c r="AW404">
        <v>1</v>
      </c>
      <c r="AX404" t="s">
        <v>74</v>
      </c>
      <c r="AY404" t="s">
        <v>74</v>
      </c>
      <c r="AZ404" t="s">
        <v>74</v>
      </c>
      <c r="BA404" t="s">
        <v>74</v>
      </c>
      <c r="BB404">
        <v>199</v>
      </c>
      <c r="BC404">
        <v>260</v>
      </c>
      <c r="BD404" t="s">
        <v>74</v>
      </c>
      <c r="BE404" t="s">
        <v>8096</v>
      </c>
      <c r="BF404" t="str">
        <f>HYPERLINK("http://dx.doi.org/10.1163/15718085-13310013","http://dx.doi.org/10.1163/15718085-13310013")</f>
        <v>http://dx.doi.org/10.1163/15718085-13310013</v>
      </c>
      <c r="BG404" t="s">
        <v>74</v>
      </c>
      <c r="BH404" t="s">
        <v>74</v>
      </c>
      <c r="BI404">
        <v>62</v>
      </c>
      <c r="BJ404" t="s">
        <v>2924</v>
      </c>
      <c r="BK404" t="s">
        <v>3136</v>
      </c>
      <c r="BL404" t="s">
        <v>2925</v>
      </c>
      <c r="BM404" t="s">
        <v>8097</v>
      </c>
      <c r="BN404" t="s">
        <v>74</v>
      </c>
      <c r="BO404" t="s">
        <v>8098</v>
      </c>
      <c r="BP404" t="s">
        <v>74</v>
      </c>
      <c r="BQ404" t="s">
        <v>74</v>
      </c>
      <c r="BR404" t="s">
        <v>105</v>
      </c>
      <c r="BS404" t="s">
        <v>8099</v>
      </c>
      <c r="BT404" t="str">
        <f>HYPERLINK("https%3A%2F%2Fwww.webofscience.com%2Fwos%2Fwoscc%2Ffull-record%2FWOS:000427972800006","View Full Record in Web of Science")</f>
        <v>View Full Record in Web of Science</v>
      </c>
    </row>
    <row r="405" spans="1:72" x14ac:dyDescent="0.15">
      <c r="A405" t="s">
        <v>72</v>
      </c>
      <c r="B405" t="s">
        <v>8100</v>
      </c>
      <c r="C405" t="s">
        <v>74</v>
      </c>
      <c r="D405" t="s">
        <v>74</v>
      </c>
      <c r="E405" t="s">
        <v>74</v>
      </c>
      <c r="F405" t="s">
        <v>8101</v>
      </c>
      <c r="G405" t="s">
        <v>74</v>
      </c>
      <c r="H405" t="s">
        <v>74</v>
      </c>
      <c r="I405" t="s">
        <v>8102</v>
      </c>
      <c r="J405" t="s">
        <v>8103</v>
      </c>
      <c r="K405" t="s">
        <v>74</v>
      </c>
      <c r="L405" t="s">
        <v>74</v>
      </c>
      <c r="M405" t="s">
        <v>78</v>
      </c>
      <c r="N405" t="s">
        <v>79</v>
      </c>
      <c r="O405" t="s">
        <v>74</v>
      </c>
      <c r="P405" t="s">
        <v>74</v>
      </c>
      <c r="Q405" t="s">
        <v>74</v>
      </c>
      <c r="R405" t="s">
        <v>74</v>
      </c>
      <c r="S405" t="s">
        <v>74</v>
      </c>
      <c r="T405" t="s">
        <v>8104</v>
      </c>
      <c r="U405" t="s">
        <v>8105</v>
      </c>
      <c r="V405" t="s">
        <v>8106</v>
      </c>
      <c r="W405" t="s">
        <v>8107</v>
      </c>
      <c r="X405" t="s">
        <v>8108</v>
      </c>
      <c r="Y405" t="s">
        <v>8109</v>
      </c>
      <c r="Z405" t="s">
        <v>8110</v>
      </c>
      <c r="AA405" t="s">
        <v>8111</v>
      </c>
      <c r="AB405" t="s">
        <v>8112</v>
      </c>
      <c r="AC405" t="s">
        <v>8113</v>
      </c>
      <c r="AD405" t="s">
        <v>8114</v>
      </c>
      <c r="AE405" t="s">
        <v>8115</v>
      </c>
      <c r="AF405" t="s">
        <v>74</v>
      </c>
      <c r="AG405">
        <v>52</v>
      </c>
      <c r="AH405">
        <v>2</v>
      </c>
      <c r="AI405">
        <v>2</v>
      </c>
      <c r="AJ405">
        <v>0</v>
      </c>
      <c r="AK405">
        <v>7</v>
      </c>
      <c r="AL405" t="s">
        <v>8116</v>
      </c>
      <c r="AM405" t="s">
        <v>8117</v>
      </c>
      <c r="AN405" t="s">
        <v>8118</v>
      </c>
      <c r="AO405" t="s">
        <v>8119</v>
      </c>
      <c r="AP405" t="s">
        <v>8120</v>
      </c>
      <c r="AQ405" t="s">
        <v>74</v>
      </c>
      <c r="AR405" t="s">
        <v>8121</v>
      </c>
      <c r="AS405" t="s">
        <v>8122</v>
      </c>
      <c r="AT405" t="s">
        <v>74</v>
      </c>
      <c r="AU405">
        <v>2018</v>
      </c>
      <c r="AV405">
        <v>118</v>
      </c>
      <c r="AW405">
        <v>1</v>
      </c>
      <c r="AX405" t="s">
        <v>74</v>
      </c>
      <c r="AY405" t="s">
        <v>74</v>
      </c>
      <c r="AZ405" t="s">
        <v>74</v>
      </c>
      <c r="BA405" t="s">
        <v>74</v>
      </c>
      <c r="BB405">
        <v>1</v>
      </c>
      <c r="BC405">
        <v>16</v>
      </c>
      <c r="BD405" t="s">
        <v>74</v>
      </c>
      <c r="BE405" t="s">
        <v>8123</v>
      </c>
      <c r="BF405" t="str">
        <f>HYPERLINK("http://dx.doi.org/10.1080/00167223.2017.1386581","http://dx.doi.org/10.1080/00167223.2017.1386581")</f>
        <v>http://dx.doi.org/10.1080/00167223.2017.1386581</v>
      </c>
      <c r="BG405" t="s">
        <v>74</v>
      </c>
      <c r="BH405" t="s">
        <v>74</v>
      </c>
      <c r="BI405">
        <v>16</v>
      </c>
      <c r="BJ405" t="s">
        <v>8124</v>
      </c>
      <c r="BK405" t="s">
        <v>3136</v>
      </c>
      <c r="BL405" t="s">
        <v>8125</v>
      </c>
      <c r="BM405" t="s">
        <v>8126</v>
      </c>
      <c r="BN405" t="s">
        <v>74</v>
      </c>
      <c r="BO405" t="s">
        <v>389</v>
      </c>
      <c r="BP405" t="s">
        <v>74</v>
      </c>
      <c r="BQ405" t="s">
        <v>74</v>
      </c>
      <c r="BR405" t="s">
        <v>105</v>
      </c>
      <c r="BS405" t="s">
        <v>8127</v>
      </c>
      <c r="BT405" t="str">
        <f>HYPERLINK("https%3A%2F%2Fwww.webofscience.com%2Fwos%2Fwoscc%2Ffull-record%2FWOS:000427705200001","View Full Record in Web of Science")</f>
        <v>View Full Record in Web of Science</v>
      </c>
    </row>
    <row r="406" spans="1:72" x14ac:dyDescent="0.15">
      <c r="A406" t="s">
        <v>72</v>
      </c>
      <c r="B406" t="s">
        <v>8128</v>
      </c>
      <c r="C406" t="s">
        <v>74</v>
      </c>
      <c r="D406" t="s">
        <v>74</v>
      </c>
      <c r="E406" t="s">
        <v>74</v>
      </c>
      <c r="F406" t="s">
        <v>8129</v>
      </c>
      <c r="G406" t="s">
        <v>74</v>
      </c>
      <c r="H406" t="s">
        <v>74</v>
      </c>
      <c r="I406" t="s">
        <v>8130</v>
      </c>
      <c r="J406" t="s">
        <v>6514</v>
      </c>
      <c r="K406" t="s">
        <v>74</v>
      </c>
      <c r="L406" t="s">
        <v>74</v>
      </c>
      <c r="M406" t="s">
        <v>78</v>
      </c>
      <c r="N406" t="s">
        <v>289</v>
      </c>
      <c r="O406" t="s">
        <v>74</v>
      </c>
      <c r="P406" t="s">
        <v>74</v>
      </c>
      <c r="Q406" t="s">
        <v>74</v>
      </c>
      <c r="R406" t="s">
        <v>74</v>
      </c>
      <c r="S406" t="s">
        <v>74</v>
      </c>
      <c r="T406" t="s">
        <v>8131</v>
      </c>
      <c r="U406" t="s">
        <v>8132</v>
      </c>
      <c r="V406" t="s">
        <v>8133</v>
      </c>
      <c r="W406" t="s">
        <v>8134</v>
      </c>
      <c r="X406" t="s">
        <v>8135</v>
      </c>
      <c r="Y406" t="s">
        <v>8136</v>
      </c>
      <c r="Z406" t="s">
        <v>6521</v>
      </c>
      <c r="AA406" t="s">
        <v>8137</v>
      </c>
      <c r="AB406" t="s">
        <v>8138</v>
      </c>
      <c r="AC406" t="s">
        <v>8139</v>
      </c>
      <c r="AD406" t="s">
        <v>8140</v>
      </c>
      <c r="AE406" t="s">
        <v>8141</v>
      </c>
      <c r="AF406" t="s">
        <v>74</v>
      </c>
      <c r="AG406">
        <v>233</v>
      </c>
      <c r="AH406">
        <v>31</v>
      </c>
      <c r="AI406">
        <v>31</v>
      </c>
      <c r="AJ406">
        <v>3</v>
      </c>
      <c r="AK406">
        <v>89</v>
      </c>
      <c r="AL406" t="s">
        <v>1700</v>
      </c>
      <c r="AM406" t="s">
        <v>1701</v>
      </c>
      <c r="AN406" t="s">
        <v>1702</v>
      </c>
      <c r="AO406" t="s">
        <v>6527</v>
      </c>
      <c r="AP406" t="s">
        <v>6528</v>
      </c>
      <c r="AQ406" t="s">
        <v>74</v>
      </c>
      <c r="AR406" t="s">
        <v>6529</v>
      </c>
      <c r="AS406" t="s">
        <v>6530</v>
      </c>
      <c r="AT406" t="s">
        <v>74</v>
      </c>
      <c r="AU406">
        <v>2018</v>
      </c>
      <c r="AV406">
        <v>52</v>
      </c>
      <c r="AW406">
        <v>2</v>
      </c>
      <c r="AX406" t="s">
        <v>74</v>
      </c>
      <c r="AY406" t="s">
        <v>74</v>
      </c>
      <c r="AZ406" t="s">
        <v>74</v>
      </c>
      <c r="BA406" t="s">
        <v>74</v>
      </c>
      <c r="BB406">
        <v>155</v>
      </c>
      <c r="BC406">
        <v>195</v>
      </c>
      <c r="BD406" t="s">
        <v>74</v>
      </c>
      <c r="BE406" t="s">
        <v>8142</v>
      </c>
      <c r="BF406" t="str">
        <f>HYPERLINK("http://dx.doi.org/10.1080/00288330.2017.1374983","http://dx.doi.org/10.1080/00288330.2017.1374983")</f>
        <v>http://dx.doi.org/10.1080/00288330.2017.1374983</v>
      </c>
      <c r="BG406" t="s">
        <v>74</v>
      </c>
      <c r="BH406" t="s">
        <v>74</v>
      </c>
      <c r="BI406">
        <v>41</v>
      </c>
      <c r="BJ406" t="s">
        <v>5119</v>
      </c>
      <c r="BK406" t="s">
        <v>101</v>
      </c>
      <c r="BL406" t="s">
        <v>5119</v>
      </c>
      <c r="BM406" t="s">
        <v>8143</v>
      </c>
      <c r="BN406" t="s">
        <v>74</v>
      </c>
      <c r="BO406" t="s">
        <v>74</v>
      </c>
      <c r="BP406" t="s">
        <v>74</v>
      </c>
      <c r="BQ406" t="s">
        <v>74</v>
      </c>
      <c r="BR406" t="s">
        <v>105</v>
      </c>
      <c r="BS406" t="s">
        <v>8144</v>
      </c>
      <c r="BT406" t="str">
        <f>HYPERLINK("https%3A%2F%2Fwww.webofscience.com%2Fwos%2Fwoscc%2Ffull-record%2FWOS:000427901000002","View Full Record in Web of Science")</f>
        <v>View Full Record in Web of Science</v>
      </c>
    </row>
    <row r="407" spans="1:72" x14ac:dyDescent="0.15">
      <c r="A407" t="s">
        <v>72</v>
      </c>
      <c r="B407" t="s">
        <v>8145</v>
      </c>
      <c r="C407" t="s">
        <v>74</v>
      </c>
      <c r="D407" t="s">
        <v>74</v>
      </c>
      <c r="E407" t="s">
        <v>74</v>
      </c>
      <c r="F407" t="s">
        <v>8146</v>
      </c>
      <c r="G407" t="s">
        <v>74</v>
      </c>
      <c r="H407" t="s">
        <v>74</v>
      </c>
      <c r="I407" t="s">
        <v>8147</v>
      </c>
      <c r="J407" t="s">
        <v>6514</v>
      </c>
      <c r="K407" t="s">
        <v>74</v>
      </c>
      <c r="L407" t="s">
        <v>74</v>
      </c>
      <c r="M407" t="s">
        <v>78</v>
      </c>
      <c r="N407" t="s">
        <v>79</v>
      </c>
      <c r="O407" t="s">
        <v>74</v>
      </c>
      <c r="P407" t="s">
        <v>74</v>
      </c>
      <c r="Q407" t="s">
        <v>74</v>
      </c>
      <c r="R407" t="s">
        <v>74</v>
      </c>
      <c r="S407" t="s">
        <v>74</v>
      </c>
      <c r="T407" t="s">
        <v>8148</v>
      </c>
      <c r="U407" t="s">
        <v>8149</v>
      </c>
      <c r="V407" t="s">
        <v>8150</v>
      </c>
      <c r="W407" t="s">
        <v>8151</v>
      </c>
      <c r="X407" t="s">
        <v>8152</v>
      </c>
      <c r="Y407" t="s">
        <v>8153</v>
      </c>
      <c r="Z407" t="s">
        <v>8154</v>
      </c>
      <c r="AA407" t="s">
        <v>74</v>
      </c>
      <c r="AB407" t="s">
        <v>74</v>
      </c>
      <c r="AC407" t="s">
        <v>8155</v>
      </c>
      <c r="AD407" t="s">
        <v>8156</v>
      </c>
      <c r="AE407" t="s">
        <v>8157</v>
      </c>
      <c r="AF407" t="s">
        <v>74</v>
      </c>
      <c r="AG407">
        <v>84</v>
      </c>
      <c r="AH407">
        <v>0</v>
      </c>
      <c r="AI407">
        <v>0</v>
      </c>
      <c r="AJ407">
        <v>0</v>
      </c>
      <c r="AK407">
        <v>11</v>
      </c>
      <c r="AL407" t="s">
        <v>1700</v>
      </c>
      <c r="AM407" t="s">
        <v>1701</v>
      </c>
      <c r="AN407" t="s">
        <v>1702</v>
      </c>
      <c r="AO407" t="s">
        <v>6527</v>
      </c>
      <c r="AP407" t="s">
        <v>6528</v>
      </c>
      <c r="AQ407" t="s">
        <v>74</v>
      </c>
      <c r="AR407" t="s">
        <v>6529</v>
      </c>
      <c r="AS407" t="s">
        <v>6530</v>
      </c>
      <c r="AT407" t="s">
        <v>74</v>
      </c>
      <c r="AU407">
        <v>2018</v>
      </c>
      <c r="AV407">
        <v>52</v>
      </c>
      <c r="AW407">
        <v>2</v>
      </c>
      <c r="AX407" t="s">
        <v>74</v>
      </c>
      <c r="AY407" t="s">
        <v>74</v>
      </c>
      <c r="AZ407" t="s">
        <v>74</v>
      </c>
      <c r="BA407" t="s">
        <v>74</v>
      </c>
      <c r="BB407">
        <v>264</v>
      </c>
      <c r="BC407">
        <v>283</v>
      </c>
      <c r="BD407" t="s">
        <v>74</v>
      </c>
      <c r="BE407" t="s">
        <v>8158</v>
      </c>
      <c r="BF407" t="str">
        <f>HYPERLINK("http://dx.doi.org/10.1080/00288330.2017.1383278","http://dx.doi.org/10.1080/00288330.2017.1383278")</f>
        <v>http://dx.doi.org/10.1080/00288330.2017.1383278</v>
      </c>
      <c r="BG407" t="s">
        <v>74</v>
      </c>
      <c r="BH407" t="s">
        <v>74</v>
      </c>
      <c r="BI407">
        <v>20</v>
      </c>
      <c r="BJ407" t="s">
        <v>5119</v>
      </c>
      <c r="BK407" t="s">
        <v>101</v>
      </c>
      <c r="BL407" t="s">
        <v>5119</v>
      </c>
      <c r="BM407" t="s">
        <v>8143</v>
      </c>
      <c r="BN407" t="s">
        <v>74</v>
      </c>
      <c r="BO407" t="s">
        <v>74</v>
      </c>
      <c r="BP407" t="s">
        <v>74</v>
      </c>
      <c r="BQ407" t="s">
        <v>74</v>
      </c>
      <c r="BR407" t="s">
        <v>105</v>
      </c>
      <c r="BS407" t="s">
        <v>8159</v>
      </c>
      <c r="BT407" t="str">
        <f>HYPERLINK("https%3A%2F%2Fwww.webofscience.com%2Fwos%2Fwoscc%2Ffull-record%2FWOS:000427901000006","View Full Record in Web of Science")</f>
        <v>View Full Record in Web of Science</v>
      </c>
    </row>
    <row r="408" spans="1:72" x14ac:dyDescent="0.15">
      <c r="A408" t="s">
        <v>72</v>
      </c>
      <c r="B408" t="s">
        <v>8160</v>
      </c>
      <c r="C408" t="s">
        <v>74</v>
      </c>
      <c r="D408" t="s">
        <v>74</v>
      </c>
      <c r="E408" t="s">
        <v>74</v>
      </c>
      <c r="F408" t="s">
        <v>8161</v>
      </c>
      <c r="G408" t="s">
        <v>74</v>
      </c>
      <c r="H408" t="s">
        <v>74</v>
      </c>
      <c r="I408" t="s">
        <v>8162</v>
      </c>
      <c r="J408" t="s">
        <v>8163</v>
      </c>
      <c r="K408" t="s">
        <v>74</v>
      </c>
      <c r="L408" t="s">
        <v>74</v>
      </c>
      <c r="M408" t="s">
        <v>78</v>
      </c>
      <c r="N408" t="s">
        <v>79</v>
      </c>
      <c r="O408" t="s">
        <v>74</v>
      </c>
      <c r="P408" t="s">
        <v>74</v>
      </c>
      <c r="Q408" t="s">
        <v>74</v>
      </c>
      <c r="R408" t="s">
        <v>74</v>
      </c>
      <c r="S408" t="s">
        <v>74</v>
      </c>
      <c r="T408" t="s">
        <v>8164</v>
      </c>
      <c r="U408" t="s">
        <v>8165</v>
      </c>
      <c r="V408" t="s">
        <v>8166</v>
      </c>
      <c r="W408" t="s">
        <v>8167</v>
      </c>
      <c r="X408" t="s">
        <v>8168</v>
      </c>
      <c r="Y408" t="s">
        <v>8169</v>
      </c>
      <c r="Z408" t="s">
        <v>8170</v>
      </c>
      <c r="AA408" t="s">
        <v>8171</v>
      </c>
      <c r="AB408" t="s">
        <v>8172</v>
      </c>
      <c r="AC408" t="s">
        <v>8173</v>
      </c>
      <c r="AD408" t="s">
        <v>8174</v>
      </c>
      <c r="AE408" t="s">
        <v>8175</v>
      </c>
      <c r="AF408" t="s">
        <v>74</v>
      </c>
      <c r="AG408">
        <v>54</v>
      </c>
      <c r="AH408">
        <v>2</v>
      </c>
      <c r="AI408">
        <v>4</v>
      </c>
      <c r="AJ408">
        <v>3</v>
      </c>
      <c r="AK408">
        <v>17</v>
      </c>
      <c r="AL408" t="s">
        <v>8176</v>
      </c>
      <c r="AM408" t="s">
        <v>3248</v>
      </c>
      <c r="AN408" t="s">
        <v>8177</v>
      </c>
      <c r="AO408" t="s">
        <v>8178</v>
      </c>
      <c r="AP408" t="s">
        <v>74</v>
      </c>
      <c r="AQ408" t="s">
        <v>74</v>
      </c>
      <c r="AR408" t="s">
        <v>8179</v>
      </c>
      <c r="AS408" t="s">
        <v>8180</v>
      </c>
      <c r="AT408" t="s">
        <v>74</v>
      </c>
      <c r="AU408">
        <v>2018</v>
      </c>
      <c r="AV408">
        <v>13</v>
      </c>
      <c r="AW408">
        <v>1</v>
      </c>
      <c r="AX408" t="s">
        <v>74</v>
      </c>
      <c r="AY408" t="s">
        <v>74</v>
      </c>
      <c r="AZ408" t="s">
        <v>74</v>
      </c>
      <c r="BA408" t="s">
        <v>74</v>
      </c>
      <c r="BB408">
        <v>11</v>
      </c>
      <c r="BC408">
        <v>21</v>
      </c>
      <c r="BD408" t="s">
        <v>74</v>
      </c>
      <c r="BE408" t="s">
        <v>8181</v>
      </c>
      <c r="BF408" t="str">
        <f>HYPERLINK("http://dx.doi.org/10.1515/biol-2018-0002","http://dx.doi.org/10.1515/biol-2018-0002")</f>
        <v>http://dx.doi.org/10.1515/biol-2018-0002</v>
      </c>
      <c r="BG408" t="s">
        <v>74</v>
      </c>
      <c r="BH408" t="s">
        <v>74</v>
      </c>
      <c r="BI408">
        <v>11</v>
      </c>
      <c r="BJ408" t="s">
        <v>8182</v>
      </c>
      <c r="BK408" t="s">
        <v>101</v>
      </c>
      <c r="BL408" t="s">
        <v>8183</v>
      </c>
      <c r="BM408" t="s">
        <v>8184</v>
      </c>
      <c r="BN408">
        <v>33817062</v>
      </c>
      <c r="BO408" t="s">
        <v>681</v>
      </c>
      <c r="BP408" t="s">
        <v>74</v>
      </c>
      <c r="BQ408" t="s">
        <v>74</v>
      </c>
      <c r="BR408" t="s">
        <v>105</v>
      </c>
      <c r="BS408" t="s">
        <v>8185</v>
      </c>
      <c r="BT408" t="str">
        <f>HYPERLINK("https%3A%2F%2Fwww.webofscience.com%2Fwos%2Fwoscc%2Ffull-record%2FWOS:000427997300002","View Full Record in Web of Science")</f>
        <v>View Full Record in Web of Science</v>
      </c>
    </row>
    <row r="409" spans="1:72" x14ac:dyDescent="0.15">
      <c r="A409" t="s">
        <v>72</v>
      </c>
      <c r="B409" t="s">
        <v>8186</v>
      </c>
      <c r="C409" t="s">
        <v>74</v>
      </c>
      <c r="D409" t="s">
        <v>74</v>
      </c>
      <c r="E409" t="s">
        <v>74</v>
      </c>
      <c r="F409" t="s">
        <v>8187</v>
      </c>
      <c r="G409" t="s">
        <v>74</v>
      </c>
      <c r="H409" t="s">
        <v>74</v>
      </c>
      <c r="I409" t="s">
        <v>8188</v>
      </c>
      <c r="J409" t="s">
        <v>8189</v>
      </c>
      <c r="K409" t="s">
        <v>74</v>
      </c>
      <c r="L409" t="s">
        <v>74</v>
      </c>
      <c r="M409" t="s">
        <v>78</v>
      </c>
      <c r="N409" t="s">
        <v>79</v>
      </c>
      <c r="O409" t="s">
        <v>74</v>
      </c>
      <c r="P409" t="s">
        <v>74</v>
      </c>
      <c r="Q409" t="s">
        <v>74</v>
      </c>
      <c r="R409" t="s">
        <v>74</v>
      </c>
      <c r="S409" t="s">
        <v>74</v>
      </c>
      <c r="T409" t="s">
        <v>8190</v>
      </c>
      <c r="U409" t="s">
        <v>8191</v>
      </c>
      <c r="V409" t="s">
        <v>8192</v>
      </c>
      <c r="W409" t="s">
        <v>8193</v>
      </c>
      <c r="X409" t="s">
        <v>8194</v>
      </c>
      <c r="Y409" t="s">
        <v>8195</v>
      </c>
      <c r="Z409" t="s">
        <v>8196</v>
      </c>
      <c r="AA409" t="s">
        <v>8197</v>
      </c>
      <c r="AB409" t="s">
        <v>74</v>
      </c>
      <c r="AC409" t="s">
        <v>8198</v>
      </c>
      <c r="AD409" t="s">
        <v>8198</v>
      </c>
      <c r="AE409" t="s">
        <v>8199</v>
      </c>
      <c r="AF409" t="s">
        <v>74</v>
      </c>
      <c r="AG409">
        <v>45</v>
      </c>
      <c r="AH409">
        <v>6</v>
      </c>
      <c r="AI409">
        <v>6</v>
      </c>
      <c r="AJ409">
        <v>6</v>
      </c>
      <c r="AK409">
        <v>40</v>
      </c>
      <c r="AL409" t="s">
        <v>512</v>
      </c>
      <c r="AM409" t="s">
        <v>513</v>
      </c>
      <c r="AN409" t="s">
        <v>514</v>
      </c>
      <c r="AO409" t="s">
        <v>8200</v>
      </c>
      <c r="AP409" t="s">
        <v>8201</v>
      </c>
      <c r="AQ409" t="s">
        <v>74</v>
      </c>
      <c r="AR409" t="s">
        <v>8202</v>
      </c>
      <c r="AS409" t="s">
        <v>8203</v>
      </c>
      <c r="AT409" t="s">
        <v>74</v>
      </c>
      <c r="AU409">
        <v>2018</v>
      </c>
      <c r="AV409">
        <v>81</v>
      </c>
      <c r="AW409">
        <v>1</v>
      </c>
      <c r="AX409" t="s">
        <v>74</v>
      </c>
      <c r="AY409" t="s">
        <v>74</v>
      </c>
      <c r="AZ409" t="s">
        <v>74</v>
      </c>
      <c r="BA409" t="s">
        <v>74</v>
      </c>
      <c r="BB409">
        <v>19</v>
      </c>
      <c r="BC409">
        <v>35</v>
      </c>
      <c r="BD409" t="s">
        <v>74</v>
      </c>
      <c r="BE409" t="s">
        <v>8204</v>
      </c>
      <c r="BF409" t="str">
        <f>HYPERLINK("http://dx.doi.org/10.3354/ame01856","http://dx.doi.org/10.3354/ame01856")</f>
        <v>http://dx.doi.org/10.3354/ame01856</v>
      </c>
      <c r="BG409" t="s">
        <v>74</v>
      </c>
      <c r="BH409" t="s">
        <v>74</v>
      </c>
      <c r="BI409">
        <v>17</v>
      </c>
      <c r="BJ409" t="s">
        <v>5217</v>
      </c>
      <c r="BK409" t="s">
        <v>101</v>
      </c>
      <c r="BL409" t="s">
        <v>5218</v>
      </c>
      <c r="BM409" t="s">
        <v>8205</v>
      </c>
      <c r="BN409" t="s">
        <v>74</v>
      </c>
      <c r="BO409" t="s">
        <v>74</v>
      </c>
      <c r="BP409" t="s">
        <v>74</v>
      </c>
      <c r="BQ409" t="s">
        <v>74</v>
      </c>
      <c r="BR409" t="s">
        <v>105</v>
      </c>
      <c r="BS409" t="s">
        <v>8206</v>
      </c>
      <c r="BT409" t="str">
        <f>HYPERLINK("https%3A%2F%2Fwww.webofscience.com%2Fwos%2Fwoscc%2Ffull-record%2FWOS:000427677800002","View Full Record in Web of Science")</f>
        <v>View Full Record in Web of Science</v>
      </c>
    </row>
    <row r="410" spans="1:72" x14ac:dyDescent="0.15">
      <c r="A410" t="s">
        <v>72</v>
      </c>
      <c r="B410" t="s">
        <v>8207</v>
      </c>
      <c r="C410" t="s">
        <v>74</v>
      </c>
      <c r="D410" t="s">
        <v>74</v>
      </c>
      <c r="E410" t="s">
        <v>74</v>
      </c>
      <c r="F410" t="s">
        <v>8208</v>
      </c>
      <c r="G410" t="s">
        <v>74</v>
      </c>
      <c r="H410" t="s">
        <v>74</v>
      </c>
      <c r="I410" t="s">
        <v>8209</v>
      </c>
      <c r="J410" t="s">
        <v>8210</v>
      </c>
      <c r="K410" t="s">
        <v>74</v>
      </c>
      <c r="L410" t="s">
        <v>74</v>
      </c>
      <c r="M410" t="s">
        <v>78</v>
      </c>
      <c r="N410" t="s">
        <v>79</v>
      </c>
      <c r="O410" t="s">
        <v>74</v>
      </c>
      <c r="P410" t="s">
        <v>74</v>
      </c>
      <c r="Q410" t="s">
        <v>74</v>
      </c>
      <c r="R410" t="s">
        <v>74</v>
      </c>
      <c r="S410" t="s">
        <v>74</v>
      </c>
      <c r="T410" t="s">
        <v>8211</v>
      </c>
      <c r="U410" t="s">
        <v>8212</v>
      </c>
      <c r="V410" t="s">
        <v>8213</v>
      </c>
      <c r="W410" t="s">
        <v>8214</v>
      </c>
      <c r="X410" t="s">
        <v>8215</v>
      </c>
      <c r="Y410" t="s">
        <v>8216</v>
      </c>
      <c r="Z410" t="s">
        <v>8217</v>
      </c>
      <c r="AA410" t="s">
        <v>74</v>
      </c>
      <c r="AB410" t="s">
        <v>8218</v>
      </c>
      <c r="AC410" t="s">
        <v>8219</v>
      </c>
      <c r="AD410" t="s">
        <v>8220</v>
      </c>
      <c r="AE410" t="s">
        <v>8221</v>
      </c>
      <c r="AF410" t="s">
        <v>74</v>
      </c>
      <c r="AG410">
        <v>38</v>
      </c>
      <c r="AH410">
        <v>3</v>
      </c>
      <c r="AI410">
        <v>4</v>
      </c>
      <c r="AJ410">
        <v>0</v>
      </c>
      <c r="AK410">
        <v>2</v>
      </c>
      <c r="AL410" t="s">
        <v>3149</v>
      </c>
      <c r="AM410" t="s">
        <v>8222</v>
      </c>
      <c r="AN410" t="s">
        <v>8223</v>
      </c>
      <c r="AO410" t="s">
        <v>8224</v>
      </c>
      <c r="AP410" t="s">
        <v>8225</v>
      </c>
      <c r="AQ410" t="s">
        <v>74</v>
      </c>
      <c r="AR410" t="s">
        <v>8210</v>
      </c>
      <c r="AS410" t="s">
        <v>8226</v>
      </c>
      <c r="AT410" t="s">
        <v>2468</v>
      </c>
      <c r="AU410">
        <v>2018</v>
      </c>
      <c r="AV410">
        <v>50</v>
      </c>
      <c r="AW410">
        <v>1</v>
      </c>
      <c r="AX410" t="s">
        <v>74</v>
      </c>
      <c r="AY410" t="s">
        <v>74</v>
      </c>
      <c r="AZ410" t="s">
        <v>74</v>
      </c>
      <c r="BA410" t="s">
        <v>74</v>
      </c>
      <c r="BB410">
        <v>101</v>
      </c>
      <c r="BC410">
        <v>112</v>
      </c>
      <c r="BD410" t="s">
        <v>74</v>
      </c>
      <c r="BE410" t="s">
        <v>8227</v>
      </c>
      <c r="BF410" t="str">
        <f>HYPERLINK("http://dx.doi.org/10.1017/S0024282917000652","http://dx.doi.org/10.1017/S0024282917000652")</f>
        <v>http://dx.doi.org/10.1017/S0024282917000652</v>
      </c>
      <c r="BG410" t="s">
        <v>74</v>
      </c>
      <c r="BH410" t="s">
        <v>74</v>
      </c>
      <c r="BI410">
        <v>12</v>
      </c>
      <c r="BJ410" t="s">
        <v>8228</v>
      </c>
      <c r="BK410" t="s">
        <v>101</v>
      </c>
      <c r="BL410" t="s">
        <v>8228</v>
      </c>
      <c r="BM410" t="s">
        <v>8229</v>
      </c>
      <c r="BN410" t="s">
        <v>74</v>
      </c>
      <c r="BO410" t="s">
        <v>74</v>
      </c>
      <c r="BP410" t="s">
        <v>74</v>
      </c>
      <c r="BQ410" t="s">
        <v>74</v>
      </c>
      <c r="BR410" t="s">
        <v>105</v>
      </c>
      <c r="BS410" t="s">
        <v>8230</v>
      </c>
      <c r="BT410" t="str">
        <f>HYPERLINK("https%3A%2F%2Fwww.webofscience.com%2Fwos%2Fwoscc%2Ffull-record%2FWOS:000427733800007","View Full Record in Web of Science")</f>
        <v>View Full Record in Web of Science</v>
      </c>
    </row>
    <row r="411" spans="1:72" x14ac:dyDescent="0.15">
      <c r="A411" t="s">
        <v>72</v>
      </c>
      <c r="B411" t="s">
        <v>8231</v>
      </c>
      <c r="C411" t="s">
        <v>74</v>
      </c>
      <c r="D411" t="s">
        <v>74</v>
      </c>
      <c r="E411" t="s">
        <v>74</v>
      </c>
      <c r="F411" t="s">
        <v>8232</v>
      </c>
      <c r="G411" t="s">
        <v>74</v>
      </c>
      <c r="H411" t="s">
        <v>74</v>
      </c>
      <c r="I411" t="s">
        <v>8233</v>
      </c>
      <c r="J411" t="s">
        <v>8234</v>
      </c>
      <c r="K411" t="s">
        <v>74</v>
      </c>
      <c r="L411" t="s">
        <v>74</v>
      </c>
      <c r="M411" t="s">
        <v>78</v>
      </c>
      <c r="N411" t="s">
        <v>79</v>
      </c>
      <c r="O411" t="s">
        <v>74</v>
      </c>
      <c r="P411" t="s">
        <v>74</v>
      </c>
      <c r="Q411" t="s">
        <v>74</v>
      </c>
      <c r="R411" t="s">
        <v>74</v>
      </c>
      <c r="S411" t="s">
        <v>74</v>
      </c>
      <c r="T411" t="s">
        <v>8235</v>
      </c>
      <c r="U411" t="s">
        <v>8236</v>
      </c>
      <c r="V411" t="s">
        <v>8237</v>
      </c>
      <c r="W411" t="s">
        <v>8238</v>
      </c>
      <c r="X411" t="s">
        <v>8239</v>
      </c>
      <c r="Y411" t="s">
        <v>8240</v>
      </c>
      <c r="Z411" t="s">
        <v>8241</v>
      </c>
      <c r="AA411" t="s">
        <v>8242</v>
      </c>
      <c r="AB411" t="s">
        <v>74</v>
      </c>
      <c r="AC411" t="s">
        <v>8243</v>
      </c>
      <c r="AD411" t="s">
        <v>4432</v>
      </c>
      <c r="AE411" t="s">
        <v>74</v>
      </c>
      <c r="AF411" t="s">
        <v>74</v>
      </c>
      <c r="AG411">
        <v>26</v>
      </c>
      <c r="AH411">
        <v>0</v>
      </c>
      <c r="AI411">
        <v>0</v>
      </c>
      <c r="AJ411">
        <v>0</v>
      </c>
      <c r="AK411">
        <v>6</v>
      </c>
      <c r="AL411" t="s">
        <v>8244</v>
      </c>
      <c r="AM411" t="s">
        <v>8245</v>
      </c>
      <c r="AN411" t="s">
        <v>8246</v>
      </c>
      <c r="AO411" t="s">
        <v>8247</v>
      </c>
      <c r="AP411" t="s">
        <v>8248</v>
      </c>
      <c r="AQ411" t="s">
        <v>74</v>
      </c>
      <c r="AR411" t="s">
        <v>8249</v>
      </c>
      <c r="AS411" t="s">
        <v>8250</v>
      </c>
      <c r="AT411" t="s">
        <v>8251</v>
      </c>
      <c r="AU411">
        <v>2018</v>
      </c>
      <c r="AV411">
        <v>52</v>
      </c>
      <c r="AW411">
        <v>1</v>
      </c>
      <c r="AX411" t="s">
        <v>74</v>
      </c>
      <c r="AY411" t="s">
        <v>74</v>
      </c>
      <c r="AZ411" t="s">
        <v>74</v>
      </c>
      <c r="BA411" t="s">
        <v>74</v>
      </c>
      <c r="BB411">
        <v>66</v>
      </c>
      <c r="BC411">
        <v>78</v>
      </c>
      <c r="BD411" t="s">
        <v>74</v>
      </c>
      <c r="BE411" t="s">
        <v>8252</v>
      </c>
      <c r="BF411" t="str">
        <f>HYPERLINK("http://dx.doi.org/10.4031/MTSJ.52.1.9","http://dx.doi.org/10.4031/MTSJ.52.1.9")</f>
        <v>http://dx.doi.org/10.4031/MTSJ.52.1.9</v>
      </c>
      <c r="BG411" t="s">
        <v>74</v>
      </c>
      <c r="BH411" t="s">
        <v>74</v>
      </c>
      <c r="BI411">
        <v>13</v>
      </c>
      <c r="BJ411" t="s">
        <v>8253</v>
      </c>
      <c r="BK411" t="s">
        <v>101</v>
      </c>
      <c r="BL411" t="s">
        <v>8254</v>
      </c>
      <c r="BM411" t="s">
        <v>8255</v>
      </c>
      <c r="BN411" t="s">
        <v>74</v>
      </c>
      <c r="BO411" t="s">
        <v>74</v>
      </c>
      <c r="BP411" t="s">
        <v>74</v>
      </c>
      <c r="BQ411" t="s">
        <v>74</v>
      </c>
      <c r="BR411" t="s">
        <v>105</v>
      </c>
      <c r="BS411" t="s">
        <v>8256</v>
      </c>
      <c r="BT411" t="str">
        <f>HYPERLINK("https%3A%2F%2Fwww.webofscience.com%2Fwos%2Fwoscc%2Ffull-record%2FWOS:000427448300009","View Full Record in Web of Science")</f>
        <v>View Full Record in Web of Science</v>
      </c>
    </row>
    <row r="412" spans="1:72" x14ac:dyDescent="0.15">
      <c r="A412" t="s">
        <v>72</v>
      </c>
      <c r="B412" t="s">
        <v>8257</v>
      </c>
      <c r="C412" t="s">
        <v>74</v>
      </c>
      <c r="D412" t="s">
        <v>74</v>
      </c>
      <c r="E412" t="s">
        <v>74</v>
      </c>
      <c r="F412" t="s">
        <v>8258</v>
      </c>
      <c r="G412" t="s">
        <v>74</v>
      </c>
      <c r="H412" t="s">
        <v>74</v>
      </c>
      <c r="I412" t="s">
        <v>8259</v>
      </c>
      <c r="J412" t="s">
        <v>8260</v>
      </c>
      <c r="K412" t="s">
        <v>74</v>
      </c>
      <c r="L412" t="s">
        <v>74</v>
      </c>
      <c r="M412" t="s">
        <v>78</v>
      </c>
      <c r="N412" t="s">
        <v>79</v>
      </c>
      <c r="O412" t="s">
        <v>74</v>
      </c>
      <c r="P412" t="s">
        <v>74</v>
      </c>
      <c r="Q412" t="s">
        <v>74</v>
      </c>
      <c r="R412" t="s">
        <v>74</v>
      </c>
      <c r="S412" t="s">
        <v>74</v>
      </c>
      <c r="T412" t="s">
        <v>8261</v>
      </c>
      <c r="U412" t="s">
        <v>8262</v>
      </c>
      <c r="V412" t="s">
        <v>8263</v>
      </c>
      <c r="W412" t="s">
        <v>8264</v>
      </c>
      <c r="X412" t="s">
        <v>8265</v>
      </c>
      <c r="Y412" t="s">
        <v>8266</v>
      </c>
      <c r="Z412" t="s">
        <v>8267</v>
      </c>
      <c r="AA412" t="s">
        <v>8268</v>
      </c>
      <c r="AB412" t="s">
        <v>8269</v>
      </c>
      <c r="AC412" t="s">
        <v>74</v>
      </c>
      <c r="AD412" t="s">
        <v>74</v>
      </c>
      <c r="AE412" t="s">
        <v>74</v>
      </c>
      <c r="AF412" t="s">
        <v>74</v>
      </c>
      <c r="AG412">
        <v>53</v>
      </c>
      <c r="AH412">
        <v>17</v>
      </c>
      <c r="AI412">
        <v>19</v>
      </c>
      <c r="AJ412">
        <v>1</v>
      </c>
      <c r="AK412">
        <v>25</v>
      </c>
      <c r="AL412" t="s">
        <v>2917</v>
      </c>
      <c r="AM412" t="s">
        <v>1701</v>
      </c>
      <c r="AN412" t="s">
        <v>2918</v>
      </c>
      <c r="AO412" t="s">
        <v>8270</v>
      </c>
      <c r="AP412" t="s">
        <v>8271</v>
      </c>
      <c r="AQ412" t="s">
        <v>74</v>
      </c>
      <c r="AR412" t="s">
        <v>8272</v>
      </c>
      <c r="AS412" t="s">
        <v>8273</v>
      </c>
      <c r="AT412" t="s">
        <v>74</v>
      </c>
      <c r="AU412">
        <v>2018</v>
      </c>
      <c r="AV412">
        <v>43</v>
      </c>
      <c r="AW412">
        <v>4</v>
      </c>
      <c r="AX412" t="s">
        <v>74</v>
      </c>
      <c r="AY412" t="s">
        <v>74</v>
      </c>
      <c r="AZ412" t="s">
        <v>74</v>
      </c>
      <c r="BA412" t="s">
        <v>74</v>
      </c>
      <c r="BB412">
        <v>625</v>
      </c>
      <c r="BC412">
        <v>643</v>
      </c>
      <c r="BD412" t="s">
        <v>74</v>
      </c>
      <c r="BE412" t="s">
        <v>8274</v>
      </c>
      <c r="BF412" t="str">
        <f>HYPERLINK("http://dx.doi.org/10.1080/03075079.2016.1185777","http://dx.doi.org/10.1080/03075079.2016.1185777")</f>
        <v>http://dx.doi.org/10.1080/03075079.2016.1185777</v>
      </c>
      <c r="BG412" t="s">
        <v>74</v>
      </c>
      <c r="BH412" t="s">
        <v>74</v>
      </c>
      <c r="BI412">
        <v>19</v>
      </c>
      <c r="BJ412" t="s">
        <v>8275</v>
      </c>
      <c r="BK412" t="s">
        <v>3136</v>
      </c>
      <c r="BL412" t="s">
        <v>8275</v>
      </c>
      <c r="BM412" t="s">
        <v>8276</v>
      </c>
      <c r="BN412" t="s">
        <v>74</v>
      </c>
      <c r="BO412" t="s">
        <v>74</v>
      </c>
      <c r="BP412" t="s">
        <v>74</v>
      </c>
      <c r="BQ412" t="s">
        <v>74</v>
      </c>
      <c r="BR412" t="s">
        <v>105</v>
      </c>
      <c r="BS412" t="s">
        <v>8277</v>
      </c>
      <c r="BT412" t="str">
        <f>HYPERLINK("https%3A%2F%2Fwww.webofscience.com%2Fwos%2Fwoscc%2Ffull-record%2FWOS:000427560900003","View Full Record in Web of Science")</f>
        <v>View Full Record in Web of Science</v>
      </c>
    </row>
    <row r="413" spans="1:72" x14ac:dyDescent="0.15">
      <c r="A413" t="s">
        <v>72</v>
      </c>
      <c r="B413" t="s">
        <v>8278</v>
      </c>
      <c r="C413" t="s">
        <v>74</v>
      </c>
      <c r="D413" t="s">
        <v>74</v>
      </c>
      <c r="E413" t="s">
        <v>74</v>
      </c>
      <c r="F413" t="s">
        <v>8279</v>
      </c>
      <c r="G413" t="s">
        <v>74</v>
      </c>
      <c r="H413" t="s">
        <v>74</v>
      </c>
      <c r="I413" t="s">
        <v>8280</v>
      </c>
      <c r="J413" t="s">
        <v>8281</v>
      </c>
      <c r="K413" t="s">
        <v>74</v>
      </c>
      <c r="L413" t="s">
        <v>74</v>
      </c>
      <c r="M413" t="s">
        <v>78</v>
      </c>
      <c r="N413" t="s">
        <v>79</v>
      </c>
      <c r="O413" t="s">
        <v>74</v>
      </c>
      <c r="P413" t="s">
        <v>74</v>
      </c>
      <c r="Q413" t="s">
        <v>74</v>
      </c>
      <c r="R413" t="s">
        <v>74</v>
      </c>
      <c r="S413" t="s">
        <v>74</v>
      </c>
      <c r="T413" t="s">
        <v>8282</v>
      </c>
      <c r="U413" t="s">
        <v>8283</v>
      </c>
      <c r="V413" t="s">
        <v>8284</v>
      </c>
      <c r="W413" t="s">
        <v>8285</v>
      </c>
      <c r="X413" t="s">
        <v>8286</v>
      </c>
      <c r="Y413" t="s">
        <v>8287</v>
      </c>
      <c r="Z413" t="s">
        <v>8288</v>
      </c>
      <c r="AA413" t="s">
        <v>8289</v>
      </c>
      <c r="AB413" t="s">
        <v>8290</v>
      </c>
      <c r="AC413" t="s">
        <v>8291</v>
      </c>
      <c r="AD413" t="s">
        <v>8292</v>
      </c>
      <c r="AE413" t="s">
        <v>8293</v>
      </c>
      <c r="AF413" t="s">
        <v>74</v>
      </c>
      <c r="AG413">
        <v>24</v>
      </c>
      <c r="AH413">
        <v>24</v>
      </c>
      <c r="AI413">
        <v>29</v>
      </c>
      <c r="AJ413">
        <v>4</v>
      </c>
      <c r="AK413">
        <v>34</v>
      </c>
      <c r="AL413" t="s">
        <v>1700</v>
      </c>
      <c r="AM413" t="s">
        <v>1701</v>
      </c>
      <c r="AN413" t="s">
        <v>1702</v>
      </c>
      <c r="AO413" t="s">
        <v>8294</v>
      </c>
      <c r="AP413" t="s">
        <v>8295</v>
      </c>
      <c r="AQ413" t="s">
        <v>74</v>
      </c>
      <c r="AR413" t="s">
        <v>8296</v>
      </c>
      <c r="AS413" t="s">
        <v>8297</v>
      </c>
      <c r="AT413" t="s">
        <v>74</v>
      </c>
      <c r="AU413">
        <v>2018</v>
      </c>
      <c r="AV413">
        <v>32</v>
      </c>
      <c r="AW413">
        <v>6</v>
      </c>
      <c r="AX413" t="s">
        <v>74</v>
      </c>
      <c r="AY413" t="s">
        <v>74</v>
      </c>
      <c r="AZ413" t="s">
        <v>74</v>
      </c>
      <c r="BA413" t="s">
        <v>74</v>
      </c>
      <c r="BB413">
        <v>662</v>
      </c>
      <c r="BC413">
        <v>667</v>
      </c>
      <c r="BD413" t="s">
        <v>74</v>
      </c>
      <c r="BE413" t="s">
        <v>8298</v>
      </c>
      <c r="BF413" t="str">
        <f>HYPERLINK("http://dx.doi.org/10.1080/14786419.2017.1335730","http://dx.doi.org/10.1080/14786419.2017.1335730")</f>
        <v>http://dx.doi.org/10.1080/14786419.2017.1335730</v>
      </c>
      <c r="BG413" t="s">
        <v>74</v>
      </c>
      <c r="BH413" t="s">
        <v>74</v>
      </c>
      <c r="BI413">
        <v>6</v>
      </c>
      <c r="BJ413" t="s">
        <v>8299</v>
      </c>
      <c r="BK413" t="s">
        <v>101</v>
      </c>
      <c r="BL413" t="s">
        <v>8300</v>
      </c>
      <c r="BM413" t="s">
        <v>8301</v>
      </c>
      <c r="BN413">
        <v>28602098</v>
      </c>
      <c r="BO413" t="s">
        <v>74</v>
      </c>
      <c r="BP413" t="s">
        <v>74</v>
      </c>
      <c r="BQ413" t="s">
        <v>74</v>
      </c>
      <c r="BR413" t="s">
        <v>105</v>
      </c>
      <c r="BS413" t="s">
        <v>8302</v>
      </c>
      <c r="BT413" t="str">
        <f>HYPERLINK("https%3A%2F%2Fwww.webofscience.com%2Fwos%2Fwoscc%2Ffull-record%2FWOS:000426942800006","View Full Record in Web of Science")</f>
        <v>View Full Record in Web of Science</v>
      </c>
    </row>
    <row r="414" spans="1:72" x14ac:dyDescent="0.15">
      <c r="A414" t="s">
        <v>72</v>
      </c>
      <c r="B414" t="s">
        <v>8303</v>
      </c>
      <c r="C414" t="s">
        <v>74</v>
      </c>
      <c r="D414" t="s">
        <v>74</v>
      </c>
      <c r="E414" t="s">
        <v>74</v>
      </c>
      <c r="F414" t="s">
        <v>8304</v>
      </c>
      <c r="G414" t="s">
        <v>74</v>
      </c>
      <c r="H414" t="s">
        <v>74</v>
      </c>
      <c r="I414" t="s">
        <v>8305</v>
      </c>
      <c r="J414" t="s">
        <v>5527</v>
      </c>
      <c r="K414" t="s">
        <v>74</v>
      </c>
      <c r="L414" t="s">
        <v>74</v>
      </c>
      <c r="M414" t="s">
        <v>78</v>
      </c>
      <c r="N414" t="s">
        <v>79</v>
      </c>
      <c r="O414" t="s">
        <v>74</v>
      </c>
      <c r="P414" t="s">
        <v>74</v>
      </c>
      <c r="Q414" t="s">
        <v>74</v>
      </c>
      <c r="R414" t="s">
        <v>74</v>
      </c>
      <c r="S414" t="s">
        <v>74</v>
      </c>
      <c r="T414" t="s">
        <v>8306</v>
      </c>
      <c r="U414" t="s">
        <v>8307</v>
      </c>
      <c r="V414" t="s">
        <v>8308</v>
      </c>
      <c r="W414" t="s">
        <v>8309</v>
      </c>
      <c r="X414" t="s">
        <v>8310</v>
      </c>
      <c r="Y414" t="s">
        <v>8311</v>
      </c>
      <c r="Z414" t="s">
        <v>8312</v>
      </c>
      <c r="AA414" t="s">
        <v>74</v>
      </c>
      <c r="AB414" t="s">
        <v>8313</v>
      </c>
      <c r="AC414" t="s">
        <v>8314</v>
      </c>
      <c r="AD414" t="s">
        <v>8314</v>
      </c>
      <c r="AE414" t="s">
        <v>8315</v>
      </c>
      <c r="AF414" t="s">
        <v>74</v>
      </c>
      <c r="AG414">
        <v>49</v>
      </c>
      <c r="AH414">
        <v>8</v>
      </c>
      <c r="AI414">
        <v>8</v>
      </c>
      <c r="AJ414">
        <v>1</v>
      </c>
      <c r="AK414">
        <v>8</v>
      </c>
      <c r="AL414" t="s">
        <v>271</v>
      </c>
      <c r="AM414" t="s">
        <v>272</v>
      </c>
      <c r="AN414" t="s">
        <v>273</v>
      </c>
      <c r="AO414" t="s">
        <v>8316</v>
      </c>
      <c r="AP414" t="s">
        <v>5540</v>
      </c>
      <c r="AQ414" t="s">
        <v>74</v>
      </c>
      <c r="AR414" t="s">
        <v>5541</v>
      </c>
      <c r="AS414" t="s">
        <v>5542</v>
      </c>
      <c r="AT414" t="s">
        <v>2468</v>
      </c>
      <c r="AU414">
        <v>2018</v>
      </c>
      <c r="AV414">
        <v>33</v>
      </c>
      <c r="AW414">
        <v>1</v>
      </c>
      <c r="AX414" t="s">
        <v>74</v>
      </c>
      <c r="AY414" t="s">
        <v>74</v>
      </c>
      <c r="AZ414" t="s">
        <v>74</v>
      </c>
      <c r="BA414" t="s">
        <v>74</v>
      </c>
      <c r="BB414">
        <v>21</v>
      </c>
      <c r="BC414">
        <v>30</v>
      </c>
      <c r="BD414" t="s">
        <v>74</v>
      </c>
      <c r="BE414" t="s">
        <v>8317</v>
      </c>
      <c r="BF414" t="str">
        <f>HYPERLINK("http://dx.doi.org/10.1002/2017PA003232","http://dx.doi.org/10.1002/2017PA003232")</f>
        <v>http://dx.doi.org/10.1002/2017PA003232</v>
      </c>
      <c r="BG414" t="s">
        <v>74</v>
      </c>
      <c r="BH414" t="s">
        <v>74</v>
      </c>
      <c r="BI414">
        <v>10</v>
      </c>
      <c r="BJ414" t="s">
        <v>5544</v>
      </c>
      <c r="BK414" t="s">
        <v>101</v>
      </c>
      <c r="BL414" t="s">
        <v>5545</v>
      </c>
      <c r="BM414" t="s">
        <v>5546</v>
      </c>
      <c r="BN414" t="s">
        <v>74</v>
      </c>
      <c r="BO414" t="s">
        <v>1434</v>
      </c>
      <c r="BP414" t="s">
        <v>74</v>
      </c>
      <c r="BQ414" t="s">
        <v>74</v>
      </c>
      <c r="BR414" t="s">
        <v>105</v>
      </c>
      <c r="BS414" t="s">
        <v>8318</v>
      </c>
      <c r="BT414" t="str">
        <f>HYPERLINK("https%3A%2F%2Fwww.webofscience.com%2Fwos%2Fwoscc%2Ffull-record%2FWOS:000426654000002","View Full Record in Web of Science")</f>
        <v>View Full Record in Web of Science</v>
      </c>
    </row>
    <row r="415" spans="1:72" x14ac:dyDescent="0.15">
      <c r="A415" t="s">
        <v>72</v>
      </c>
      <c r="B415" t="s">
        <v>8319</v>
      </c>
      <c r="C415" t="s">
        <v>74</v>
      </c>
      <c r="D415" t="s">
        <v>74</v>
      </c>
      <c r="E415" t="s">
        <v>74</v>
      </c>
      <c r="F415" t="s">
        <v>8320</v>
      </c>
      <c r="G415" t="s">
        <v>74</v>
      </c>
      <c r="H415" t="s">
        <v>74</v>
      </c>
      <c r="I415" t="s">
        <v>8321</v>
      </c>
      <c r="J415" t="s">
        <v>5527</v>
      </c>
      <c r="K415" t="s">
        <v>74</v>
      </c>
      <c r="L415" t="s">
        <v>74</v>
      </c>
      <c r="M415" t="s">
        <v>78</v>
      </c>
      <c r="N415" t="s">
        <v>79</v>
      </c>
      <c r="O415" t="s">
        <v>74</v>
      </c>
      <c r="P415" t="s">
        <v>74</v>
      </c>
      <c r="Q415" t="s">
        <v>74</v>
      </c>
      <c r="R415" t="s">
        <v>74</v>
      </c>
      <c r="S415" t="s">
        <v>74</v>
      </c>
      <c r="T415" t="s">
        <v>8322</v>
      </c>
      <c r="U415" t="s">
        <v>8323</v>
      </c>
      <c r="V415" t="s">
        <v>8324</v>
      </c>
      <c r="W415" t="s">
        <v>8325</v>
      </c>
      <c r="X415" t="s">
        <v>5129</v>
      </c>
      <c r="Y415" t="s">
        <v>8326</v>
      </c>
      <c r="Z415" t="s">
        <v>8327</v>
      </c>
      <c r="AA415" t="s">
        <v>8328</v>
      </c>
      <c r="AB415" t="s">
        <v>8329</v>
      </c>
      <c r="AC415" t="s">
        <v>8330</v>
      </c>
      <c r="AD415" t="s">
        <v>8331</v>
      </c>
      <c r="AE415" t="s">
        <v>8332</v>
      </c>
      <c r="AF415" t="s">
        <v>74</v>
      </c>
      <c r="AG415">
        <v>83</v>
      </c>
      <c r="AH415">
        <v>12</v>
      </c>
      <c r="AI415">
        <v>18</v>
      </c>
      <c r="AJ415">
        <v>0</v>
      </c>
      <c r="AK415">
        <v>14</v>
      </c>
      <c r="AL415" t="s">
        <v>271</v>
      </c>
      <c r="AM415" t="s">
        <v>272</v>
      </c>
      <c r="AN415" t="s">
        <v>273</v>
      </c>
      <c r="AO415" t="s">
        <v>8316</v>
      </c>
      <c r="AP415" t="s">
        <v>5540</v>
      </c>
      <c r="AQ415" t="s">
        <v>74</v>
      </c>
      <c r="AR415" t="s">
        <v>5541</v>
      </c>
      <c r="AS415" t="s">
        <v>5542</v>
      </c>
      <c r="AT415" t="s">
        <v>2468</v>
      </c>
      <c r="AU415">
        <v>2018</v>
      </c>
      <c r="AV415">
        <v>33</v>
      </c>
      <c r="AW415">
        <v>1</v>
      </c>
      <c r="AX415" t="s">
        <v>74</v>
      </c>
      <c r="AY415" t="s">
        <v>74</v>
      </c>
      <c r="AZ415" t="s">
        <v>74</v>
      </c>
      <c r="BA415" t="s">
        <v>74</v>
      </c>
      <c r="BB415">
        <v>76</v>
      </c>
      <c r="BC415">
        <v>92</v>
      </c>
      <c r="BD415" t="s">
        <v>74</v>
      </c>
      <c r="BE415" t="s">
        <v>8333</v>
      </c>
      <c r="BF415" t="str">
        <f>HYPERLINK("http://dx.doi.org/10.1002/2017PA003225","http://dx.doi.org/10.1002/2017PA003225")</f>
        <v>http://dx.doi.org/10.1002/2017PA003225</v>
      </c>
      <c r="BG415" t="s">
        <v>74</v>
      </c>
      <c r="BH415" t="s">
        <v>74</v>
      </c>
      <c r="BI415">
        <v>17</v>
      </c>
      <c r="BJ415" t="s">
        <v>5544</v>
      </c>
      <c r="BK415" t="s">
        <v>101</v>
      </c>
      <c r="BL415" t="s">
        <v>5545</v>
      </c>
      <c r="BM415" t="s">
        <v>5546</v>
      </c>
      <c r="BN415" t="s">
        <v>74</v>
      </c>
      <c r="BO415" t="s">
        <v>74</v>
      </c>
      <c r="BP415" t="s">
        <v>74</v>
      </c>
      <c r="BQ415" t="s">
        <v>74</v>
      </c>
      <c r="BR415" t="s">
        <v>105</v>
      </c>
      <c r="BS415" t="s">
        <v>8334</v>
      </c>
      <c r="BT415" t="str">
        <f>HYPERLINK("https%3A%2F%2Fwww.webofscience.com%2Fwos%2Fwoscc%2Ffull-record%2FWOS:000426654000006","View Full Record in Web of Science")</f>
        <v>View Full Record in Web of Science</v>
      </c>
    </row>
    <row r="416" spans="1:72" x14ac:dyDescent="0.15">
      <c r="A416" t="s">
        <v>72</v>
      </c>
      <c r="B416" t="s">
        <v>8335</v>
      </c>
      <c r="C416" t="s">
        <v>74</v>
      </c>
      <c r="D416" t="s">
        <v>74</v>
      </c>
      <c r="E416" t="s">
        <v>74</v>
      </c>
      <c r="F416" t="s">
        <v>8336</v>
      </c>
      <c r="G416" t="s">
        <v>74</v>
      </c>
      <c r="H416" t="s">
        <v>74</v>
      </c>
      <c r="I416" t="s">
        <v>8337</v>
      </c>
      <c r="J416" t="s">
        <v>8338</v>
      </c>
      <c r="K416" t="s">
        <v>74</v>
      </c>
      <c r="L416" t="s">
        <v>74</v>
      </c>
      <c r="M416" t="s">
        <v>78</v>
      </c>
      <c r="N416" t="s">
        <v>79</v>
      </c>
      <c r="O416" t="s">
        <v>74</v>
      </c>
      <c r="P416" t="s">
        <v>74</v>
      </c>
      <c r="Q416" t="s">
        <v>74</v>
      </c>
      <c r="R416" t="s">
        <v>74</v>
      </c>
      <c r="S416" t="s">
        <v>74</v>
      </c>
      <c r="T416" t="s">
        <v>8339</v>
      </c>
      <c r="U416" t="s">
        <v>8340</v>
      </c>
      <c r="V416" t="s">
        <v>8341</v>
      </c>
      <c r="W416" t="s">
        <v>8342</v>
      </c>
      <c r="X416" t="s">
        <v>2299</v>
      </c>
      <c r="Y416" t="s">
        <v>8343</v>
      </c>
      <c r="Z416" t="s">
        <v>8344</v>
      </c>
      <c r="AA416" t="s">
        <v>74</v>
      </c>
      <c r="AB416" t="s">
        <v>8345</v>
      </c>
      <c r="AC416" t="s">
        <v>8346</v>
      </c>
      <c r="AD416" t="s">
        <v>8347</v>
      </c>
      <c r="AE416" t="s">
        <v>8348</v>
      </c>
      <c r="AF416" t="s">
        <v>74</v>
      </c>
      <c r="AG416">
        <v>44</v>
      </c>
      <c r="AH416">
        <v>22</v>
      </c>
      <c r="AI416">
        <v>26</v>
      </c>
      <c r="AJ416">
        <v>1</v>
      </c>
      <c r="AK416">
        <v>26</v>
      </c>
      <c r="AL416" t="s">
        <v>4270</v>
      </c>
      <c r="AM416" t="s">
        <v>4271</v>
      </c>
      <c r="AN416" t="s">
        <v>4272</v>
      </c>
      <c r="AO416" t="s">
        <v>8349</v>
      </c>
      <c r="AP416" t="s">
        <v>8350</v>
      </c>
      <c r="AQ416" t="s">
        <v>74</v>
      </c>
      <c r="AR416" t="s">
        <v>8351</v>
      </c>
      <c r="AS416" t="s">
        <v>8352</v>
      </c>
      <c r="AT416" t="s">
        <v>2468</v>
      </c>
      <c r="AU416">
        <v>2018</v>
      </c>
      <c r="AV416">
        <v>24</v>
      </c>
      <c r="AW416">
        <v>1</v>
      </c>
      <c r="AX416" t="s">
        <v>74</v>
      </c>
      <c r="AY416" t="s">
        <v>74</v>
      </c>
      <c r="AZ416" t="s">
        <v>74</v>
      </c>
      <c r="BA416" t="s">
        <v>74</v>
      </c>
      <c r="BB416">
        <v>132</v>
      </c>
      <c r="BC416">
        <v>142</v>
      </c>
      <c r="BD416" t="s">
        <v>74</v>
      </c>
      <c r="BE416" t="s">
        <v>8353</v>
      </c>
      <c r="BF416" t="str">
        <f>HYPERLINK("http://dx.doi.org/10.1111/gcb.13834","http://dx.doi.org/10.1111/gcb.13834")</f>
        <v>http://dx.doi.org/10.1111/gcb.13834</v>
      </c>
      <c r="BG416" t="s">
        <v>74</v>
      </c>
      <c r="BH416" t="s">
        <v>74</v>
      </c>
      <c r="BI416">
        <v>11</v>
      </c>
      <c r="BJ416" t="s">
        <v>8354</v>
      </c>
      <c r="BK416" t="s">
        <v>101</v>
      </c>
      <c r="BL416" t="s">
        <v>4278</v>
      </c>
      <c r="BM416" t="s">
        <v>8355</v>
      </c>
      <c r="BN416">
        <v>28850764</v>
      </c>
      <c r="BO416" t="s">
        <v>389</v>
      </c>
      <c r="BP416" t="s">
        <v>74</v>
      </c>
      <c r="BQ416" t="s">
        <v>74</v>
      </c>
      <c r="BR416" t="s">
        <v>105</v>
      </c>
      <c r="BS416" t="s">
        <v>8356</v>
      </c>
      <c r="BT416" t="str">
        <f>HYPERLINK("https%3A%2F%2Fwww.webofscience.com%2Fwos%2Fwoscc%2Ffull-record%2FWOS:000426506100040","View Full Record in Web of Science")</f>
        <v>View Full Record in Web of Science</v>
      </c>
    </row>
    <row r="417" spans="1:72" x14ac:dyDescent="0.15">
      <c r="A417" t="s">
        <v>72</v>
      </c>
      <c r="B417" t="s">
        <v>8357</v>
      </c>
      <c r="C417" t="s">
        <v>74</v>
      </c>
      <c r="D417" t="s">
        <v>74</v>
      </c>
      <c r="E417" t="s">
        <v>74</v>
      </c>
      <c r="F417" t="s">
        <v>8358</v>
      </c>
      <c r="G417" t="s">
        <v>74</v>
      </c>
      <c r="H417" t="s">
        <v>74</v>
      </c>
      <c r="I417" t="s">
        <v>8359</v>
      </c>
      <c r="J417" t="s">
        <v>8360</v>
      </c>
      <c r="K417" t="s">
        <v>74</v>
      </c>
      <c r="L417" t="s">
        <v>74</v>
      </c>
      <c r="M417" t="s">
        <v>78</v>
      </c>
      <c r="N417" t="s">
        <v>79</v>
      </c>
      <c r="O417" t="s">
        <v>74</v>
      </c>
      <c r="P417" t="s">
        <v>74</v>
      </c>
      <c r="Q417" t="s">
        <v>74</v>
      </c>
      <c r="R417" t="s">
        <v>74</v>
      </c>
      <c r="S417" t="s">
        <v>74</v>
      </c>
      <c r="T417" t="s">
        <v>8361</v>
      </c>
      <c r="U417" t="s">
        <v>8362</v>
      </c>
      <c r="V417" t="s">
        <v>8363</v>
      </c>
      <c r="W417" t="s">
        <v>8364</v>
      </c>
      <c r="X417" t="s">
        <v>8365</v>
      </c>
      <c r="Y417" t="s">
        <v>8366</v>
      </c>
      <c r="Z417" t="s">
        <v>8367</v>
      </c>
      <c r="AA417" t="s">
        <v>8368</v>
      </c>
      <c r="AB417" t="s">
        <v>8369</v>
      </c>
      <c r="AC417" t="s">
        <v>8370</v>
      </c>
      <c r="AD417" t="s">
        <v>8371</v>
      </c>
      <c r="AE417" t="s">
        <v>8372</v>
      </c>
      <c r="AF417" t="s">
        <v>74</v>
      </c>
      <c r="AG417">
        <v>53</v>
      </c>
      <c r="AH417">
        <v>9</v>
      </c>
      <c r="AI417">
        <v>10</v>
      </c>
      <c r="AJ417">
        <v>1</v>
      </c>
      <c r="AK417">
        <v>16</v>
      </c>
      <c r="AL417" t="s">
        <v>271</v>
      </c>
      <c r="AM417" t="s">
        <v>272</v>
      </c>
      <c r="AN417" t="s">
        <v>273</v>
      </c>
      <c r="AO417" t="s">
        <v>8373</v>
      </c>
      <c r="AP417" t="s">
        <v>8374</v>
      </c>
      <c r="AQ417" t="s">
        <v>74</v>
      </c>
      <c r="AR417" t="s">
        <v>8375</v>
      </c>
      <c r="AS417" t="s">
        <v>8376</v>
      </c>
      <c r="AT417" t="s">
        <v>2468</v>
      </c>
      <c r="AU417">
        <v>2018</v>
      </c>
      <c r="AV417">
        <v>123</v>
      </c>
      <c r="AW417">
        <v>1</v>
      </c>
      <c r="AX417" t="s">
        <v>74</v>
      </c>
      <c r="AY417" t="s">
        <v>74</v>
      </c>
      <c r="AZ417" t="s">
        <v>74</v>
      </c>
      <c r="BA417" t="s">
        <v>74</v>
      </c>
      <c r="BB417">
        <v>216</v>
      </c>
      <c r="BC417">
        <v>230</v>
      </c>
      <c r="BD417" t="s">
        <v>74</v>
      </c>
      <c r="BE417" t="s">
        <v>8377</v>
      </c>
      <c r="BF417" t="str">
        <f>HYPERLINK("http://dx.doi.org/10.1002/2017JC012999","http://dx.doi.org/10.1002/2017JC012999")</f>
        <v>http://dx.doi.org/10.1002/2017JC012999</v>
      </c>
      <c r="BG417" t="s">
        <v>74</v>
      </c>
      <c r="BH417" t="s">
        <v>74</v>
      </c>
      <c r="BI417">
        <v>15</v>
      </c>
      <c r="BJ417" t="s">
        <v>1907</v>
      </c>
      <c r="BK417" t="s">
        <v>101</v>
      </c>
      <c r="BL417" t="s">
        <v>1907</v>
      </c>
      <c r="BM417" t="s">
        <v>8378</v>
      </c>
      <c r="BN417" t="s">
        <v>74</v>
      </c>
      <c r="BO417" t="s">
        <v>74</v>
      </c>
      <c r="BP417" t="s">
        <v>74</v>
      </c>
      <c r="BQ417" t="s">
        <v>74</v>
      </c>
      <c r="BR417" t="s">
        <v>105</v>
      </c>
      <c r="BS417" t="s">
        <v>8379</v>
      </c>
      <c r="BT417" t="str">
        <f>HYPERLINK("https%3A%2F%2Fwww.webofscience.com%2Fwos%2Fwoscc%2Ffull-record%2FWOS:000425589800014","View Full Record in Web of Science")</f>
        <v>View Full Record in Web of Science</v>
      </c>
    </row>
    <row r="418" spans="1:72" x14ac:dyDescent="0.15">
      <c r="A418" t="s">
        <v>72</v>
      </c>
      <c r="B418" t="s">
        <v>8380</v>
      </c>
      <c r="C418" t="s">
        <v>74</v>
      </c>
      <c r="D418" t="s">
        <v>74</v>
      </c>
      <c r="E418" t="s">
        <v>74</v>
      </c>
      <c r="F418" t="s">
        <v>8381</v>
      </c>
      <c r="G418" t="s">
        <v>74</v>
      </c>
      <c r="H418" t="s">
        <v>74</v>
      </c>
      <c r="I418" t="s">
        <v>8382</v>
      </c>
      <c r="J418" t="s">
        <v>8360</v>
      </c>
      <c r="K418" t="s">
        <v>74</v>
      </c>
      <c r="L418" t="s">
        <v>74</v>
      </c>
      <c r="M418" t="s">
        <v>78</v>
      </c>
      <c r="N418" t="s">
        <v>79</v>
      </c>
      <c r="O418" t="s">
        <v>74</v>
      </c>
      <c r="P418" t="s">
        <v>74</v>
      </c>
      <c r="Q418" t="s">
        <v>74</v>
      </c>
      <c r="R418" t="s">
        <v>74</v>
      </c>
      <c r="S418" t="s">
        <v>74</v>
      </c>
      <c r="T418" t="s">
        <v>8383</v>
      </c>
      <c r="U418" t="s">
        <v>8384</v>
      </c>
      <c r="V418" t="s">
        <v>8385</v>
      </c>
      <c r="W418" t="s">
        <v>8386</v>
      </c>
      <c r="X418" t="s">
        <v>8387</v>
      </c>
      <c r="Y418" t="s">
        <v>8388</v>
      </c>
      <c r="Z418" t="s">
        <v>8389</v>
      </c>
      <c r="AA418" t="s">
        <v>74</v>
      </c>
      <c r="AB418" t="s">
        <v>8390</v>
      </c>
      <c r="AC418" t="s">
        <v>8391</v>
      </c>
      <c r="AD418" t="s">
        <v>8392</v>
      </c>
      <c r="AE418" t="s">
        <v>8393</v>
      </c>
      <c r="AF418" t="s">
        <v>74</v>
      </c>
      <c r="AG418">
        <v>74</v>
      </c>
      <c r="AH418">
        <v>19</v>
      </c>
      <c r="AI418">
        <v>23</v>
      </c>
      <c r="AJ418">
        <v>0</v>
      </c>
      <c r="AK418">
        <v>8</v>
      </c>
      <c r="AL418" t="s">
        <v>271</v>
      </c>
      <c r="AM418" t="s">
        <v>272</v>
      </c>
      <c r="AN418" t="s">
        <v>273</v>
      </c>
      <c r="AO418" t="s">
        <v>8373</v>
      </c>
      <c r="AP418" t="s">
        <v>8374</v>
      </c>
      <c r="AQ418" t="s">
        <v>74</v>
      </c>
      <c r="AR418" t="s">
        <v>8375</v>
      </c>
      <c r="AS418" t="s">
        <v>8376</v>
      </c>
      <c r="AT418" t="s">
        <v>2468</v>
      </c>
      <c r="AU418">
        <v>2018</v>
      </c>
      <c r="AV418">
        <v>123</v>
      </c>
      <c r="AW418">
        <v>1</v>
      </c>
      <c r="AX418" t="s">
        <v>74</v>
      </c>
      <c r="AY418" t="s">
        <v>74</v>
      </c>
      <c r="AZ418" t="s">
        <v>74</v>
      </c>
      <c r="BA418" t="s">
        <v>74</v>
      </c>
      <c r="BB418">
        <v>324</v>
      </c>
      <c r="BC418">
        <v>345</v>
      </c>
      <c r="BD418" t="s">
        <v>74</v>
      </c>
      <c r="BE418" t="s">
        <v>8394</v>
      </c>
      <c r="BF418" t="str">
        <f>HYPERLINK("http://dx.doi.org/10.1002/2017JC013345","http://dx.doi.org/10.1002/2017JC013345")</f>
        <v>http://dx.doi.org/10.1002/2017JC013345</v>
      </c>
      <c r="BG418" t="s">
        <v>74</v>
      </c>
      <c r="BH418" t="s">
        <v>74</v>
      </c>
      <c r="BI418">
        <v>22</v>
      </c>
      <c r="BJ418" t="s">
        <v>1907</v>
      </c>
      <c r="BK418" t="s">
        <v>101</v>
      </c>
      <c r="BL418" t="s">
        <v>1907</v>
      </c>
      <c r="BM418" t="s">
        <v>8378</v>
      </c>
      <c r="BN418" t="s">
        <v>74</v>
      </c>
      <c r="BO418" t="s">
        <v>74</v>
      </c>
      <c r="BP418" t="s">
        <v>74</v>
      </c>
      <c r="BQ418" t="s">
        <v>74</v>
      </c>
      <c r="BR418" t="s">
        <v>105</v>
      </c>
      <c r="BS418" t="s">
        <v>8395</v>
      </c>
      <c r="BT418" t="str">
        <f>HYPERLINK("https%3A%2F%2Fwww.webofscience.com%2Fwos%2Fwoscc%2Ffull-record%2FWOS:000425589800020","View Full Record in Web of Science")</f>
        <v>View Full Record in Web of Science</v>
      </c>
    </row>
    <row r="419" spans="1:72" x14ac:dyDescent="0.15">
      <c r="A419" t="s">
        <v>72</v>
      </c>
      <c r="B419" t="s">
        <v>8396</v>
      </c>
      <c r="C419" t="s">
        <v>74</v>
      </c>
      <c r="D419" t="s">
        <v>74</v>
      </c>
      <c r="E419" t="s">
        <v>74</v>
      </c>
      <c r="F419" t="s">
        <v>8397</v>
      </c>
      <c r="G419" t="s">
        <v>74</v>
      </c>
      <c r="H419" t="s">
        <v>74</v>
      </c>
      <c r="I419" t="s">
        <v>8398</v>
      </c>
      <c r="J419" t="s">
        <v>8360</v>
      </c>
      <c r="K419" t="s">
        <v>74</v>
      </c>
      <c r="L419" t="s">
        <v>74</v>
      </c>
      <c r="M419" t="s">
        <v>78</v>
      </c>
      <c r="N419" t="s">
        <v>79</v>
      </c>
      <c r="O419" t="s">
        <v>74</v>
      </c>
      <c r="P419" t="s">
        <v>74</v>
      </c>
      <c r="Q419" t="s">
        <v>74</v>
      </c>
      <c r="R419" t="s">
        <v>74</v>
      </c>
      <c r="S419" t="s">
        <v>74</v>
      </c>
      <c r="T419" t="s">
        <v>8399</v>
      </c>
      <c r="U419" t="s">
        <v>8400</v>
      </c>
      <c r="V419" t="s">
        <v>8401</v>
      </c>
      <c r="W419" t="s">
        <v>8402</v>
      </c>
      <c r="X419" t="s">
        <v>8403</v>
      </c>
      <c r="Y419" t="s">
        <v>8404</v>
      </c>
      <c r="Z419" t="s">
        <v>8405</v>
      </c>
      <c r="AA419" t="s">
        <v>8406</v>
      </c>
      <c r="AB419" t="s">
        <v>8407</v>
      </c>
      <c r="AC419" t="s">
        <v>8408</v>
      </c>
      <c r="AD419" t="s">
        <v>8409</v>
      </c>
      <c r="AE419" t="s">
        <v>8410</v>
      </c>
      <c r="AF419" t="s">
        <v>74</v>
      </c>
      <c r="AG419">
        <v>52</v>
      </c>
      <c r="AH419">
        <v>36</v>
      </c>
      <c r="AI419">
        <v>39</v>
      </c>
      <c r="AJ419">
        <v>4</v>
      </c>
      <c r="AK419">
        <v>12</v>
      </c>
      <c r="AL419" t="s">
        <v>271</v>
      </c>
      <c r="AM419" t="s">
        <v>272</v>
      </c>
      <c r="AN419" t="s">
        <v>273</v>
      </c>
      <c r="AO419" t="s">
        <v>8373</v>
      </c>
      <c r="AP419" t="s">
        <v>8374</v>
      </c>
      <c r="AQ419" t="s">
        <v>74</v>
      </c>
      <c r="AR419" t="s">
        <v>8375</v>
      </c>
      <c r="AS419" t="s">
        <v>8376</v>
      </c>
      <c r="AT419" t="s">
        <v>2468</v>
      </c>
      <c r="AU419">
        <v>2018</v>
      </c>
      <c r="AV419">
        <v>123</v>
      </c>
      <c r="AW419">
        <v>1</v>
      </c>
      <c r="AX419" t="s">
        <v>74</v>
      </c>
      <c r="AY419" t="s">
        <v>74</v>
      </c>
      <c r="AZ419" t="s">
        <v>74</v>
      </c>
      <c r="BA419" t="s">
        <v>74</v>
      </c>
      <c r="BB419">
        <v>672</v>
      </c>
      <c r="BC419">
        <v>687</v>
      </c>
      <c r="BD419" t="s">
        <v>74</v>
      </c>
      <c r="BE419" t="s">
        <v>8411</v>
      </c>
      <c r="BF419" t="str">
        <f>HYPERLINK("http://dx.doi.org/10.1002/2017JC013119","http://dx.doi.org/10.1002/2017JC013119")</f>
        <v>http://dx.doi.org/10.1002/2017JC013119</v>
      </c>
      <c r="BG419" t="s">
        <v>74</v>
      </c>
      <c r="BH419" t="s">
        <v>74</v>
      </c>
      <c r="BI419">
        <v>16</v>
      </c>
      <c r="BJ419" t="s">
        <v>1907</v>
      </c>
      <c r="BK419" t="s">
        <v>101</v>
      </c>
      <c r="BL419" t="s">
        <v>1907</v>
      </c>
      <c r="BM419" t="s">
        <v>8378</v>
      </c>
      <c r="BN419">
        <v>29576996</v>
      </c>
      <c r="BO419" t="s">
        <v>4645</v>
      </c>
      <c r="BP419" t="s">
        <v>74</v>
      </c>
      <c r="BQ419" t="s">
        <v>74</v>
      </c>
      <c r="BR419" t="s">
        <v>105</v>
      </c>
      <c r="BS419" t="s">
        <v>8412</v>
      </c>
      <c r="BT419" t="str">
        <f>HYPERLINK("https%3A%2F%2Fwww.webofscience.com%2Fwos%2Fwoscc%2Ffull-record%2FWOS:000425589800038","View Full Record in Web of Science")</f>
        <v>View Full Record in Web of Science</v>
      </c>
    </row>
    <row r="420" spans="1:72" x14ac:dyDescent="0.15">
      <c r="A420" t="s">
        <v>72</v>
      </c>
      <c r="B420" t="s">
        <v>8413</v>
      </c>
      <c r="C420" t="s">
        <v>74</v>
      </c>
      <c r="D420" t="s">
        <v>74</v>
      </c>
      <c r="E420" t="s">
        <v>74</v>
      </c>
      <c r="F420" t="s">
        <v>8414</v>
      </c>
      <c r="G420" t="s">
        <v>74</v>
      </c>
      <c r="H420" t="s">
        <v>74</v>
      </c>
      <c r="I420" t="s">
        <v>8415</v>
      </c>
      <c r="J420" t="s">
        <v>8360</v>
      </c>
      <c r="K420" t="s">
        <v>74</v>
      </c>
      <c r="L420" t="s">
        <v>74</v>
      </c>
      <c r="M420" t="s">
        <v>78</v>
      </c>
      <c r="N420" t="s">
        <v>79</v>
      </c>
      <c r="O420" t="s">
        <v>74</v>
      </c>
      <c r="P420" t="s">
        <v>74</v>
      </c>
      <c r="Q420" t="s">
        <v>74</v>
      </c>
      <c r="R420" t="s">
        <v>74</v>
      </c>
      <c r="S420" t="s">
        <v>74</v>
      </c>
      <c r="T420" t="s">
        <v>8416</v>
      </c>
      <c r="U420" t="s">
        <v>8417</v>
      </c>
      <c r="V420" t="s">
        <v>8418</v>
      </c>
      <c r="W420" t="s">
        <v>8419</v>
      </c>
      <c r="X420" t="s">
        <v>8420</v>
      </c>
      <c r="Y420" t="s">
        <v>8421</v>
      </c>
      <c r="Z420" t="s">
        <v>8422</v>
      </c>
      <c r="AA420" t="s">
        <v>8423</v>
      </c>
      <c r="AB420" t="s">
        <v>8424</v>
      </c>
      <c r="AC420" t="s">
        <v>8425</v>
      </c>
      <c r="AD420" t="s">
        <v>8426</v>
      </c>
      <c r="AE420" t="s">
        <v>8427</v>
      </c>
      <c r="AF420" t="s">
        <v>74</v>
      </c>
      <c r="AG420">
        <v>37</v>
      </c>
      <c r="AH420">
        <v>4</v>
      </c>
      <c r="AI420">
        <v>4</v>
      </c>
      <c r="AJ420">
        <v>1</v>
      </c>
      <c r="AK420">
        <v>10</v>
      </c>
      <c r="AL420" t="s">
        <v>271</v>
      </c>
      <c r="AM420" t="s">
        <v>272</v>
      </c>
      <c r="AN420" t="s">
        <v>273</v>
      </c>
      <c r="AO420" t="s">
        <v>8373</v>
      </c>
      <c r="AP420" t="s">
        <v>8374</v>
      </c>
      <c r="AQ420" t="s">
        <v>74</v>
      </c>
      <c r="AR420" t="s">
        <v>8375</v>
      </c>
      <c r="AS420" t="s">
        <v>8376</v>
      </c>
      <c r="AT420" t="s">
        <v>2468</v>
      </c>
      <c r="AU420">
        <v>2018</v>
      </c>
      <c r="AV420">
        <v>123</v>
      </c>
      <c r="AW420">
        <v>1</v>
      </c>
      <c r="AX420" t="s">
        <v>74</v>
      </c>
      <c r="AY420" t="s">
        <v>74</v>
      </c>
      <c r="AZ420" t="s">
        <v>74</v>
      </c>
      <c r="BA420" t="s">
        <v>74</v>
      </c>
      <c r="BB420">
        <v>708</v>
      </c>
      <c r="BC420">
        <v>719</v>
      </c>
      <c r="BD420" t="s">
        <v>74</v>
      </c>
      <c r="BE420" t="s">
        <v>8428</v>
      </c>
      <c r="BF420" t="str">
        <f>HYPERLINK("http://dx.doi.org/10.1002/2017JC013375","http://dx.doi.org/10.1002/2017JC013375")</f>
        <v>http://dx.doi.org/10.1002/2017JC013375</v>
      </c>
      <c r="BG420" t="s">
        <v>74</v>
      </c>
      <c r="BH420" t="s">
        <v>74</v>
      </c>
      <c r="BI420">
        <v>12</v>
      </c>
      <c r="BJ420" t="s">
        <v>1907</v>
      </c>
      <c r="BK420" t="s">
        <v>101</v>
      </c>
      <c r="BL420" t="s">
        <v>1907</v>
      </c>
      <c r="BM420" t="s">
        <v>8378</v>
      </c>
      <c r="BN420" t="s">
        <v>74</v>
      </c>
      <c r="BO420" t="s">
        <v>789</v>
      </c>
      <c r="BP420" t="s">
        <v>74</v>
      </c>
      <c r="BQ420" t="s">
        <v>74</v>
      </c>
      <c r="BR420" t="s">
        <v>105</v>
      </c>
      <c r="BS420" t="s">
        <v>8429</v>
      </c>
      <c r="BT420" t="str">
        <f>HYPERLINK("https%3A%2F%2Fwww.webofscience.com%2Fwos%2Fwoscc%2Ffull-record%2FWOS:000425589800040","View Full Record in Web of Science")</f>
        <v>View Full Record in Web of Science</v>
      </c>
    </row>
    <row r="421" spans="1:72" x14ac:dyDescent="0.15">
      <c r="A421" t="s">
        <v>72</v>
      </c>
      <c r="B421" t="s">
        <v>8430</v>
      </c>
      <c r="C421" t="s">
        <v>74</v>
      </c>
      <c r="D421" t="s">
        <v>74</v>
      </c>
      <c r="E421" t="s">
        <v>74</v>
      </c>
      <c r="F421" t="s">
        <v>8431</v>
      </c>
      <c r="G421" t="s">
        <v>74</v>
      </c>
      <c r="H421" t="s">
        <v>74</v>
      </c>
      <c r="I421" t="s">
        <v>8432</v>
      </c>
      <c r="J421" t="s">
        <v>5098</v>
      </c>
      <c r="K421" t="s">
        <v>74</v>
      </c>
      <c r="L421" t="s">
        <v>74</v>
      </c>
      <c r="M421" t="s">
        <v>78</v>
      </c>
      <c r="N421" t="s">
        <v>79</v>
      </c>
      <c r="O421" t="s">
        <v>74</v>
      </c>
      <c r="P421" t="s">
        <v>74</v>
      </c>
      <c r="Q421" t="s">
        <v>74</v>
      </c>
      <c r="R421" t="s">
        <v>74</v>
      </c>
      <c r="S421" t="s">
        <v>74</v>
      </c>
      <c r="T421" t="s">
        <v>8433</v>
      </c>
      <c r="U421" t="s">
        <v>8434</v>
      </c>
      <c r="V421" t="s">
        <v>8435</v>
      </c>
      <c r="W421" t="s">
        <v>8436</v>
      </c>
      <c r="X421" t="s">
        <v>8437</v>
      </c>
      <c r="Y421" t="s">
        <v>8438</v>
      </c>
      <c r="Z421" t="s">
        <v>8439</v>
      </c>
      <c r="AA421" t="s">
        <v>8440</v>
      </c>
      <c r="AB421" t="s">
        <v>8441</v>
      </c>
      <c r="AC421" t="s">
        <v>8442</v>
      </c>
      <c r="AD421" t="s">
        <v>8442</v>
      </c>
      <c r="AE421" t="s">
        <v>8443</v>
      </c>
      <c r="AF421" t="s">
        <v>74</v>
      </c>
      <c r="AG421">
        <v>42</v>
      </c>
      <c r="AH421">
        <v>6</v>
      </c>
      <c r="AI421">
        <v>6</v>
      </c>
      <c r="AJ421">
        <v>0</v>
      </c>
      <c r="AK421">
        <v>16</v>
      </c>
      <c r="AL421" t="s">
        <v>5110</v>
      </c>
      <c r="AM421" t="s">
        <v>5111</v>
      </c>
      <c r="AN421" t="s">
        <v>5112</v>
      </c>
      <c r="AO421" t="s">
        <v>5113</v>
      </c>
      <c r="AP421" t="s">
        <v>5114</v>
      </c>
      <c r="AQ421" t="s">
        <v>74</v>
      </c>
      <c r="AR421" t="s">
        <v>5115</v>
      </c>
      <c r="AS421" t="s">
        <v>5116</v>
      </c>
      <c r="AT421" t="s">
        <v>74</v>
      </c>
      <c r="AU421">
        <v>2018</v>
      </c>
      <c r="AV421">
        <v>69</v>
      </c>
      <c r="AW421">
        <v>3</v>
      </c>
      <c r="AX421" t="s">
        <v>74</v>
      </c>
      <c r="AY421" t="s">
        <v>74</v>
      </c>
      <c r="AZ421" t="s">
        <v>74</v>
      </c>
      <c r="BA421" t="s">
        <v>74</v>
      </c>
      <c r="BB421">
        <v>376</v>
      </c>
      <c r="BC421">
        <v>384</v>
      </c>
      <c r="BD421" t="s">
        <v>74</v>
      </c>
      <c r="BE421" t="s">
        <v>8444</v>
      </c>
      <c r="BF421" t="str">
        <f>HYPERLINK("http://dx.doi.org/10.1071/MF17130","http://dx.doi.org/10.1071/MF17130")</f>
        <v>http://dx.doi.org/10.1071/MF17130</v>
      </c>
      <c r="BG421" t="s">
        <v>74</v>
      </c>
      <c r="BH421" t="s">
        <v>74</v>
      </c>
      <c r="BI421">
        <v>9</v>
      </c>
      <c r="BJ421" t="s">
        <v>5118</v>
      </c>
      <c r="BK421" t="s">
        <v>101</v>
      </c>
      <c r="BL421" t="s">
        <v>5119</v>
      </c>
      <c r="BM421" t="s">
        <v>8445</v>
      </c>
      <c r="BN421" t="s">
        <v>74</v>
      </c>
      <c r="BO421" t="s">
        <v>74</v>
      </c>
      <c r="BP421" t="s">
        <v>74</v>
      </c>
      <c r="BQ421" t="s">
        <v>74</v>
      </c>
      <c r="BR421" t="s">
        <v>105</v>
      </c>
      <c r="BS421" t="s">
        <v>8446</v>
      </c>
      <c r="BT421" t="str">
        <f>HYPERLINK("https%3A%2F%2Fwww.webofscience.com%2Fwos%2Fwoscc%2Ffull-record%2FWOS:000426049200004","View Full Record in Web of Science")</f>
        <v>View Full Record in Web of Science</v>
      </c>
    </row>
    <row r="422" spans="1:72" x14ac:dyDescent="0.15">
      <c r="A422" t="s">
        <v>72</v>
      </c>
      <c r="B422" t="s">
        <v>8447</v>
      </c>
      <c r="C422" t="s">
        <v>74</v>
      </c>
      <c r="D422" t="s">
        <v>74</v>
      </c>
      <c r="E422" t="s">
        <v>74</v>
      </c>
      <c r="F422" t="s">
        <v>8448</v>
      </c>
      <c r="G422" t="s">
        <v>74</v>
      </c>
      <c r="H422" t="s">
        <v>74</v>
      </c>
      <c r="I422" t="s">
        <v>8449</v>
      </c>
      <c r="J422" t="s">
        <v>3970</v>
      </c>
      <c r="K422" t="s">
        <v>74</v>
      </c>
      <c r="L422" t="s">
        <v>74</v>
      </c>
      <c r="M422" t="s">
        <v>78</v>
      </c>
      <c r="N422" t="s">
        <v>79</v>
      </c>
      <c r="O422" t="s">
        <v>74</v>
      </c>
      <c r="P422" t="s">
        <v>74</v>
      </c>
      <c r="Q422" t="s">
        <v>74</v>
      </c>
      <c r="R422" t="s">
        <v>74</v>
      </c>
      <c r="S422" t="s">
        <v>74</v>
      </c>
      <c r="T422" t="s">
        <v>74</v>
      </c>
      <c r="U422" t="s">
        <v>8450</v>
      </c>
      <c r="V422" t="s">
        <v>8451</v>
      </c>
      <c r="W422" t="s">
        <v>8452</v>
      </c>
      <c r="X422" t="s">
        <v>2912</v>
      </c>
      <c r="Y422" t="s">
        <v>8453</v>
      </c>
      <c r="Z422" t="s">
        <v>8454</v>
      </c>
      <c r="AA422" t="s">
        <v>74</v>
      </c>
      <c r="AB422" t="s">
        <v>8455</v>
      </c>
      <c r="AC422" t="s">
        <v>74</v>
      </c>
      <c r="AD422" t="s">
        <v>74</v>
      </c>
      <c r="AE422" t="s">
        <v>74</v>
      </c>
      <c r="AF422" t="s">
        <v>74</v>
      </c>
      <c r="AG422">
        <v>55</v>
      </c>
      <c r="AH422">
        <v>1</v>
      </c>
      <c r="AI422">
        <v>1</v>
      </c>
      <c r="AJ422">
        <v>1</v>
      </c>
      <c r="AK422">
        <v>3</v>
      </c>
      <c r="AL422" t="s">
        <v>2917</v>
      </c>
      <c r="AM422" t="s">
        <v>1701</v>
      </c>
      <c r="AN422" t="s">
        <v>2918</v>
      </c>
      <c r="AO422" t="s">
        <v>3977</v>
      </c>
      <c r="AP422" t="s">
        <v>3978</v>
      </c>
      <c r="AQ422" t="s">
        <v>74</v>
      </c>
      <c r="AR422" t="s">
        <v>3979</v>
      </c>
      <c r="AS422" t="s">
        <v>3980</v>
      </c>
      <c r="AT422" t="s">
        <v>74</v>
      </c>
      <c r="AU422">
        <v>2018</v>
      </c>
      <c r="AV422">
        <v>49</v>
      </c>
      <c r="AW422">
        <v>1</v>
      </c>
      <c r="AX422" t="s">
        <v>74</v>
      </c>
      <c r="AY422" t="s">
        <v>74</v>
      </c>
      <c r="AZ422" t="s">
        <v>1146</v>
      </c>
      <c r="BA422" t="s">
        <v>74</v>
      </c>
      <c r="BB422">
        <v>63</v>
      </c>
      <c r="BC422">
        <v>82</v>
      </c>
      <c r="BD422" t="s">
        <v>74</v>
      </c>
      <c r="BE422" t="s">
        <v>8456</v>
      </c>
      <c r="BF422" t="str">
        <f>HYPERLINK("http://dx.doi.org/10.1080/1031461X.2017.1417456","http://dx.doi.org/10.1080/1031461X.2017.1417456")</f>
        <v>http://dx.doi.org/10.1080/1031461X.2017.1417456</v>
      </c>
      <c r="BG422" t="s">
        <v>74</v>
      </c>
      <c r="BH422" t="s">
        <v>74</v>
      </c>
      <c r="BI422">
        <v>20</v>
      </c>
      <c r="BJ422" t="s">
        <v>2998</v>
      </c>
      <c r="BK422" t="s">
        <v>3982</v>
      </c>
      <c r="BL422" t="s">
        <v>2998</v>
      </c>
      <c r="BM422" t="s">
        <v>8457</v>
      </c>
      <c r="BN422" t="s">
        <v>74</v>
      </c>
      <c r="BO422" t="s">
        <v>74</v>
      </c>
      <c r="BP422" t="s">
        <v>74</v>
      </c>
      <c r="BQ422" t="s">
        <v>74</v>
      </c>
      <c r="BR422" t="s">
        <v>105</v>
      </c>
      <c r="BS422" t="s">
        <v>8458</v>
      </c>
      <c r="BT422" t="str">
        <f>HYPERLINK("https%3A%2F%2Fwww.webofscience.com%2Fwos%2Fwoscc%2Ffull-record%2FWOS:000425673500005","View Full Record in Web of Science")</f>
        <v>View Full Record in Web of Science</v>
      </c>
    </row>
    <row r="423" spans="1:72" x14ac:dyDescent="0.15">
      <c r="A423" t="s">
        <v>72</v>
      </c>
      <c r="B423" t="s">
        <v>8459</v>
      </c>
      <c r="C423" t="s">
        <v>74</v>
      </c>
      <c r="D423" t="s">
        <v>74</v>
      </c>
      <c r="E423" t="s">
        <v>74</v>
      </c>
      <c r="F423" t="s">
        <v>8459</v>
      </c>
      <c r="G423" t="s">
        <v>74</v>
      </c>
      <c r="H423" t="s">
        <v>74</v>
      </c>
      <c r="I423" t="s">
        <v>8460</v>
      </c>
      <c r="J423" t="s">
        <v>8461</v>
      </c>
      <c r="K423" t="s">
        <v>74</v>
      </c>
      <c r="L423" t="s">
        <v>74</v>
      </c>
      <c r="M423" t="s">
        <v>78</v>
      </c>
      <c r="N423" t="s">
        <v>6137</v>
      </c>
      <c r="O423" t="s">
        <v>74</v>
      </c>
      <c r="P423" t="s">
        <v>74</v>
      </c>
      <c r="Q423" t="s">
        <v>74</v>
      </c>
      <c r="R423" t="s">
        <v>74</v>
      </c>
      <c r="S423" t="s">
        <v>74</v>
      </c>
      <c r="T423" t="s">
        <v>74</v>
      </c>
      <c r="U423" t="s">
        <v>74</v>
      </c>
      <c r="V423" t="s">
        <v>74</v>
      </c>
      <c r="W423" t="s">
        <v>74</v>
      </c>
      <c r="X423" t="s">
        <v>74</v>
      </c>
      <c r="Y423" t="s">
        <v>74</v>
      </c>
      <c r="Z423" t="s">
        <v>74</v>
      </c>
      <c r="AA423" t="s">
        <v>74</v>
      </c>
      <c r="AB423" t="s">
        <v>74</v>
      </c>
      <c r="AC423" t="s">
        <v>74</v>
      </c>
      <c r="AD423" t="s">
        <v>74</v>
      </c>
      <c r="AE423" t="s">
        <v>74</v>
      </c>
      <c r="AF423" t="s">
        <v>74</v>
      </c>
      <c r="AG423">
        <v>0</v>
      </c>
      <c r="AH423">
        <v>0</v>
      </c>
      <c r="AI423">
        <v>0</v>
      </c>
      <c r="AJ423">
        <v>0</v>
      </c>
      <c r="AK423">
        <v>3</v>
      </c>
      <c r="AL423" t="s">
        <v>1139</v>
      </c>
      <c r="AM423" t="s">
        <v>1140</v>
      </c>
      <c r="AN423" t="s">
        <v>1141</v>
      </c>
      <c r="AO423" t="s">
        <v>8462</v>
      </c>
      <c r="AP423" t="s">
        <v>8463</v>
      </c>
      <c r="AQ423" t="s">
        <v>74</v>
      </c>
      <c r="AR423" t="s">
        <v>8464</v>
      </c>
      <c r="AS423" t="s">
        <v>8465</v>
      </c>
      <c r="AT423" t="s">
        <v>2468</v>
      </c>
      <c r="AU423">
        <v>2018</v>
      </c>
      <c r="AV423">
        <v>126</v>
      </c>
      <c r="AW423" t="s">
        <v>74</v>
      </c>
      <c r="AX423" t="s">
        <v>74</v>
      </c>
      <c r="AY423" t="s">
        <v>74</v>
      </c>
      <c r="AZ423" t="s">
        <v>74</v>
      </c>
      <c r="BA423" t="s">
        <v>74</v>
      </c>
      <c r="BB423">
        <v>630</v>
      </c>
      <c r="BC423">
        <v>630</v>
      </c>
      <c r="BD423" t="s">
        <v>74</v>
      </c>
      <c r="BE423" t="s">
        <v>74</v>
      </c>
      <c r="BF423" t="s">
        <v>74</v>
      </c>
      <c r="BG423" t="s">
        <v>74</v>
      </c>
      <c r="BH423" t="s">
        <v>74</v>
      </c>
      <c r="BI423">
        <v>1</v>
      </c>
      <c r="BJ423" t="s">
        <v>609</v>
      </c>
      <c r="BK423" t="s">
        <v>101</v>
      </c>
      <c r="BL423" t="s">
        <v>610</v>
      </c>
      <c r="BM423" t="s">
        <v>8466</v>
      </c>
      <c r="BN423" t="s">
        <v>74</v>
      </c>
      <c r="BO423" t="s">
        <v>74</v>
      </c>
      <c r="BP423" t="s">
        <v>74</v>
      </c>
      <c r="BQ423" t="s">
        <v>74</v>
      </c>
      <c r="BR423" t="s">
        <v>105</v>
      </c>
      <c r="BS423" t="s">
        <v>8467</v>
      </c>
      <c r="BT423" t="str">
        <f>HYPERLINK("https%3A%2F%2Fwww.webofscience.com%2Fwos%2Fwoscc%2Ffull-record%2FWOS:000425569400082","View Full Record in Web of Science")</f>
        <v>View Full Record in Web of Science</v>
      </c>
    </row>
    <row r="424" spans="1:72" x14ac:dyDescent="0.15">
      <c r="A424" t="s">
        <v>72</v>
      </c>
      <c r="B424" t="s">
        <v>8468</v>
      </c>
      <c r="C424" t="s">
        <v>74</v>
      </c>
      <c r="D424" t="s">
        <v>74</v>
      </c>
      <c r="E424" t="s">
        <v>74</v>
      </c>
      <c r="F424" t="s">
        <v>8469</v>
      </c>
      <c r="G424" t="s">
        <v>74</v>
      </c>
      <c r="H424" t="s">
        <v>74</v>
      </c>
      <c r="I424" t="s">
        <v>8470</v>
      </c>
      <c r="J424" t="s">
        <v>8471</v>
      </c>
      <c r="K424" t="s">
        <v>74</v>
      </c>
      <c r="L424" t="s">
        <v>74</v>
      </c>
      <c r="M424" t="s">
        <v>78</v>
      </c>
      <c r="N424" t="s">
        <v>79</v>
      </c>
      <c r="O424" t="s">
        <v>74</v>
      </c>
      <c r="P424" t="s">
        <v>74</v>
      </c>
      <c r="Q424" t="s">
        <v>74</v>
      </c>
      <c r="R424" t="s">
        <v>74</v>
      </c>
      <c r="S424" t="s">
        <v>74</v>
      </c>
      <c r="T424" t="s">
        <v>8472</v>
      </c>
      <c r="U424" t="s">
        <v>8473</v>
      </c>
      <c r="V424" t="s">
        <v>8474</v>
      </c>
      <c r="W424" t="s">
        <v>8475</v>
      </c>
      <c r="X424" t="s">
        <v>8476</v>
      </c>
      <c r="Y424" t="s">
        <v>8477</v>
      </c>
      <c r="Z424" t="s">
        <v>8478</v>
      </c>
      <c r="AA424" t="s">
        <v>8479</v>
      </c>
      <c r="AB424" t="s">
        <v>8480</v>
      </c>
      <c r="AC424" t="s">
        <v>8481</v>
      </c>
      <c r="AD424" t="s">
        <v>8482</v>
      </c>
      <c r="AE424" t="s">
        <v>8483</v>
      </c>
      <c r="AF424" t="s">
        <v>74</v>
      </c>
      <c r="AG424">
        <v>61</v>
      </c>
      <c r="AH424">
        <v>39</v>
      </c>
      <c r="AI424">
        <v>40</v>
      </c>
      <c r="AJ424">
        <v>8</v>
      </c>
      <c r="AK424">
        <v>47</v>
      </c>
      <c r="AL424" t="s">
        <v>807</v>
      </c>
      <c r="AM424" t="s">
        <v>808</v>
      </c>
      <c r="AN424" t="s">
        <v>809</v>
      </c>
      <c r="AO424" t="s">
        <v>8484</v>
      </c>
      <c r="AP424" t="s">
        <v>74</v>
      </c>
      <c r="AQ424" t="s">
        <v>74</v>
      </c>
      <c r="AR424" t="s">
        <v>8485</v>
      </c>
      <c r="AS424" t="s">
        <v>8486</v>
      </c>
      <c r="AT424" t="s">
        <v>2468</v>
      </c>
      <c r="AU424">
        <v>2018</v>
      </c>
      <c r="AV424">
        <v>29</v>
      </c>
      <c r="AW424" t="s">
        <v>74</v>
      </c>
      <c r="AX424" t="s">
        <v>74</v>
      </c>
      <c r="AY424" t="s">
        <v>74</v>
      </c>
      <c r="AZ424" t="s">
        <v>74</v>
      </c>
      <c r="BA424" t="s">
        <v>74</v>
      </c>
      <c r="BB424">
        <v>130</v>
      </c>
      <c r="BC424">
        <v>141</v>
      </c>
      <c r="BD424" t="s">
        <v>74</v>
      </c>
      <c r="BE424" t="s">
        <v>8487</v>
      </c>
      <c r="BF424" t="str">
        <f>HYPERLINK("http://dx.doi.org/10.1016/j.algal.2017.11.027","http://dx.doi.org/10.1016/j.algal.2017.11.027")</f>
        <v>http://dx.doi.org/10.1016/j.algal.2017.11.027</v>
      </c>
      <c r="BG424" t="s">
        <v>74</v>
      </c>
      <c r="BH424" t="s">
        <v>74</v>
      </c>
      <c r="BI424">
        <v>12</v>
      </c>
      <c r="BJ424" t="s">
        <v>815</v>
      </c>
      <c r="BK424" t="s">
        <v>101</v>
      </c>
      <c r="BL424" t="s">
        <v>815</v>
      </c>
      <c r="BM424" t="s">
        <v>8488</v>
      </c>
      <c r="BN424" t="s">
        <v>74</v>
      </c>
      <c r="BO424" t="s">
        <v>74</v>
      </c>
      <c r="BP424" t="s">
        <v>74</v>
      </c>
      <c r="BQ424" t="s">
        <v>74</v>
      </c>
      <c r="BR424" t="s">
        <v>105</v>
      </c>
      <c r="BS424" t="s">
        <v>8489</v>
      </c>
      <c r="BT424" t="str">
        <f>HYPERLINK("https%3A%2F%2Fwww.webofscience.com%2Fwos%2Fwoscc%2Ffull-record%2FWOS:000425552500014","View Full Record in Web of Science")</f>
        <v>View Full Record in Web of Science</v>
      </c>
    </row>
    <row r="425" spans="1:72" x14ac:dyDescent="0.15">
      <c r="A425" t="s">
        <v>72</v>
      </c>
      <c r="B425" t="s">
        <v>8490</v>
      </c>
      <c r="C425" t="s">
        <v>74</v>
      </c>
      <c r="D425" t="s">
        <v>74</v>
      </c>
      <c r="E425" t="s">
        <v>74</v>
      </c>
      <c r="F425" t="s">
        <v>8491</v>
      </c>
      <c r="G425" t="s">
        <v>74</v>
      </c>
      <c r="H425" t="s">
        <v>74</v>
      </c>
      <c r="I425" t="s">
        <v>8492</v>
      </c>
      <c r="J425" t="s">
        <v>8493</v>
      </c>
      <c r="K425" t="s">
        <v>74</v>
      </c>
      <c r="L425" t="s">
        <v>74</v>
      </c>
      <c r="M425" t="s">
        <v>78</v>
      </c>
      <c r="N425" t="s">
        <v>79</v>
      </c>
      <c r="O425" t="s">
        <v>74</v>
      </c>
      <c r="P425" t="s">
        <v>74</v>
      </c>
      <c r="Q425" t="s">
        <v>74</v>
      </c>
      <c r="R425" t="s">
        <v>74</v>
      </c>
      <c r="S425" t="s">
        <v>74</v>
      </c>
      <c r="T425" t="s">
        <v>74</v>
      </c>
      <c r="U425" t="s">
        <v>8494</v>
      </c>
      <c r="V425" t="s">
        <v>8495</v>
      </c>
      <c r="W425" t="s">
        <v>8496</v>
      </c>
      <c r="X425" t="s">
        <v>8497</v>
      </c>
      <c r="Y425" t="s">
        <v>8498</v>
      </c>
      <c r="Z425" t="s">
        <v>8499</v>
      </c>
      <c r="AA425" t="s">
        <v>74</v>
      </c>
      <c r="AB425" t="s">
        <v>8500</v>
      </c>
      <c r="AC425" t="s">
        <v>8501</v>
      </c>
      <c r="AD425" t="s">
        <v>8502</v>
      </c>
      <c r="AE425" t="s">
        <v>8503</v>
      </c>
      <c r="AF425" t="s">
        <v>74</v>
      </c>
      <c r="AG425">
        <v>104</v>
      </c>
      <c r="AH425">
        <v>35</v>
      </c>
      <c r="AI425">
        <v>39</v>
      </c>
      <c r="AJ425">
        <v>0</v>
      </c>
      <c r="AK425">
        <v>8</v>
      </c>
      <c r="AL425" t="s">
        <v>271</v>
      </c>
      <c r="AM425" t="s">
        <v>272</v>
      </c>
      <c r="AN425" t="s">
        <v>273</v>
      </c>
      <c r="AO425" t="s">
        <v>8504</v>
      </c>
      <c r="AP425" t="s">
        <v>74</v>
      </c>
      <c r="AQ425" t="s">
        <v>74</v>
      </c>
      <c r="AR425" t="s">
        <v>8505</v>
      </c>
      <c r="AS425" t="s">
        <v>8506</v>
      </c>
      <c r="AT425" t="s">
        <v>2468</v>
      </c>
      <c r="AU425">
        <v>2018</v>
      </c>
      <c r="AV425">
        <v>10</v>
      </c>
      <c r="AW425">
        <v>1</v>
      </c>
      <c r="AX425" t="s">
        <v>74</v>
      </c>
      <c r="AY425" t="s">
        <v>74</v>
      </c>
      <c r="AZ425" t="s">
        <v>74</v>
      </c>
      <c r="BA425" t="s">
        <v>74</v>
      </c>
      <c r="BB425">
        <v>98</v>
      </c>
      <c r="BC425">
        <v>125</v>
      </c>
      <c r="BD425" t="s">
        <v>74</v>
      </c>
      <c r="BE425" t="s">
        <v>8507</v>
      </c>
      <c r="BF425" t="str">
        <f>HYPERLINK("http://dx.doi.org/10.1002/2017MS001184","http://dx.doi.org/10.1002/2017MS001184")</f>
        <v>http://dx.doi.org/10.1002/2017MS001184</v>
      </c>
      <c r="BG425" t="s">
        <v>74</v>
      </c>
      <c r="BH425" t="s">
        <v>74</v>
      </c>
      <c r="BI425">
        <v>28</v>
      </c>
      <c r="BJ425" t="s">
        <v>430</v>
      </c>
      <c r="BK425" t="s">
        <v>101</v>
      </c>
      <c r="BL425" t="s">
        <v>430</v>
      </c>
      <c r="BM425" t="s">
        <v>8508</v>
      </c>
      <c r="BN425" t="s">
        <v>74</v>
      </c>
      <c r="BO425" t="s">
        <v>494</v>
      </c>
      <c r="BP425" t="s">
        <v>74</v>
      </c>
      <c r="BQ425" t="s">
        <v>74</v>
      </c>
      <c r="BR425" t="s">
        <v>105</v>
      </c>
      <c r="BS425" t="s">
        <v>8509</v>
      </c>
      <c r="BT425" t="str">
        <f>HYPERLINK("https%3A%2F%2Fwww.webofscience.com%2Fwos%2Fwoscc%2Ffull-record%2FWOS:000425409700006","View Full Record in Web of Science")</f>
        <v>View Full Record in Web of Science</v>
      </c>
    </row>
    <row r="426" spans="1:72" x14ac:dyDescent="0.15">
      <c r="A426" t="s">
        <v>72</v>
      </c>
      <c r="B426" t="s">
        <v>8510</v>
      </c>
      <c r="C426" t="s">
        <v>74</v>
      </c>
      <c r="D426" t="s">
        <v>74</v>
      </c>
      <c r="E426" t="s">
        <v>74</v>
      </c>
      <c r="F426" t="s">
        <v>8511</v>
      </c>
      <c r="G426" t="s">
        <v>74</v>
      </c>
      <c r="H426" t="s">
        <v>74</v>
      </c>
      <c r="I426" t="s">
        <v>8512</v>
      </c>
      <c r="J426" t="s">
        <v>8513</v>
      </c>
      <c r="K426" t="s">
        <v>74</v>
      </c>
      <c r="L426" t="s">
        <v>74</v>
      </c>
      <c r="M426" t="s">
        <v>78</v>
      </c>
      <c r="N426" t="s">
        <v>79</v>
      </c>
      <c r="O426" t="s">
        <v>74</v>
      </c>
      <c r="P426" t="s">
        <v>74</v>
      </c>
      <c r="Q426" t="s">
        <v>74</v>
      </c>
      <c r="R426" t="s">
        <v>74</v>
      </c>
      <c r="S426" t="s">
        <v>74</v>
      </c>
      <c r="T426" t="s">
        <v>74</v>
      </c>
      <c r="U426" t="s">
        <v>8514</v>
      </c>
      <c r="V426" t="s">
        <v>8515</v>
      </c>
      <c r="W426" t="s">
        <v>8516</v>
      </c>
      <c r="X426" t="s">
        <v>8517</v>
      </c>
      <c r="Y426" t="s">
        <v>8518</v>
      </c>
      <c r="Z426" t="s">
        <v>8519</v>
      </c>
      <c r="AA426" t="s">
        <v>8520</v>
      </c>
      <c r="AB426" t="s">
        <v>8521</v>
      </c>
      <c r="AC426" t="s">
        <v>8522</v>
      </c>
      <c r="AD426" t="s">
        <v>8523</v>
      </c>
      <c r="AE426" t="s">
        <v>8524</v>
      </c>
      <c r="AF426" t="s">
        <v>74</v>
      </c>
      <c r="AG426">
        <v>67</v>
      </c>
      <c r="AH426">
        <v>14</v>
      </c>
      <c r="AI426">
        <v>14</v>
      </c>
      <c r="AJ426">
        <v>0</v>
      </c>
      <c r="AK426">
        <v>4</v>
      </c>
      <c r="AL426" t="s">
        <v>271</v>
      </c>
      <c r="AM426" t="s">
        <v>272</v>
      </c>
      <c r="AN426" t="s">
        <v>273</v>
      </c>
      <c r="AO426" t="s">
        <v>8525</v>
      </c>
      <c r="AP426" t="s">
        <v>8526</v>
      </c>
      <c r="AQ426" t="s">
        <v>74</v>
      </c>
      <c r="AR426" t="s">
        <v>8527</v>
      </c>
      <c r="AS426" t="s">
        <v>8528</v>
      </c>
      <c r="AT426" t="s">
        <v>2468</v>
      </c>
      <c r="AU426">
        <v>2018</v>
      </c>
      <c r="AV426">
        <v>123</v>
      </c>
      <c r="AW426">
        <v>1</v>
      </c>
      <c r="AX426" t="s">
        <v>74</v>
      </c>
      <c r="AY426" t="s">
        <v>74</v>
      </c>
      <c r="AZ426" t="s">
        <v>74</v>
      </c>
      <c r="BA426" t="s">
        <v>74</v>
      </c>
      <c r="BB426">
        <v>781</v>
      </c>
      <c r="BC426">
        <v>795</v>
      </c>
      <c r="BD426" t="s">
        <v>74</v>
      </c>
      <c r="BE426" t="s">
        <v>8529</v>
      </c>
      <c r="BF426" t="str">
        <f>HYPERLINK("http://dx.doi.org/10.1002/2017JA024420","http://dx.doi.org/10.1002/2017JA024420")</f>
        <v>http://dx.doi.org/10.1002/2017JA024420</v>
      </c>
      <c r="BG426" t="s">
        <v>74</v>
      </c>
      <c r="BH426" t="s">
        <v>74</v>
      </c>
      <c r="BI426">
        <v>15</v>
      </c>
      <c r="BJ426" t="s">
        <v>787</v>
      </c>
      <c r="BK426" t="s">
        <v>101</v>
      </c>
      <c r="BL426" t="s">
        <v>787</v>
      </c>
      <c r="BM426" t="s">
        <v>8530</v>
      </c>
      <c r="BN426" t="s">
        <v>74</v>
      </c>
      <c r="BO426" t="s">
        <v>8531</v>
      </c>
      <c r="BP426" t="s">
        <v>74</v>
      </c>
      <c r="BQ426" t="s">
        <v>74</v>
      </c>
      <c r="BR426" t="s">
        <v>105</v>
      </c>
      <c r="BS426" t="s">
        <v>8532</v>
      </c>
      <c r="BT426" t="str">
        <f>HYPERLINK("https%3A%2F%2Fwww.webofscience.com%2Fwos%2Fwoscc%2Ffull-record%2FWOS:000425637600055","View Full Record in Web of Science")</f>
        <v>View Full Record in Web of Science</v>
      </c>
    </row>
    <row r="427" spans="1:72" x14ac:dyDescent="0.15">
      <c r="A427" t="s">
        <v>72</v>
      </c>
      <c r="B427" t="s">
        <v>8533</v>
      </c>
      <c r="C427" t="s">
        <v>74</v>
      </c>
      <c r="D427" t="s">
        <v>74</v>
      </c>
      <c r="E427" t="s">
        <v>74</v>
      </c>
      <c r="F427" t="s">
        <v>8534</v>
      </c>
      <c r="G427" t="s">
        <v>74</v>
      </c>
      <c r="H427" t="s">
        <v>74</v>
      </c>
      <c r="I427" t="s">
        <v>8535</v>
      </c>
      <c r="J427" t="s">
        <v>8536</v>
      </c>
      <c r="K427" t="s">
        <v>74</v>
      </c>
      <c r="L427" t="s">
        <v>74</v>
      </c>
      <c r="M427" t="s">
        <v>78</v>
      </c>
      <c r="N427" t="s">
        <v>79</v>
      </c>
      <c r="O427" t="s">
        <v>74</v>
      </c>
      <c r="P427" t="s">
        <v>74</v>
      </c>
      <c r="Q427" t="s">
        <v>74</v>
      </c>
      <c r="R427" t="s">
        <v>74</v>
      </c>
      <c r="S427" t="s">
        <v>74</v>
      </c>
      <c r="T427" t="s">
        <v>8537</v>
      </c>
      <c r="U427" t="s">
        <v>8538</v>
      </c>
      <c r="V427" t="s">
        <v>8539</v>
      </c>
      <c r="W427" t="s">
        <v>8540</v>
      </c>
      <c r="X427" t="s">
        <v>8541</v>
      </c>
      <c r="Y427" t="s">
        <v>8542</v>
      </c>
      <c r="Z427" t="s">
        <v>8543</v>
      </c>
      <c r="AA427" t="s">
        <v>74</v>
      </c>
      <c r="AB427" t="s">
        <v>8544</v>
      </c>
      <c r="AC427" t="s">
        <v>8545</v>
      </c>
      <c r="AD427" t="s">
        <v>8546</v>
      </c>
      <c r="AE427" t="s">
        <v>8547</v>
      </c>
      <c r="AF427" t="s">
        <v>74</v>
      </c>
      <c r="AG427">
        <v>50</v>
      </c>
      <c r="AH427">
        <v>2</v>
      </c>
      <c r="AI427">
        <v>2</v>
      </c>
      <c r="AJ427">
        <v>0</v>
      </c>
      <c r="AK427">
        <v>4</v>
      </c>
      <c r="AL427" t="s">
        <v>4270</v>
      </c>
      <c r="AM427" t="s">
        <v>4271</v>
      </c>
      <c r="AN427" t="s">
        <v>4272</v>
      </c>
      <c r="AO427" t="s">
        <v>8548</v>
      </c>
      <c r="AP427" t="s">
        <v>8549</v>
      </c>
      <c r="AQ427" t="s">
        <v>74</v>
      </c>
      <c r="AR427" t="s">
        <v>8550</v>
      </c>
      <c r="AS427" t="s">
        <v>8551</v>
      </c>
      <c r="AT427" t="s">
        <v>2468</v>
      </c>
      <c r="AU427">
        <v>2018</v>
      </c>
      <c r="AV427">
        <v>144</v>
      </c>
      <c r="AW427">
        <v>710</v>
      </c>
      <c r="AX427" t="s">
        <v>8552</v>
      </c>
      <c r="AY427" t="s">
        <v>74</v>
      </c>
      <c r="AZ427" t="s">
        <v>74</v>
      </c>
      <c r="BA427" t="s">
        <v>74</v>
      </c>
      <c r="BB427">
        <v>184</v>
      </c>
      <c r="BC427">
        <v>194</v>
      </c>
      <c r="BD427" t="s">
        <v>74</v>
      </c>
      <c r="BE427" t="s">
        <v>8553</v>
      </c>
      <c r="BF427" t="str">
        <f>HYPERLINK("http://dx.doi.org/10.1002/qj.3193","http://dx.doi.org/10.1002/qj.3193")</f>
        <v>http://dx.doi.org/10.1002/qj.3193</v>
      </c>
      <c r="BG427" t="s">
        <v>74</v>
      </c>
      <c r="BH427" t="s">
        <v>74</v>
      </c>
      <c r="BI427">
        <v>11</v>
      </c>
      <c r="BJ427" t="s">
        <v>430</v>
      </c>
      <c r="BK427" t="s">
        <v>101</v>
      </c>
      <c r="BL427" t="s">
        <v>430</v>
      </c>
      <c r="BM427" t="s">
        <v>8554</v>
      </c>
      <c r="BN427" t="s">
        <v>74</v>
      </c>
      <c r="BO427" t="s">
        <v>74</v>
      </c>
      <c r="BP427" t="s">
        <v>74</v>
      </c>
      <c r="BQ427" t="s">
        <v>74</v>
      </c>
      <c r="BR427" t="s">
        <v>105</v>
      </c>
      <c r="BS427" t="s">
        <v>8555</v>
      </c>
      <c r="BT427" t="str">
        <f>HYPERLINK("https%3A%2F%2Fwww.webofscience.com%2Fwos%2Fwoscc%2Ffull-record%2FWOS:000425645200014","View Full Record in Web of Science")</f>
        <v>View Full Record in Web of Science</v>
      </c>
    </row>
    <row r="428" spans="1:72" x14ac:dyDescent="0.15">
      <c r="A428" t="s">
        <v>72</v>
      </c>
      <c r="B428" t="s">
        <v>8556</v>
      </c>
      <c r="C428" t="s">
        <v>74</v>
      </c>
      <c r="D428" t="s">
        <v>74</v>
      </c>
      <c r="E428" t="s">
        <v>74</v>
      </c>
      <c r="F428" t="s">
        <v>8557</v>
      </c>
      <c r="G428" t="s">
        <v>74</v>
      </c>
      <c r="H428" t="s">
        <v>74</v>
      </c>
      <c r="I428" t="s">
        <v>8558</v>
      </c>
      <c r="J428" t="s">
        <v>8559</v>
      </c>
      <c r="K428" t="s">
        <v>74</v>
      </c>
      <c r="L428" t="s">
        <v>74</v>
      </c>
      <c r="M428" t="s">
        <v>78</v>
      </c>
      <c r="N428" t="s">
        <v>79</v>
      </c>
      <c r="O428" t="s">
        <v>74</v>
      </c>
      <c r="P428" t="s">
        <v>74</v>
      </c>
      <c r="Q428" t="s">
        <v>74</v>
      </c>
      <c r="R428" t="s">
        <v>74</v>
      </c>
      <c r="S428" t="s">
        <v>74</v>
      </c>
      <c r="T428" t="s">
        <v>8560</v>
      </c>
      <c r="U428" t="s">
        <v>8561</v>
      </c>
      <c r="V428" t="s">
        <v>8562</v>
      </c>
      <c r="W428" t="s">
        <v>8563</v>
      </c>
      <c r="X428" t="s">
        <v>8564</v>
      </c>
      <c r="Y428" t="s">
        <v>8565</v>
      </c>
      <c r="Z428" t="s">
        <v>8566</v>
      </c>
      <c r="AA428" t="s">
        <v>8567</v>
      </c>
      <c r="AB428" t="s">
        <v>8568</v>
      </c>
      <c r="AC428" t="s">
        <v>8569</v>
      </c>
      <c r="AD428" t="s">
        <v>8570</v>
      </c>
      <c r="AE428" t="s">
        <v>8571</v>
      </c>
      <c r="AF428" t="s">
        <v>74</v>
      </c>
      <c r="AG428">
        <v>60</v>
      </c>
      <c r="AH428">
        <v>42</v>
      </c>
      <c r="AI428">
        <v>45</v>
      </c>
      <c r="AJ428">
        <v>1</v>
      </c>
      <c r="AK428">
        <v>16</v>
      </c>
      <c r="AL428" t="s">
        <v>271</v>
      </c>
      <c r="AM428" t="s">
        <v>272</v>
      </c>
      <c r="AN428" t="s">
        <v>273</v>
      </c>
      <c r="AO428" t="s">
        <v>8572</v>
      </c>
      <c r="AP428" t="s">
        <v>74</v>
      </c>
      <c r="AQ428" t="s">
        <v>74</v>
      </c>
      <c r="AR428" t="s">
        <v>8573</v>
      </c>
      <c r="AS428" t="s">
        <v>8574</v>
      </c>
      <c r="AT428" t="s">
        <v>2468</v>
      </c>
      <c r="AU428">
        <v>2018</v>
      </c>
      <c r="AV428">
        <v>16</v>
      </c>
      <c r="AW428">
        <v>1</v>
      </c>
      <c r="AX428" t="s">
        <v>74</v>
      </c>
      <c r="AY428" t="s">
        <v>74</v>
      </c>
      <c r="AZ428" t="s">
        <v>74</v>
      </c>
      <c r="BA428" t="s">
        <v>74</v>
      </c>
      <c r="BB428">
        <v>89</v>
      </c>
      <c r="BC428">
        <v>106</v>
      </c>
      <c r="BD428" t="s">
        <v>74</v>
      </c>
      <c r="BE428" t="s">
        <v>8575</v>
      </c>
      <c r="BF428" t="str">
        <f>HYPERLINK("http://dx.doi.org/10.1002/2017SW001689","http://dx.doi.org/10.1002/2017SW001689")</f>
        <v>http://dx.doi.org/10.1002/2017SW001689</v>
      </c>
      <c r="BG428" t="s">
        <v>74</v>
      </c>
      <c r="BH428" t="s">
        <v>74</v>
      </c>
      <c r="BI428">
        <v>18</v>
      </c>
      <c r="BJ428" t="s">
        <v>8576</v>
      </c>
      <c r="BK428" t="s">
        <v>101</v>
      </c>
      <c r="BL428" t="s">
        <v>8576</v>
      </c>
      <c r="BM428" t="s">
        <v>8577</v>
      </c>
      <c r="BN428" t="s">
        <v>74</v>
      </c>
      <c r="BO428" t="s">
        <v>104</v>
      </c>
      <c r="BP428" t="s">
        <v>74</v>
      </c>
      <c r="BQ428" t="s">
        <v>74</v>
      </c>
      <c r="BR428" t="s">
        <v>105</v>
      </c>
      <c r="BS428" t="s">
        <v>8578</v>
      </c>
      <c r="BT428" t="str">
        <f>HYPERLINK("https%3A%2F%2Fwww.webofscience.com%2Fwos%2Fwoscc%2Ffull-record%2FWOS:000425456500008","View Full Record in Web of Science")</f>
        <v>View Full Record in Web of Science</v>
      </c>
    </row>
    <row r="429" spans="1:72" x14ac:dyDescent="0.15">
      <c r="A429" t="s">
        <v>72</v>
      </c>
      <c r="B429" t="s">
        <v>8579</v>
      </c>
      <c r="C429" t="s">
        <v>74</v>
      </c>
      <c r="D429" t="s">
        <v>74</v>
      </c>
      <c r="E429" t="s">
        <v>74</v>
      </c>
      <c r="F429" t="s">
        <v>8580</v>
      </c>
      <c r="G429" t="s">
        <v>74</v>
      </c>
      <c r="H429" t="s">
        <v>74</v>
      </c>
      <c r="I429" t="s">
        <v>8581</v>
      </c>
      <c r="J429" t="s">
        <v>5481</v>
      </c>
      <c r="K429" t="s">
        <v>74</v>
      </c>
      <c r="L429" t="s">
        <v>74</v>
      </c>
      <c r="M429" t="s">
        <v>78</v>
      </c>
      <c r="N429" t="s">
        <v>79</v>
      </c>
      <c r="O429" t="s">
        <v>74</v>
      </c>
      <c r="P429" t="s">
        <v>74</v>
      </c>
      <c r="Q429" t="s">
        <v>74</v>
      </c>
      <c r="R429" t="s">
        <v>74</v>
      </c>
      <c r="S429" t="s">
        <v>74</v>
      </c>
      <c r="T429" t="s">
        <v>8582</v>
      </c>
      <c r="U429" t="s">
        <v>8583</v>
      </c>
      <c r="V429" t="s">
        <v>8584</v>
      </c>
      <c r="W429" t="s">
        <v>8585</v>
      </c>
      <c r="X429" t="s">
        <v>8586</v>
      </c>
      <c r="Y429" t="s">
        <v>8587</v>
      </c>
      <c r="Z429" t="s">
        <v>8588</v>
      </c>
      <c r="AA429" t="s">
        <v>8589</v>
      </c>
      <c r="AB429" t="s">
        <v>8590</v>
      </c>
      <c r="AC429" t="s">
        <v>8591</v>
      </c>
      <c r="AD429" t="s">
        <v>8592</v>
      </c>
      <c r="AE429" t="s">
        <v>8593</v>
      </c>
      <c r="AF429" t="s">
        <v>74</v>
      </c>
      <c r="AG429">
        <v>51</v>
      </c>
      <c r="AH429">
        <v>2</v>
      </c>
      <c r="AI429">
        <v>2</v>
      </c>
      <c r="AJ429">
        <v>2</v>
      </c>
      <c r="AK429">
        <v>11</v>
      </c>
      <c r="AL429" t="s">
        <v>5494</v>
      </c>
      <c r="AM429" t="s">
        <v>5495</v>
      </c>
      <c r="AN429" t="s">
        <v>5496</v>
      </c>
      <c r="AO429" t="s">
        <v>5497</v>
      </c>
      <c r="AP429" t="s">
        <v>5498</v>
      </c>
      <c r="AQ429" t="s">
        <v>74</v>
      </c>
      <c r="AR429" t="s">
        <v>5499</v>
      </c>
      <c r="AS429" t="s">
        <v>5500</v>
      </c>
      <c r="AT429" t="s">
        <v>74</v>
      </c>
      <c r="AU429">
        <v>2018</v>
      </c>
      <c r="AV429">
        <v>42</v>
      </c>
      <c r="AW429">
        <v>1</v>
      </c>
      <c r="AX429" t="s">
        <v>74</v>
      </c>
      <c r="AY429" t="s">
        <v>74</v>
      </c>
      <c r="AZ429" t="s">
        <v>74</v>
      </c>
      <c r="BA429" t="s">
        <v>74</v>
      </c>
      <c r="BB429">
        <v>31</v>
      </c>
      <c r="BC429">
        <v>39</v>
      </c>
      <c r="BD429" t="s">
        <v>74</v>
      </c>
      <c r="BE429" t="s">
        <v>8594</v>
      </c>
      <c r="BF429" t="str">
        <f>HYPERLINK("http://dx.doi.org/10.20417/nzjecol.42.2","http://dx.doi.org/10.20417/nzjecol.42.2")</f>
        <v>http://dx.doi.org/10.20417/nzjecol.42.2</v>
      </c>
      <c r="BG429" t="s">
        <v>74</v>
      </c>
      <c r="BH429" t="s">
        <v>74</v>
      </c>
      <c r="BI429">
        <v>9</v>
      </c>
      <c r="BJ429" t="s">
        <v>5502</v>
      </c>
      <c r="BK429" t="s">
        <v>101</v>
      </c>
      <c r="BL429" t="s">
        <v>1120</v>
      </c>
      <c r="BM429" t="s">
        <v>8595</v>
      </c>
      <c r="BN429" t="s">
        <v>74</v>
      </c>
      <c r="BO429" t="s">
        <v>306</v>
      </c>
      <c r="BP429" t="s">
        <v>74</v>
      </c>
      <c r="BQ429" t="s">
        <v>74</v>
      </c>
      <c r="BR429" t="s">
        <v>105</v>
      </c>
      <c r="BS429" t="s">
        <v>8596</v>
      </c>
      <c r="BT429" t="str">
        <f>HYPERLINK("https%3A%2F%2Fwww.webofscience.com%2Fwos%2Fwoscc%2Ffull-record%2FWOS:000425277900005","View Full Record in Web of Science")</f>
        <v>View Full Record in Web of Science</v>
      </c>
    </row>
    <row r="430" spans="1:72" x14ac:dyDescent="0.15">
      <c r="A430" t="s">
        <v>72</v>
      </c>
      <c r="B430" t="s">
        <v>8597</v>
      </c>
      <c r="C430" t="s">
        <v>74</v>
      </c>
      <c r="D430" t="s">
        <v>74</v>
      </c>
      <c r="E430" t="s">
        <v>74</v>
      </c>
      <c r="F430" t="s">
        <v>8598</v>
      </c>
      <c r="G430" t="s">
        <v>74</v>
      </c>
      <c r="H430" t="s">
        <v>74</v>
      </c>
      <c r="I430" t="s">
        <v>8599</v>
      </c>
      <c r="J430" t="s">
        <v>5481</v>
      </c>
      <c r="K430" t="s">
        <v>74</v>
      </c>
      <c r="L430" t="s">
        <v>74</v>
      </c>
      <c r="M430" t="s">
        <v>78</v>
      </c>
      <c r="N430" t="s">
        <v>79</v>
      </c>
      <c r="O430" t="s">
        <v>74</v>
      </c>
      <c r="P430" t="s">
        <v>74</v>
      </c>
      <c r="Q430" t="s">
        <v>74</v>
      </c>
      <c r="R430" t="s">
        <v>74</v>
      </c>
      <c r="S430" t="s">
        <v>74</v>
      </c>
      <c r="T430" t="s">
        <v>8600</v>
      </c>
      <c r="U430" t="s">
        <v>8601</v>
      </c>
      <c r="V430" t="s">
        <v>8602</v>
      </c>
      <c r="W430" t="s">
        <v>8603</v>
      </c>
      <c r="X430" t="s">
        <v>8604</v>
      </c>
      <c r="Y430" t="s">
        <v>8605</v>
      </c>
      <c r="Z430" t="s">
        <v>8606</v>
      </c>
      <c r="AA430" t="s">
        <v>8607</v>
      </c>
      <c r="AB430" t="s">
        <v>8608</v>
      </c>
      <c r="AC430" t="s">
        <v>8609</v>
      </c>
      <c r="AD430" t="s">
        <v>8609</v>
      </c>
      <c r="AE430" t="s">
        <v>8610</v>
      </c>
      <c r="AF430" t="s">
        <v>74</v>
      </c>
      <c r="AG430">
        <v>56</v>
      </c>
      <c r="AH430">
        <v>6</v>
      </c>
      <c r="AI430">
        <v>6</v>
      </c>
      <c r="AJ430">
        <v>0</v>
      </c>
      <c r="AK430">
        <v>10</v>
      </c>
      <c r="AL430" t="s">
        <v>5494</v>
      </c>
      <c r="AM430" t="s">
        <v>5495</v>
      </c>
      <c r="AN430" t="s">
        <v>5496</v>
      </c>
      <c r="AO430" t="s">
        <v>5497</v>
      </c>
      <c r="AP430" t="s">
        <v>5498</v>
      </c>
      <c r="AQ430" t="s">
        <v>74</v>
      </c>
      <c r="AR430" t="s">
        <v>5499</v>
      </c>
      <c r="AS430" t="s">
        <v>5500</v>
      </c>
      <c r="AT430" t="s">
        <v>74</v>
      </c>
      <c r="AU430">
        <v>2018</v>
      </c>
      <c r="AV430">
        <v>42</v>
      </c>
      <c r="AW430">
        <v>1</v>
      </c>
      <c r="AX430" t="s">
        <v>74</v>
      </c>
      <c r="AY430" t="s">
        <v>74</v>
      </c>
      <c r="AZ430" t="s">
        <v>74</v>
      </c>
      <c r="BA430" t="s">
        <v>74</v>
      </c>
      <c r="BB430">
        <v>48</v>
      </c>
      <c r="BC430">
        <v>57</v>
      </c>
      <c r="BD430" t="s">
        <v>74</v>
      </c>
      <c r="BE430" t="s">
        <v>8611</v>
      </c>
      <c r="BF430" t="str">
        <f>HYPERLINK("http://dx.doi.org/10.20417/nzjecol.42.7","http://dx.doi.org/10.20417/nzjecol.42.7")</f>
        <v>http://dx.doi.org/10.20417/nzjecol.42.7</v>
      </c>
      <c r="BG430" t="s">
        <v>74</v>
      </c>
      <c r="BH430" t="s">
        <v>74</v>
      </c>
      <c r="BI430">
        <v>10</v>
      </c>
      <c r="BJ430" t="s">
        <v>5502</v>
      </c>
      <c r="BK430" t="s">
        <v>101</v>
      </c>
      <c r="BL430" t="s">
        <v>1120</v>
      </c>
      <c r="BM430" t="s">
        <v>8595</v>
      </c>
      <c r="BN430" t="s">
        <v>74</v>
      </c>
      <c r="BO430" t="s">
        <v>306</v>
      </c>
      <c r="BP430" t="s">
        <v>74</v>
      </c>
      <c r="BQ430" t="s">
        <v>74</v>
      </c>
      <c r="BR430" t="s">
        <v>105</v>
      </c>
      <c r="BS430" t="s">
        <v>8612</v>
      </c>
      <c r="BT430" t="str">
        <f>HYPERLINK("https%3A%2F%2Fwww.webofscience.com%2Fwos%2Fwoscc%2Ffull-record%2FWOS:000425277900007","View Full Record in Web of Science")</f>
        <v>View Full Record in Web of Science</v>
      </c>
    </row>
    <row r="431" spans="1:72" x14ac:dyDescent="0.15">
      <c r="A431" t="s">
        <v>1831</v>
      </c>
      <c r="B431" t="s">
        <v>8613</v>
      </c>
      <c r="C431" t="s">
        <v>74</v>
      </c>
      <c r="D431" t="s">
        <v>8614</v>
      </c>
      <c r="E431" t="s">
        <v>74</v>
      </c>
      <c r="F431" t="s">
        <v>8615</v>
      </c>
      <c r="G431" t="s">
        <v>74</v>
      </c>
      <c r="H431" t="s">
        <v>74</v>
      </c>
      <c r="I431" t="s">
        <v>8616</v>
      </c>
      <c r="J431" t="s">
        <v>8617</v>
      </c>
      <c r="K431" t="s">
        <v>8618</v>
      </c>
      <c r="L431" t="s">
        <v>74</v>
      </c>
      <c r="M431" t="s">
        <v>78</v>
      </c>
      <c r="N431" t="s">
        <v>1838</v>
      </c>
      <c r="O431" t="s">
        <v>74</v>
      </c>
      <c r="P431" t="s">
        <v>74</v>
      </c>
      <c r="Q431" t="s">
        <v>74</v>
      </c>
      <c r="R431" t="s">
        <v>74</v>
      </c>
      <c r="S431" t="s">
        <v>74</v>
      </c>
      <c r="T431" t="s">
        <v>8619</v>
      </c>
      <c r="U431" t="s">
        <v>8620</v>
      </c>
      <c r="V431" t="s">
        <v>8621</v>
      </c>
      <c r="W431" t="s">
        <v>8622</v>
      </c>
      <c r="X431" t="s">
        <v>8623</v>
      </c>
      <c r="Y431" t="s">
        <v>8624</v>
      </c>
      <c r="Z431" t="s">
        <v>8625</v>
      </c>
      <c r="AA431" t="s">
        <v>8626</v>
      </c>
      <c r="AB431" t="s">
        <v>8627</v>
      </c>
      <c r="AC431" t="s">
        <v>8628</v>
      </c>
      <c r="AD431" t="s">
        <v>8629</v>
      </c>
      <c r="AE431" t="s">
        <v>74</v>
      </c>
      <c r="AF431" t="s">
        <v>74</v>
      </c>
      <c r="AG431">
        <v>120</v>
      </c>
      <c r="AH431">
        <v>35</v>
      </c>
      <c r="AI431">
        <v>37</v>
      </c>
      <c r="AJ431">
        <v>3</v>
      </c>
      <c r="AK431">
        <v>62</v>
      </c>
      <c r="AL431" t="s">
        <v>3849</v>
      </c>
      <c r="AM431" t="s">
        <v>3850</v>
      </c>
      <c r="AN431" t="s">
        <v>3851</v>
      </c>
      <c r="AO431" t="s">
        <v>8630</v>
      </c>
      <c r="AP431" t="s">
        <v>74</v>
      </c>
      <c r="AQ431" t="s">
        <v>74</v>
      </c>
      <c r="AR431" t="s">
        <v>8631</v>
      </c>
      <c r="AS431" t="s">
        <v>8632</v>
      </c>
      <c r="AT431" t="s">
        <v>74</v>
      </c>
      <c r="AU431">
        <v>2018</v>
      </c>
      <c r="AV431">
        <v>10</v>
      </c>
      <c r="AW431" t="s">
        <v>74</v>
      </c>
      <c r="AX431" t="s">
        <v>74</v>
      </c>
      <c r="AY431" t="s">
        <v>74</v>
      </c>
      <c r="AZ431" t="s">
        <v>74</v>
      </c>
      <c r="BA431" t="s">
        <v>74</v>
      </c>
      <c r="BB431">
        <v>503</v>
      </c>
      <c r="BC431">
        <v>527</v>
      </c>
      <c r="BD431" t="s">
        <v>74</v>
      </c>
      <c r="BE431" t="s">
        <v>8633</v>
      </c>
      <c r="BF431" t="str">
        <f>HYPERLINK("http://dx.doi.org/10.1146/annurev-marine-121916-063414","http://dx.doi.org/10.1146/annurev-marine-121916-063414")</f>
        <v>http://dx.doi.org/10.1146/annurev-marine-121916-063414</v>
      </c>
      <c r="BG431" t="s">
        <v>74</v>
      </c>
      <c r="BH431" t="s">
        <v>74</v>
      </c>
      <c r="BI431">
        <v>25</v>
      </c>
      <c r="BJ431" t="s">
        <v>8634</v>
      </c>
      <c r="BK431" t="s">
        <v>3859</v>
      </c>
      <c r="BL431" t="s">
        <v>8634</v>
      </c>
      <c r="BM431" t="s">
        <v>8635</v>
      </c>
      <c r="BN431">
        <v>28877009</v>
      </c>
      <c r="BO431" t="s">
        <v>306</v>
      </c>
      <c r="BP431" t="s">
        <v>74</v>
      </c>
      <c r="BQ431" t="s">
        <v>74</v>
      </c>
      <c r="BR431" t="s">
        <v>105</v>
      </c>
      <c r="BS431" t="s">
        <v>8636</v>
      </c>
      <c r="BT431" t="str">
        <f>HYPERLINK("https%3A%2F%2Fwww.webofscience.com%2Fwos%2Fwoscc%2Ffull-record%2FWOS:000424829800020","View Full Record in Web of Science")</f>
        <v>View Full Record in Web of Science</v>
      </c>
    </row>
    <row r="432" spans="1:72" x14ac:dyDescent="0.15">
      <c r="A432" t="s">
        <v>72</v>
      </c>
      <c r="B432" t="s">
        <v>8637</v>
      </c>
      <c r="C432" t="s">
        <v>74</v>
      </c>
      <c r="D432" t="s">
        <v>74</v>
      </c>
      <c r="E432" t="s">
        <v>74</v>
      </c>
      <c r="F432" t="s">
        <v>8638</v>
      </c>
      <c r="G432" t="s">
        <v>74</v>
      </c>
      <c r="H432" t="s">
        <v>74</v>
      </c>
      <c r="I432" t="s">
        <v>8639</v>
      </c>
      <c r="J432" t="s">
        <v>8640</v>
      </c>
      <c r="K432" t="s">
        <v>74</v>
      </c>
      <c r="L432" t="s">
        <v>74</v>
      </c>
      <c r="M432" t="s">
        <v>78</v>
      </c>
      <c r="N432" t="s">
        <v>79</v>
      </c>
      <c r="O432" t="s">
        <v>74</v>
      </c>
      <c r="P432" t="s">
        <v>74</v>
      </c>
      <c r="Q432" t="s">
        <v>74</v>
      </c>
      <c r="R432" t="s">
        <v>74</v>
      </c>
      <c r="S432" t="s">
        <v>74</v>
      </c>
      <c r="T432" t="s">
        <v>8641</v>
      </c>
      <c r="U432" t="s">
        <v>8642</v>
      </c>
      <c r="V432" t="s">
        <v>8643</v>
      </c>
      <c r="W432" t="s">
        <v>8644</v>
      </c>
      <c r="X432" t="s">
        <v>8645</v>
      </c>
      <c r="Y432" t="s">
        <v>8646</v>
      </c>
      <c r="Z432" t="s">
        <v>8647</v>
      </c>
      <c r="AA432" t="s">
        <v>8648</v>
      </c>
      <c r="AB432" t="s">
        <v>8649</v>
      </c>
      <c r="AC432" t="s">
        <v>8650</v>
      </c>
      <c r="AD432" t="s">
        <v>8651</v>
      </c>
      <c r="AE432" t="s">
        <v>8652</v>
      </c>
      <c r="AF432" t="s">
        <v>74</v>
      </c>
      <c r="AG432">
        <v>86</v>
      </c>
      <c r="AH432">
        <v>18</v>
      </c>
      <c r="AI432">
        <v>18</v>
      </c>
      <c r="AJ432">
        <v>1</v>
      </c>
      <c r="AK432">
        <v>18</v>
      </c>
      <c r="AL432" t="s">
        <v>271</v>
      </c>
      <c r="AM432" t="s">
        <v>272</v>
      </c>
      <c r="AN432" t="s">
        <v>273</v>
      </c>
      <c r="AO432" t="s">
        <v>8653</v>
      </c>
      <c r="AP432" t="s">
        <v>8654</v>
      </c>
      <c r="AQ432" t="s">
        <v>74</v>
      </c>
      <c r="AR432" t="s">
        <v>8655</v>
      </c>
      <c r="AS432" t="s">
        <v>8656</v>
      </c>
      <c r="AT432" t="s">
        <v>2468</v>
      </c>
      <c r="AU432">
        <v>2018</v>
      </c>
      <c r="AV432">
        <v>123</v>
      </c>
      <c r="AW432">
        <v>1</v>
      </c>
      <c r="AX432" t="s">
        <v>74</v>
      </c>
      <c r="AY432" t="s">
        <v>74</v>
      </c>
      <c r="AZ432" t="s">
        <v>74</v>
      </c>
      <c r="BA432" t="s">
        <v>74</v>
      </c>
      <c r="BB432">
        <v>32</v>
      </c>
      <c r="BC432">
        <v>45</v>
      </c>
      <c r="BD432" t="s">
        <v>74</v>
      </c>
      <c r="BE432" t="s">
        <v>8657</v>
      </c>
      <c r="BF432" t="str">
        <f>HYPERLINK("http://dx.doi.org/10.1002/2017JG003989","http://dx.doi.org/10.1002/2017JG003989")</f>
        <v>http://dx.doi.org/10.1002/2017JG003989</v>
      </c>
      <c r="BG432" t="s">
        <v>74</v>
      </c>
      <c r="BH432" t="s">
        <v>74</v>
      </c>
      <c r="BI432">
        <v>14</v>
      </c>
      <c r="BJ432" t="s">
        <v>8658</v>
      </c>
      <c r="BK432" t="s">
        <v>101</v>
      </c>
      <c r="BL432" t="s">
        <v>158</v>
      </c>
      <c r="BM432" t="s">
        <v>8659</v>
      </c>
      <c r="BN432" t="s">
        <v>74</v>
      </c>
      <c r="BO432" t="s">
        <v>789</v>
      </c>
      <c r="BP432" t="s">
        <v>74</v>
      </c>
      <c r="BQ432" t="s">
        <v>74</v>
      </c>
      <c r="BR432" t="s">
        <v>105</v>
      </c>
      <c r="BS432" t="s">
        <v>8660</v>
      </c>
      <c r="BT432" t="str">
        <f>HYPERLINK("https%3A%2F%2Fwww.webofscience.com%2Fwos%2Fwoscc%2Ffull-record%2FWOS:000425517800003","View Full Record in Web of Science")</f>
        <v>View Full Record in Web of Science</v>
      </c>
    </row>
    <row r="433" spans="1:72" x14ac:dyDescent="0.15">
      <c r="A433" t="s">
        <v>72</v>
      </c>
      <c r="B433" t="s">
        <v>8661</v>
      </c>
      <c r="C433" t="s">
        <v>74</v>
      </c>
      <c r="D433" t="s">
        <v>74</v>
      </c>
      <c r="E433" t="s">
        <v>74</v>
      </c>
      <c r="F433" t="s">
        <v>8662</v>
      </c>
      <c r="G433" t="s">
        <v>74</v>
      </c>
      <c r="H433" t="s">
        <v>74</v>
      </c>
      <c r="I433" t="s">
        <v>8663</v>
      </c>
      <c r="J433" t="s">
        <v>8640</v>
      </c>
      <c r="K433" t="s">
        <v>74</v>
      </c>
      <c r="L433" t="s">
        <v>74</v>
      </c>
      <c r="M433" t="s">
        <v>78</v>
      </c>
      <c r="N433" t="s">
        <v>79</v>
      </c>
      <c r="O433" t="s">
        <v>74</v>
      </c>
      <c r="P433" t="s">
        <v>74</v>
      </c>
      <c r="Q433" t="s">
        <v>74</v>
      </c>
      <c r="R433" t="s">
        <v>74</v>
      </c>
      <c r="S433" t="s">
        <v>74</v>
      </c>
      <c r="T433" t="s">
        <v>8664</v>
      </c>
      <c r="U433" t="s">
        <v>8665</v>
      </c>
      <c r="V433" t="s">
        <v>8666</v>
      </c>
      <c r="W433" t="s">
        <v>8667</v>
      </c>
      <c r="X433" t="s">
        <v>8668</v>
      </c>
      <c r="Y433" t="s">
        <v>8669</v>
      </c>
      <c r="Z433" t="s">
        <v>8670</v>
      </c>
      <c r="AA433" t="s">
        <v>8671</v>
      </c>
      <c r="AB433" t="s">
        <v>8672</v>
      </c>
      <c r="AC433" t="s">
        <v>8673</v>
      </c>
      <c r="AD433" t="s">
        <v>8674</v>
      </c>
      <c r="AE433" t="s">
        <v>8675</v>
      </c>
      <c r="AF433" t="s">
        <v>74</v>
      </c>
      <c r="AG433">
        <v>60</v>
      </c>
      <c r="AH433">
        <v>23</v>
      </c>
      <c r="AI433">
        <v>27</v>
      </c>
      <c r="AJ433">
        <v>3</v>
      </c>
      <c r="AK433">
        <v>33</v>
      </c>
      <c r="AL433" t="s">
        <v>271</v>
      </c>
      <c r="AM433" t="s">
        <v>272</v>
      </c>
      <c r="AN433" t="s">
        <v>273</v>
      </c>
      <c r="AO433" t="s">
        <v>8653</v>
      </c>
      <c r="AP433" t="s">
        <v>8654</v>
      </c>
      <c r="AQ433" t="s">
        <v>74</v>
      </c>
      <c r="AR433" t="s">
        <v>8655</v>
      </c>
      <c r="AS433" t="s">
        <v>8656</v>
      </c>
      <c r="AT433" t="s">
        <v>2468</v>
      </c>
      <c r="AU433">
        <v>2018</v>
      </c>
      <c r="AV433">
        <v>123</v>
      </c>
      <c r="AW433">
        <v>1</v>
      </c>
      <c r="AX433" t="s">
        <v>74</v>
      </c>
      <c r="AY433" t="s">
        <v>74</v>
      </c>
      <c r="AZ433" t="s">
        <v>74</v>
      </c>
      <c r="BA433" t="s">
        <v>74</v>
      </c>
      <c r="BB433">
        <v>46</v>
      </c>
      <c r="BC433">
        <v>59</v>
      </c>
      <c r="BD433" t="s">
        <v>74</v>
      </c>
      <c r="BE433" t="s">
        <v>8676</v>
      </c>
      <c r="BF433" t="str">
        <f>HYPERLINK("http://dx.doi.org/10.1002/2017JG004018","http://dx.doi.org/10.1002/2017JG004018")</f>
        <v>http://dx.doi.org/10.1002/2017JG004018</v>
      </c>
      <c r="BG433" t="s">
        <v>74</v>
      </c>
      <c r="BH433" t="s">
        <v>74</v>
      </c>
      <c r="BI433">
        <v>14</v>
      </c>
      <c r="BJ433" t="s">
        <v>8658</v>
      </c>
      <c r="BK433" t="s">
        <v>101</v>
      </c>
      <c r="BL433" t="s">
        <v>158</v>
      </c>
      <c r="BM433" t="s">
        <v>8659</v>
      </c>
      <c r="BN433" t="s">
        <v>74</v>
      </c>
      <c r="BO433" t="s">
        <v>306</v>
      </c>
      <c r="BP433" t="s">
        <v>74</v>
      </c>
      <c r="BQ433" t="s">
        <v>74</v>
      </c>
      <c r="BR433" t="s">
        <v>105</v>
      </c>
      <c r="BS433" t="s">
        <v>8677</v>
      </c>
      <c r="BT433" t="str">
        <f>HYPERLINK("https%3A%2F%2Fwww.webofscience.com%2Fwos%2Fwoscc%2Ffull-record%2FWOS:000425517800004","View Full Record in Web of Science")</f>
        <v>View Full Record in Web of Science</v>
      </c>
    </row>
    <row r="434" spans="1:72" x14ac:dyDescent="0.15">
      <c r="A434" t="s">
        <v>72</v>
      </c>
      <c r="B434" t="s">
        <v>8678</v>
      </c>
      <c r="C434" t="s">
        <v>74</v>
      </c>
      <c r="D434" t="s">
        <v>74</v>
      </c>
      <c r="E434" t="s">
        <v>74</v>
      </c>
      <c r="F434" t="s">
        <v>8679</v>
      </c>
      <c r="G434" t="s">
        <v>74</v>
      </c>
      <c r="H434" t="s">
        <v>74</v>
      </c>
      <c r="I434" t="s">
        <v>8680</v>
      </c>
      <c r="J434" t="s">
        <v>8681</v>
      </c>
      <c r="K434" t="s">
        <v>74</v>
      </c>
      <c r="L434" t="s">
        <v>74</v>
      </c>
      <c r="M434" t="s">
        <v>78</v>
      </c>
      <c r="N434" t="s">
        <v>79</v>
      </c>
      <c r="O434" t="s">
        <v>74</v>
      </c>
      <c r="P434" t="s">
        <v>74</v>
      </c>
      <c r="Q434" t="s">
        <v>74</v>
      </c>
      <c r="R434" t="s">
        <v>74</v>
      </c>
      <c r="S434" t="s">
        <v>74</v>
      </c>
      <c r="T434" t="s">
        <v>8682</v>
      </c>
      <c r="U434" t="s">
        <v>8683</v>
      </c>
      <c r="V434" t="s">
        <v>8684</v>
      </c>
      <c r="W434" t="s">
        <v>8685</v>
      </c>
      <c r="X434" t="s">
        <v>8686</v>
      </c>
      <c r="Y434" t="s">
        <v>8687</v>
      </c>
      <c r="Z434" t="s">
        <v>8688</v>
      </c>
      <c r="AA434" t="s">
        <v>8689</v>
      </c>
      <c r="AB434" t="s">
        <v>8690</v>
      </c>
      <c r="AC434" t="s">
        <v>8691</v>
      </c>
      <c r="AD434" t="s">
        <v>8692</v>
      </c>
      <c r="AE434" t="s">
        <v>8693</v>
      </c>
      <c r="AF434" t="s">
        <v>74</v>
      </c>
      <c r="AG434">
        <v>64</v>
      </c>
      <c r="AH434">
        <v>8</v>
      </c>
      <c r="AI434">
        <v>8</v>
      </c>
      <c r="AJ434">
        <v>1</v>
      </c>
      <c r="AK434">
        <v>10</v>
      </c>
      <c r="AL434" t="s">
        <v>8694</v>
      </c>
      <c r="AM434" t="s">
        <v>1140</v>
      </c>
      <c r="AN434" t="s">
        <v>8695</v>
      </c>
      <c r="AO434" t="s">
        <v>8696</v>
      </c>
      <c r="AP434" t="s">
        <v>8697</v>
      </c>
      <c r="AQ434" t="s">
        <v>74</v>
      </c>
      <c r="AR434" t="s">
        <v>8698</v>
      </c>
      <c r="AS434" t="s">
        <v>8699</v>
      </c>
      <c r="AT434" t="s">
        <v>8251</v>
      </c>
      <c r="AU434">
        <v>2018</v>
      </c>
      <c r="AV434">
        <v>75</v>
      </c>
      <c r="AW434">
        <v>1</v>
      </c>
      <c r="AX434" t="s">
        <v>74</v>
      </c>
      <c r="AY434" t="s">
        <v>74</v>
      </c>
      <c r="AZ434" t="s">
        <v>74</v>
      </c>
      <c r="BA434" t="s">
        <v>74</v>
      </c>
      <c r="BB434">
        <v>113</v>
      </c>
      <c r="BC434">
        <v>121</v>
      </c>
      <c r="BD434" t="s">
        <v>74</v>
      </c>
      <c r="BE434" t="s">
        <v>8700</v>
      </c>
      <c r="BF434" t="str">
        <f>HYPERLINK("http://dx.doi.org/10.1093/icesjms/fsx110","http://dx.doi.org/10.1093/icesjms/fsx110")</f>
        <v>http://dx.doi.org/10.1093/icesjms/fsx110</v>
      </c>
      <c r="BG434" t="s">
        <v>74</v>
      </c>
      <c r="BH434" t="s">
        <v>74</v>
      </c>
      <c r="BI434">
        <v>9</v>
      </c>
      <c r="BJ434" t="s">
        <v>5119</v>
      </c>
      <c r="BK434" t="s">
        <v>101</v>
      </c>
      <c r="BL434" t="s">
        <v>5119</v>
      </c>
      <c r="BM434" t="s">
        <v>8701</v>
      </c>
      <c r="BN434" t="s">
        <v>74</v>
      </c>
      <c r="BO434" t="s">
        <v>8098</v>
      </c>
      <c r="BP434" t="s">
        <v>74</v>
      </c>
      <c r="BQ434" t="s">
        <v>74</v>
      </c>
      <c r="BR434" t="s">
        <v>105</v>
      </c>
      <c r="BS434" t="s">
        <v>8702</v>
      </c>
      <c r="BT434" t="str">
        <f>HYPERLINK("https%3A%2F%2Fwww.webofscience.com%2Fwos%2Fwoscc%2Ffull-record%2FWOS:000424080500011","View Full Record in Web of Science")</f>
        <v>View Full Record in Web of Science</v>
      </c>
    </row>
    <row r="435" spans="1:72" x14ac:dyDescent="0.15">
      <c r="A435" t="s">
        <v>72</v>
      </c>
      <c r="B435" t="s">
        <v>8703</v>
      </c>
      <c r="C435" t="s">
        <v>74</v>
      </c>
      <c r="D435" t="s">
        <v>74</v>
      </c>
      <c r="E435" t="s">
        <v>74</v>
      </c>
      <c r="F435" t="s">
        <v>8704</v>
      </c>
      <c r="G435" t="s">
        <v>74</v>
      </c>
      <c r="H435" t="s">
        <v>74</v>
      </c>
      <c r="I435" t="s">
        <v>8705</v>
      </c>
      <c r="J435" t="s">
        <v>5125</v>
      </c>
      <c r="K435" t="s">
        <v>74</v>
      </c>
      <c r="L435" t="s">
        <v>74</v>
      </c>
      <c r="M435" t="s">
        <v>78</v>
      </c>
      <c r="N435" t="s">
        <v>289</v>
      </c>
      <c r="O435" t="s">
        <v>74</v>
      </c>
      <c r="P435" t="s">
        <v>74</v>
      </c>
      <c r="Q435" t="s">
        <v>74</v>
      </c>
      <c r="R435" t="s">
        <v>74</v>
      </c>
      <c r="S435" t="s">
        <v>74</v>
      </c>
      <c r="T435" t="s">
        <v>74</v>
      </c>
      <c r="U435" t="s">
        <v>8706</v>
      </c>
      <c r="V435" t="s">
        <v>8707</v>
      </c>
      <c r="W435" t="s">
        <v>8708</v>
      </c>
      <c r="X435" t="s">
        <v>8709</v>
      </c>
      <c r="Y435" t="s">
        <v>8710</v>
      </c>
      <c r="Z435" t="s">
        <v>8711</v>
      </c>
      <c r="AA435" t="s">
        <v>8712</v>
      </c>
      <c r="AB435" t="s">
        <v>8713</v>
      </c>
      <c r="AC435" t="s">
        <v>8714</v>
      </c>
      <c r="AD435" t="s">
        <v>8715</v>
      </c>
      <c r="AE435" t="s">
        <v>8716</v>
      </c>
      <c r="AF435" t="s">
        <v>74</v>
      </c>
      <c r="AG435">
        <v>100</v>
      </c>
      <c r="AH435">
        <v>28</v>
      </c>
      <c r="AI435">
        <v>29</v>
      </c>
      <c r="AJ435">
        <v>1</v>
      </c>
      <c r="AK435">
        <v>38</v>
      </c>
      <c r="AL435" t="s">
        <v>3906</v>
      </c>
      <c r="AM435" t="s">
        <v>3907</v>
      </c>
      <c r="AN435" t="s">
        <v>3908</v>
      </c>
      <c r="AO435" t="s">
        <v>5137</v>
      </c>
      <c r="AP435" t="s">
        <v>5138</v>
      </c>
      <c r="AQ435" t="s">
        <v>74</v>
      </c>
      <c r="AR435" t="s">
        <v>5139</v>
      </c>
      <c r="AS435" t="s">
        <v>5140</v>
      </c>
      <c r="AT435" t="s">
        <v>2468</v>
      </c>
      <c r="AU435">
        <v>2018</v>
      </c>
      <c r="AV435">
        <v>165</v>
      </c>
      <c r="AW435">
        <v>1</v>
      </c>
      <c r="AX435" t="s">
        <v>74</v>
      </c>
      <c r="AY435" t="s">
        <v>74</v>
      </c>
      <c r="AZ435" t="s">
        <v>74</v>
      </c>
      <c r="BA435" t="s">
        <v>74</v>
      </c>
      <c r="BB435" t="s">
        <v>74</v>
      </c>
      <c r="BC435" t="s">
        <v>74</v>
      </c>
      <c r="BD435" t="s">
        <v>74</v>
      </c>
      <c r="BE435" t="s">
        <v>8717</v>
      </c>
      <c r="BF435" t="str">
        <f>HYPERLINK("http://dx.doi.org/10.1007/s00227-017-3239-1","http://dx.doi.org/10.1007/s00227-017-3239-1")</f>
        <v>http://dx.doi.org/10.1007/s00227-017-3239-1</v>
      </c>
      <c r="BG435" t="s">
        <v>74</v>
      </c>
      <c r="BH435" t="s">
        <v>74</v>
      </c>
      <c r="BI435">
        <v>18</v>
      </c>
      <c r="BJ435" t="s">
        <v>3180</v>
      </c>
      <c r="BK435" t="s">
        <v>101</v>
      </c>
      <c r="BL435" t="s">
        <v>3180</v>
      </c>
      <c r="BM435" t="s">
        <v>5142</v>
      </c>
      <c r="BN435">
        <v>29170567</v>
      </c>
      <c r="BO435" t="s">
        <v>8718</v>
      </c>
      <c r="BP435" t="s">
        <v>74</v>
      </c>
      <c r="BQ435" t="s">
        <v>74</v>
      </c>
      <c r="BR435" t="s">
        <v>105</v>
      </c>
      <c r="BS435" t="s">
        <v>8719</v>
      </c>
      <c r="BT435" t="str">
        <f>HYPERLINK("https%3A%2F%2Fwww.webofscience.com%2Fwos%2Fwoscc%2Ffull-record%2FWOS:000424325900001","View Full Record in Web of Science")</f>
        <v>View Full Record in Web of Science</v>
      </c>
    </row>
    <row r="436" spans="1:72" x14ac:dyDescent="0.15">
      <c r="A436" t="s">
        <v>72</v>
      </c>
      <c r="B436" t="s">
        <v>8720</v>
      </c>
      <c r="C436" t="s">
        <v>74</v>
      </c>
      <c r="D436" t="s">
        <v>74</v>
      </c>
      <c r="E436" t="s">
        <v>74</v>
      </c>
      <c r="F436" t="s">
        <v>8721</v>
      </c>
      <c r="G436" t="s">
        <v>74</v>
      </c>
      <c r="H436" t="s">
        <v>74</v>
      </c>
      <c r="I436" t="s">
        <v>8722</v>
      </c>
      <c r="J436" t="s">
        <v>5125</v>
      </c>
      <c r="K436" t="s">
        <v>74</v>
      </c>
      <c r="L436" t="s">
        <v>74</v>
      </c>
      <c r="M436" t="s">
        <v>78</v>
      </c>
      <c r="N436" t="s">
        <v>79</v>
      </c>
      <c r="O436" t="s">
        <v>74</v>
      </c>
      <c r="P436" t="s">
        <v>74</v>
      </c>
      <c r="Q436" t="s">
        <v>74</v>
      </c>
      <c r="R436" t="s">
        <v>74</v>
      </c>
      <c r="S436" t="s">
        <v>74</v>
      </c>
      <c r="T436" t="s">
        <v>74</v>
      </c>
      <c r="U436" t="s">
        <v>8723</v>
      </c>
      <c r="V436" t="s">
        <v>8724</v>
      </c>
      <c r="W436" t="s">
        <v>8725</v>
      </c>
      <c r="X436" t="s">
        <v>8726</v>
      </c>
      <c r="Y436" t="s">
        <v>8727</v>
      </c>
      <c r="Z436" t="s">
        <v>8728</v>
      </c>
      <c r="AA436" t="s">
        <v>8729</v>
      </c>
      <c r="AB436" t="s">
        <v>8730</v>
      </c>
      <c r="AC436" t="s">
        <v>8731</v>
      </c>
      <c r="AD436" t="s">
        <v>8732</v>
      </c>
      <c r="AE436" t="s">
        <v>8733</v>
      </c>
      <c r="AF436" t="s">
        <v>74</v>
      </c>
      <c r="AG436">
        <v>71</v>
      </c>
      <c r="AH436">
        <v>20</v>
      </c>
      <c r="AI436">
        <v>22</v>
      </c>
      <c r="AJ436">
        <v>0</v>
      </c>
      <c r="AK436">
        <v>15</v>
      </c>
      <c r="AL436" t="s">
        <v>3906</v>
      </c>
      <c r="AM436" t="s">
        <v>3907</v>
      </c>
      <c r="AN436" t="s">
        <v>3908</v>
      </c>
      <c r="AO436" t="s">
        <v>5137</v>
      </c>
      <c r="AP436" t="s">
        <v>5138</v>
      </c>
      <c r="AQ436" t="s">
        <v>74</v>
      </c>
      <c r="AR436" t="s">
        <v>5139</v>
      </c>
      <c r="AS436" t="s">
        <v>5140</v>
      </c>
      <c r="AT436" t="s">
        <v>2468</v>
      </c>
      <c r="AU436">
        <v>2018</v>
      </c>
      <c r="AV436">
        <v>165</v>
      </c>
      <c r="AW436">
        <v>1</v>
      </c>
      <c r="AX436" t="s">
        <v>74</v>
      </c>
      <c r="AY436" t="s">
        <v>74</v>
      </c>
      <c r="AZ436" t="s">
        <v>74</v>
      </c>
      <c r="BA436" t="s">
        <v>74</v>
      </c>
      <c r="BB436" t="s">
        <v>74</v>
      </c>
      <c r="BC436" t="s">
        <v>74</v>
      </c>
      <c r="BD436" t="s">
        <v>74</v>
      </c>
      <c r="BE436" t="s">
        <v>8734</v>
      </c>
      <c r="BF436" t="str">
        <f>HYPERLINK("http://dx.doi.org/10.1007/s00227-017-3277-8","http://dx.doi.org/10.1007/s00227-017-3277-8")</f>
        <v>http://dx.doi.org/10.1007/s00227-017-3277-8</v>
      </c>
      <c r="BG436" t="s">
        <v>74</v>
      </c>
      <c r="BH436" t="s">
        <v>74</v>
      </c>
      <c r="BI436">
        <v>15</v>
      </c>
      <c r="BJ436" t="s">
        <v>3180</v>
      </c>
      <c r="BK436" t="s">
        <v>101</v>
      </c>
      <c r="BL436" t="s">
        <v>3180</v>
      </c>
      <c r="BM436" t="s">
        <v>5142</v>
      </c>
      <c r="BN436" t="s">
        <v>74</v>
      </c>
      <c r="BO436" t="s">
        <v>74</v>
      </c>
      <c r="BP436" t="s">
        <v>74</v>
      </c>
      <c r="BQ436" t="s">
        <v>74</v>
      </c>
      <c r="BR436" t="s">
        <v>105</v>
      </c>
      <c r="BS436" t="s">
        <v>8735</v>
      </c>
      <c r="BT436" t="str">
        <f>HYPERLINK("https%3A%2F%2Fwww.webofscience.com%2Fwos%2Fwoscc%2Ffull-record%2FWOS:000424325900018","View Full Record in Web of Science")</f>
        <v>View Full Record in Web of Science</v>
      </c>
    </row>
    <row r="437" spans="1:72" x14ac:dyDescent="0.15">
      <c r="A437" t="s">
        <v>72</v>
      </c>
      <c r="B437" t="s">
        <v>8736</v>
      </c>
      <c r="C437" t="s">
        <v>74</v>
      </c>
      <c r="D437" t="s">
        <v>74</v>
      </c>
      <c r="E437" t="s">
        <v>74</v>
      </c>
      <c r="F437" t="s">
        <v>8737</v>
      </c>
      <c r="G437" t="s">
        <v>74</v>
      </c>
      <c r="H437" t="s">
        <v>74</v>
      </c>
      <c r="I437" t="s">
        <v>8738</v>
      </c>
      <c r="J437" t="s">
        <v>8739</v>
      </c>
      <c r="K437" t="s">
        <v>74</v>
      </c>
      <c r="L437" t="s">
        <v>74</v>
      </c>
      <c r="M437" t="s">
        <v>78</v>
      </c>
      <c r="N437" t="s">
        <v>79</v>
      </c>
      <c r="O437" t="s">
        <v>74</v>
      </c>
      <c r="P437" t="s">
        <v>74</v>
      </c>
      <c r="Q437" t="s">
        <v>74</v>
      </c>
      <c r="R437" t="s">
        <v>74</v>
      </c>
      <c r="S437" t="s">
        <v>74</v>
      </c>
      <c r="T437" t="s">
        <v>8740</v>
      </c>
      <c r="U437" t="s">
        <v>8741</v>
      </c>
      <c r="V437" t="s">
        <v>8742</v>
      </c>
      <c r="W437" t="s">
        <v>8743</v>
      </c>
      <c r="X437" t="s">
        <v>8744</v>
      </c>
      <c r="Y437" t="s">
        <v>8745</v>
      </c>
      <c r="Z437" t="s">
        <v>8746</v>
      </c>
      <c r="AA437" t="s">
        <v>8747</v>
      </c>
      <c r="AB437" t="s">
        <v>8748</v>
      </c>
      <c r="AC437" t="s">
        <v>8749</v>
      </c>
      <c r="AD437" t="s">
        <v>8750</v>
      </c>
      <c r="AE437" t="s">
        <v>8751</v>
      </c>
      <c r="AF437" t="s">
        <v>74</v>
      </c>
      <c r="AG437">
        <v>45</v>
      </c>
      <c r="AH437">
        <v>11</v>
      </c>
      <c r="AI437">
        <v>12</v>
      </c>
      <c r="AJ437">
        <v>2</v>
      </c>
      <c r="AK437">
        <v>46</v>
      </c>
      <c r="AL437" t="s">
        <v>8752</v>
      </c>
      <c r="AM437" t="s">
        <v>1140</v>
      </c>
      <c r="AN437" t="s">
        <v>8753</v>
      </c>
      <c r="AO437" t="s">
        <v>8754</v>
      </c>
      <c r="AP437" t="s">
        <v>8755</v>
      </c>
      <c r="AQ437" t="s">
        <v>74</v>
      </c>
      <c r="AR437" t="s">
        <v>8756</v>
      </c>
      <c r="AS437" t="s">
        <v>8757</v>
      </c>
      <c r="AT437" t="s">
        <v>2468</v>
      </c>
      <c r="AU437">
        <v>2018</v>
      </c>
      <c r="AV437">
        <v>122</v>
      </c>
      <c r="AW437">
        <v>1</v>
      </c>
      <c r="AX437" t="s">
        <v>74</v>
      </c>
      <c r="AY437" t="s">
        <v>74</v>
      </c>
      <c r="AZ437" t="s">
        <v>74</v>
      </c>
      <c r="BA437" t="s">
        <v>74</v>
      </c>
      <c r="BB437">
        <v>52</v>
      </c>
      <c r="BC437">
        <v>62</v>
      </c>
      <c r="BD437" t="s">
        <v>74</v>
      </c>
      <c r="BE437" t="s">
        <v>8758</v>
      </c>
      <c r="BF437" t="str">
        <f>HYPERLINK("http://dx.doi.org/10.1016/j.funbio.2017.10.006","http://dx.doi.org/10.1016/j.funbio.2017.10.006")</f>
        <v>http://dx.doi.org/10.1016/j.funbio.2017.10.006</v>
      </c>
      <c r="BG437" t="s">
        <v>74</v>
      </c>
      <c r="BH437" t="s">
        <v>74</v>
      </c>
      <c r="BI437">
        <v>11</v>
      </c>
      <c r="BJ437" t="s">
        <v>3228</v>
      </c>
      <c r="BK437" t="s">
        <v>101</v>
      </c>
      <c r="BL437" t="s">
        <v>3228</v>
      </c>
      <c r="BM437" t="s">
        <v>8759</v>
      </c>
      <c r="BN437">
        <v>29248114</v>
      </c>
      <c r="BO437" t="s">
        <v>74</v>
      </c>
      <c r="BP437" t="s">
        <v>74</v>
      </c>
      <c r="BQ437" t="s">
        <v>74</v>
      </c>
      <c r="BR437" t="s">
        <v>105</v>
      </c>
      <c r="BS437" t="s">
        <v>8760</v>
      </c>
      <c r="BT437" t="str">
        <f>HYPERLINK("https%3A%2F%2Fwww.webofscience.com%2Fwos%2Fwoscc%2Ffull-record%2FWOS:000424173200004","View Full Record in Web of Science")</f>
        <v>View Full Record in Web of Science</v>
      </c>
    </row>
    <row r="438" spans="1:72" x14ac:dyDescent="0.15">
      <c r="A438" t="s">
        <v>72</v>
      </c>
      <c r="B438" t="s">
        <v>8761</v>
      </c>
      <c r="C438" t="s">
        <v>74</v>
      </c>
      <c r="D438" t="s">
        <v>74</v>
      </c>
      <c r="E438" t="s">
        <v>74</v>
      </c>
      <c r="F438" t="s">
        <v>8762</v>
      </c>
      <c r="G438" t="s">
        <v>74</v>
      </c>
      <c r="H438" t="s">
        <v>74</v>
      </c>
      <c r="I438" t="s">
        <v>8763</v>
      </c>
      <c r="J438" t="s">
        <v>4706</v>
      </c>
      <c r="K438" t="s">
        <v>74</v>
      </c>
      <c r="L438" t="s">
        <v>74</v>
      </c>
      <c r="M438" t="s">
        <v>78</v>
      </c>
      <c r="N438" t="s">
        <v>79</v>
      </c>
      <c r="O438" t="s">
        <v>74</v>
      </c>
      <c r="P438" t="s">
        <v>74</v>
      </c>
      <c r="Q438" t="s">
        <v>74</v>
      </c>
      <c r="R438" t="s">
        <v>74</v>
      </c>
      <c r="S438" t="s">
        <v>74</v>
      </c>
      <c r="T438" t="s">
        <v>74</v>
      </c>
      <c r="U438" t="s">
        <v>8764</v>
      </c>
      <c r="V438" t="s">
        <v>8765</v>
      </c>
      <c r="W438" t="s">
        <v>8766</v>
      </c>
      <c r="X438" t="s">
        <v>4474</v>
      </c>
      <c r="Y438" t="s">
        <v>8767</v>
      </c>
      <c r="Z438" t="s">
        <v>8768</v>
      </c>
      <c r="AA438" t="s">
        <v>8769</v>
      </c>
      <c r="AB438" t="s">
        <v>8770</v>
      </c>
      <c r="AC438" t="s">
        <v>74</v>
      </c>
      <c r="AD438" t="s">
        <v>74</v>
      </c>
      <c r="AE438" t="s">
        <v>74</v>
      </c>
      <c r="AF438" t="s">
        <v>74</v>
      </c>
      <c r="AG438">
        <v>67</v>
      </c>
      <c r="AH438">
        <v>3</v>
      </c>
      <c r="AI438">
        <v>3</v>
      </c>
      <c r="AJ438">
        <v>0</v>
      </c>
      <c r="AK438">
        <v>10</v>
      </c>
      <c r="AL438" t="s">
        <v>1700</v>
      </c>
      <c r="AM438" t="s">
        <v>1701</v>
      </c>
      <c r="AN438" t="s">
        <v>1702</v>
      </c>
      <c r="AO438" t="s">
        <v>4722</v>
      </c>
      <c r="AP438" t="s">
        <v>4723</v>
      </c>
      <c r="AQ438" t="s">
        <v>74</v>
      </c>
      <c r="AR438" t="s">
        <v>4724</v>
      </c>
      <c r="AS438" t="s">
        <v>4725</v>
      </c>
      <c r="AT438" t="s">
        <v>74</v>
      </c>
      <c r="AU438">
        <v>2018</v>
      </c>
      <c r="AV438">
        <v>39</v>
      </c>
      <c r="AW438">
        <v>8</v>
      </c>
      <c r="AX438" t="s">
        <v>74</v>
      </c>
      <c r="AY438" t="s">
        <v>74</v>
      </c>
      <c r="AZ438" t="s">
        <v>74</v>
      </c>
      <c r="BA438" t="s">
        <v>74</v>
      </c>
      <c r="BB438">
        <v>2119</v>
      </c>
      <c r="BC438">
        <v>2138</v>
      </c>
      <c r="BD438" t="s">
        <v>74</v>
      </c>
      <c r="BE438" t="s">
        <v>8771</v>
      </c>
      <c r="BF438" t="str">
        <f>HYPERLINK("http://dx.doi.org/10.1080/01431161.2017.1420930","http://dx.doi.org/10.1080/01431161.2017.1420930")</f>
        <v>http://dx.doi.org/10.1080/01431161.2017.1420930</v>
      </c>
      <c r="BG438" t="s">
        <v>74</v>
      </c>
      <c r="BH438" t="s">
        <v>74</v>
      </c>
      <c r="BI438">
        <v>20</v>
      </c>
      <c r="BJ438" t="s">
        <v>4727</v>
      </c>
      <c r="BK438" t="s">
        <v>101</v>
      </c>
      <c r="BL438" t="s">
        <v>4727</v>
      </c>
      <c r="BM438" t="s">
        <v>8772</v>
      </c>
      <c r="BN438" t="s">
        <v>74</v>
      </c>
      <c r="BO438" t="s">
        <v>74</v>
      </c>
      <c r="BP438" t="s">
        <v>74</v>
      </c>
      <c r="BQ438" t="s">
        <v>74</v>
      </c>
      <c r="BR438" t="s">
        <v>105</v>
      </c>
      <c r="BS438" t="s">
        <v>8773</v>
      </c>
      <c r="BT438" t="str">
        <f>HYPERLINK("https%3A%2F%2Fwww.webofscience.com%2Fwos%2Fwoscc%2Ffull-record%2FWOS:000424236900004","View Full Record in Web of Science")</f>
        <v>View Full Record in Web of Science</v>
      </c>
    </row>
    <row r="439" spans="1:72" x14ac:dyDescent="0.15">
      <c r="A439" t="s">
        <v>72</v>
      </c>
      <c r="B439" t="s">
        <v>8774</v>
      </c>
      <c r="C439" t="s">
        <v>74</v>
      </c>
      <c r="D439" t="s">
        <v>74</v>
      </c>
      <c r="E439" t="s">
        <v>74</v>
      </c>
      <c r="F439" t="s">
        <v>8775</v>
      </c>
      <c r="G439" t="s">
        <v>74</v>
      </c>
      <c r="H439" t="s">
        <v>74</v>
      </c>
      <c r="I439" t="s">
        <v>8776</v>
      </c>
      <c r="J439" t="s">
        <v>5707</v>
      </c>
      <c r="K439" t="s">
        <v>74</v>
      </c>
      <c r="L439" t="s">
        <v>74</v>
      </c>
      <c r="M439" t="s">
        <v>78</v>
      </c>
      <c r="N439" t="s">
        <v>79</v>
      </c>
      <c r="O439" t="s">
        <v>74</v>
      </c>
      <c r="P439" t="s">
        <v>74</v>
      </c>
      <c r="Q439" t="s">
        <v>74</v>
      </c>
      <c r="R439" t="s">
        <v>74</v>
      </c>
      <c r="S439" t="s">
        <v>74</v>
      </c>
      <c r="T439" t="s">
        <v>8777</v>
      </c>
      <c r="U439" t="s">
        <v>8778</v>
      </c>
      <c r="V439" t="s">
        <v>8779</v>
      </c>
      <c r="W439" t="s">
        <v>8780</v>
      </c>
      <c r="X439" t="s">
        <v>8781</v>
      </c>
      <c r="Y439" t="s">
        <v>8782</v>
      </c>
      <c r="Z439" t="s">
        <v>8783</v>
      </c>
      <c r="AA439" t="s">
        <v>8784</v>
      </c>
      <c r="AB439" t="s">
        <v>8785</v>
      </c>
      <c r="AC439" t="s">
        <v>8786</v>
      </c>
      <c r="AD439" t="s">
        <v>8787</v>
      </c>
      <c r="AE439" t="s">
        <v>8788</v>
      </c>
      <c r="AF439" t="s">
        <v>74</v>
      </c>
      <c r="AG439">
        <v>33</v>
      </c>
      <c r="AH439">
        <v>6</v>
      </c>
      <c r="AI439">
        <v>7</v>
      </c>
      <c r="AJ439">
        <v>1</v>
      </c>
      <c r="AK439">
        <v>23</v>
      </c>
      <c r="AL439" t="s">
        <v>2462</v>
      </c>
      <c r="AM439" t="s">
        <v>2463</v>
      </c>
      <c r="AN439" t="s">
        <v>2464</v>
      </c>
      <c r="AO439" t="s">
        <v>74</v>
      </c>
      <c r="AP439" t="s">
        <v>5721</v>
      </c>
      <c r="AQ439" t="s">
        <v>74</v>
      </c>
      <c r="AR439" t="s">
        <v>5722</v>
      </c>
      <c r="AS439" t="s">
        <v>5723</v>
      </c>
      <c r="AT439" t="s">
        <v>2468</v>
      </c>
      <c r="AU439">
        <v>2018</v>
      </c>
      <c r="AV439">
        <v>10</v>
      </c>
      <c r="AW439">
        <v>1</v>
      </c>
      <c r="AX439" t="s">
        <v>74</v>
      </c>
      <c r="AY439" t="s">
        <v>74</v>
      </c>
      <c r="AZ439" t="s">
        <v>74</v>
      </c>
      <c r="BA439" t="s">
        <v>74</v>
      </c>
      <c r="BB439" t="s">
        <v>74</v>
      </c>
      <c r="BC439" t="s">
        <v>74</v>
      </c>
      <c r="BD439">
        <v>36</v>
      </c>
      <c r="BE439" t="s">
        <v>8789</v>
      </c>
      <c r="BF439" t="str">
        <f>HYPERLINK("http://dx.doi.org/10.3390/rs10010036","http://dx.doi.org/10.3390/rs10010036")</f>
        <v>http://dx.doi.org/10.3390/rs10010036</v>
      </c>
      <c r="BG439" t="s">
        <v>74</v>
      </c>
      <c r="BH439" t="s">
        <v>74</v>
      </c>
      <c r="BI439">
        <v>12</v>
      </c>
      <c r="BJ439" t="s">
        <v>5725</v>
      </c>
      <c r="BK439" t="s">
        <v>101</v>
      </c>
      <c r="BL439" t="s">
        <v>5726</v>
      </c>
      <c r="BM439" t="s">
        <v>5727</v>
      </c>
      <c r="BN439" t="s">
        <v>74</v>
      </c>
      <c r="BO439" t="s">
        <v>236</v>
      </c>
      <c r="BP439" t="s">
        <v>74</v>
      </c>
      <c r="BQ439" t="s">
        <v>74</v>
      </c>
      <c r="BR439" t="s">
        <v>105</v>
      </c>
      <c r="BS439" t="s">
        <v>8790</v>
      </c>
      <c r="BT439" t="str">
        <f>HYPERLINK("https%3A%2F%2Fwww.webofscience.com%2Fwos%2Fwoscc%2Ffull-record%2FWOS:000424092300035","View Full Record in Web of Science")</f>
        <v>View Full Record in Web of Science</v>
      </c>
    </row>
    <row r="440" spans="1:72" x14ac:dyDescent="0.15">
      <c r="A440" t="s">
        <v>72</v>
      </c>
      <c r="B440" t="s">
        <v>8791</v>
      </c>
      <c r="C440" t="s">
        <v>74</v>
      </c>
      <c r="D440" t="s">
        <v>74</v>
      </c>
      <c r="E440" t="s">
        <v>74</v>
      </c>
      <c r="F440" t="s">
        <v>8792</v>
      </c>
      <c r="G440" t="s">
        <v>74</v>
      </c>
      <c r="H440" t="s">
        <v>74</v>
      </c>
      <c r="I440" t="s">
        <v>8793</v>
      </c>
      <c r="J440" t="s">
        <v>5707</v>
      </c>
      <c r="K440" t="s">
        <v>74</v>
      </c>
      <c r="L440" t="s">
        <v>74</v>
      </c>
      <c r="M440" t="s">
        <v>78</v>
      </c>
      <c r="N440" t="s">
        <v>79</v>
      </c>
      <c r="O440" t="s">
        <v>74</v>
      </c>
      <c r="P440" t="s">
        <v>74</v>
      </c>
      <c r="Q440" t="s">
        <v>74</v>
      </c>
      <c r="R440" t="s">
        <v>74</v>
      </c>
      <c r="S440" t="s">
        <v>74</v>
      </c>
      <c r="T440" t="s">
        <v>8794</v>
      </c>
      <c r="U440" t="s">
        <v>8795</v>
      </c>
      <c r="V440" t="s">
        <v>8796</v>
      </c>
      <c r="W440" t="s">
        <v>8797</v>
      </c>
      <c r="X440" t="s">
        <v>3664</v>
      </c>
      <c r="Y440" t="s">
        <v>8798</v>
      </c>
      <c r="Z440" t="s">
        <v>8799</v>
      </c>
      <c r="AA440" t="s">
        <v>8800</v>
      </c>
      <c r="AB440" t="s">
        <v>74</v>
      </c>
      <c r="AC440" t="s">
        <v>8801</v>
      </c>
      <c r="AD440" t="s">
        <v>8802</v>
      </c>
      <c r="AE440" t="s">
        <v>8803</v>
      </c>
      <c r="AF440" t="s">
        <v>74</v>
      </c>
      <c r="AG440">
        <v>31</v>
      </c>
      <c r="AH440">
        <v>11</v>
      </c>
      <c r="AI440">
        <v>13</v>
      </c>
      <c r="AJ440">
        <v>1</v>
      </c>
      <c r="AK440">
        <v>21</v>
      </c>
      <c r="AL440" t="s">
        <v>2462</v>
      </c>
      <c r="AM440" t="s">
        <v>2463</v>
      </c>
      <c r="AN440" t="s">
        <v>2464</v>
      </c>
      <c r="AO440" t="s">
        <v>74</v>
      </c>
      <c r="AP440" t="s">
        <v>5721</v>
      </c>
      <c r="AQ440" t="s">
        <v>74</v>
      </c>
      <c r="AR440" t="s">
        <v>5722</v>
      </c>
      <c r="AS440" t="s">
        <v>5723</v>
      </c>
      <c r="AT440" t="s">
        <v>2468</v>
      </c>
      <c r="AU440">
        <v>2018</v>
      </c>
      <c r="AV440">
        <v>10</v>
      </c>
      <c r="AW440">
        <v>1</v>
      </c>
      <c r="AX440" t="s">
        <v>74</v>
      </c>
      <c r="AY440" t="s">
        <v>74</v>
      </c>
      <c r="AZ440" t="s">
        <v>74</v>
      </c>
      <c r="BA440" t="s">
        <v>74</v>
      </c>
      <c r="BB440" t="s">
        <v>74</v>
      </c>
      <c r="BC440" t="s">
        <v>74</v>
      </c>
      <c r="BD440">
        <v>42</v>
      </c>
      <c r="BE440" t="s">
        <v>8804</v>
      </c>
      <c r="BF440" t="str">
        <f>HYPERLINK("http://dx.doi.org/10.3390/rs10010042","http://dx.doi.org/10.3390/rs10010042")</f>
        <v>http://dx.doi.org/10.3390/rs10010042</v>
      </c>
      <c r="BG440" t="s">
        <v>74</v>
      </c>
      <c r="BH440" t="s">
        <v>74</v>
      </c>
      <c r="BI440">
        <v>16</v>
      </c>
      <c r="BJ440" t="s">
        <v>5725</v>
      </c>
      <c r="BK440" t="s">
        <v>101</v>
      </c>
      <c r="BL440" t="s">
        <v>5726</v>
      </c>
      <c r="BM440" t="s">
        <v>5727</v>
      </c>
      <c r="BN440" t="s">
        <v>74</v>
      </c>
      <c r="BO440" t="s">
        <v>212</v>
      </c>
      <c r="BP440" t="s">
        <v>74</v>
      </c>
      <c r="BQ440" t="s">
        <v>74</v>
      </c>
      <c r="BR440" t="s">
        <v>105</v>
      </c>
      <c r="BS440" t="s">
        <v>8805</v>
      </c>
      <c r="BT440" t="str">
        <f>HYPERLINK("https%3A%2F%2Fwww.webofscience.com%2Fwos%2Fwoscc%2Ffull-record%2FWOS:000424092300041","View Full Record in Web of Science")</f>
        <v>View Full Record in Web of Science</v>
      </c>
    </row>
    <row r="441" spans="1:72" x14ac:dyDescent="0.15">
      <c r="A441" t="s">
        <v>72</v>
      </c>
      <c r="B441" t="s">
        <v>8806</v>
      </c>
      <c r="C441" t="s">
        <v>74</v>
      </c>
      <c r="D441" t="s">
        <v>74</v>
      </c>
      <c r="E441" t="s">
        <v>74</v>
      </c>
      <c r="F441" t="s">
        <v>8807</v>
      </c>
      <c r="G441" t="s">
        <v>74</v>
      </c>
      <c r="H441" t="s">
        <v>74</v>
      </c>
      <c r="I441" t="s">
        <v>8808</v>
      </c>
      <c r="J441" t="s">
        <v>8809</v>
      </c>
      <c r="K441" t="s">
        <v>74</v>
      </c>
      <c r="L441" t="s">
        <v>74</v>
      </c>
      <c r="M441" t="s">
        <v>78</v>
      </c>
      <c r="N441" t="s">
        <v>79</v>
      </c>
      <c r="O441" t="s">
        <v>74</v>
      </c>
      <c r="P441" t="s">
        <v>74</v>
      </c>
      <c r="Q441" t="s">
        <v>74</v>
      </c>
      <c r="R441" t="s">
        <v>74</v>
      </c>
      <c r="S441" t="s">
        <v>74</v>
      </c>
      <c r="T441" t="s">
        <v>8810</v>
      </c>
      <c r="U441" t="s">
        <v>8811</v>
      </c>
      <c r="V441" t="s">
        <v>8812</v>
      </c>
      <c r="W441" t="s">
        <v>8813</v>
      </c>
      <c r="X441" t="s">
        <v>2912</v>
      </c>
      <c r="Y441" t="s">
        <v>8814</v>
      </c>
      <c r="Z441" t="s">
        <v>8815</v>
      </c>
      <c r="AA441" t="s">
        <v>74</v>
      </c>
      <c r="AB441" t="s">
        <v>74</v>
      </c>
      <c r="AC441" t="s">
        <v>74</v>
      </c>
      <c r="AD441" t="s">
        <v>74</v>
      </c>
      <c r="AE441" t="s">
        <v>74</v>
      </c>
      <c r="AF441" t="s">
        <v>74</v>
      </c>
      <c r="AG441">
        <v>54</v>
      </c>
      <c r="AH441">
        <v>9</v>
      </c>
      <c r="AI441">
        <v>9</v>
      </c>
      <c r="AJ441">
        <v>3</v>
      </c>
      <c r="AK441">
        <v>18</v>
      </c>
      <c r="AL441" t="s">
        <v>2917</v>
      </c>
      <c r="AM441" t="s">
        <v>1701</v>
      </c>
      <c r="AN441" t="s">
        <v>2918</v>
      </c>
      <c r="AO441" t="s">
        <v>8816</v>
      </c>
      <c r="AP441" t="s">
        <v>8817</v>
      </c>
      <c r="AQ441" t="s">
        <v>74</v>
      </c>
      <c r="AR441" t="s">
        <v>8818</v>
      </c>
      <c r="AS441" t="s">
        <v>8819</v>
      </c>
      <c r="AT441" t="s">
        <v>74</v>
      </c>
      <c r="AU441">
        <v>2018</v>
      </c>
      <c r="AV441">
        <v>21</v>
      </c>
      <c r="AW441">
        <v>2</v>
      </c>
      <c r="AX441" t="s">
        <v>74</v>
      </c>
      <c r="AY441" t="s">
        <v>74</v>
      </c>
      <c r="AZ441" t="s">
        <v>74</v>
      </c>
      <c r="BA441" t="s">
        <v>74</v>
      </c>
      <c r="BB441">
        <v>161</v>
      </c>
      <c r="BC441">
        <v>177</v>
      </c>
      <c r="BD441" t="s">
        <v>74</v>
      </c>
      <c r="BE441" t="s">
        <v>8820</v>
      </c>
      <c r="BF441" t="str">
        <f>HYPERLINK("http://dx.doi.org/10.1080/11745398.2017.1286512","http://dx.doi.org/10.1080/11745398.2017.1286512")</f>
        <v>http://dx.doi.org/10.1080/11745398.2017.1286512</v>
      </c>
      <c r="BG441" t="s">
        <v>74</v>
      </c>
      <c r="BH441" t="s">
        <v>74</v>
      </c>
      <c r="BI441">
        <v>17</v>
      </c>
      <c r="BJ441" t="s">
        <v>7491</v>
      </c>
      <c r="BK441" t="s">
        <v>2081</v>
      </c>
      <c r="BL441" t="s">
        <v>6130</v>
      </c>
      <c r="BM441" t="s">
        <v>8821</v>
      </c>
      <c r="BN441" t="s">
        <v>74</v>
      </c>
      <c r="BO441" t="s">
        <v>74</v>
      </c>
      <c r="BP441" t="s">
        <v>74</v>
      </c>
      <c r="BQ441" t="s">
        <v>74</v>
      </c>
      <c r="BR441" t="s">
        <v>105</v>
      </c>
      <c r="BS441" t="s">
        <v>8822</v>
      </c>
      <c r="BT441" t="str">
        <f>HYPERLINK("https%3A%2F%2Fwww.webofscience.com%2Fwos%2Fwoscc%2Ffull-record%2FWOS:000424346100003","View Full Record in Web of Science")</f>
        <v>View Full Record in Web of Science</v>
      </c>
    </row>
    <row r="442" spans="1:72" x14ac:dyDescent="0.15">
      <c r="A442" t="s">
        <v>72</v>
      </c>
      <c r="B442" t="s">
        <v>8823</v>
      </c>
      <c r="C442" t="s">
        <v>74</v>
      </c>
      <c r="D442" t="s">
        <v>74</v>
      </c>
      <c r="E442" t="s">
        <v>74</v>
      </c>
      <c r="F442" t="s">
        <v>8824</v>
      </c>
      <c r="G442" t="s">
        <v>74</v>
      </c>
      <c r="H442" t="s">
        <v>74</v>
      </c>
      <c r="I442" t="s">
        <v>8825</v>
      </c>
      <c r="J442" t="s">
        <v>8826</v>
      </c>
      <c r="K442" t="s">
        <v>74</v>
      </c>
      <c r="L442" t="s">
        <v>74</v>
      </c>
      <c r="M442" t="s">
        <v>78</v>
      </c>
      <c r="N442" t="s">
        <v>79</v>
      </c>
      <c r="O442" t="s">
        <v>74</v>
      </c>
      <c r="P442" t="s">
        <v>74</v>
      </c>
      <c r="Q442" t="s">
        <v>74</v>
      </c>
      <c r="R442" t="s">
        <v>74</v>
      </c>
      <c r="S442" t="s">
        <v>74</v>
      </c>
      <c r="T442" t="s">
        <v>8827</v>
      </c>
      <c r="U442" t="s">
        <v>8828</v>
      </c>
      <c r="V442" t="s">
        <v>8829</v>
      </c>
      <c r="W442" t="s">
        <v>8830</v>
      </c>
      <c r="X442" t="s">
        <v>8831</v>
      </c>
      <c r="Y442" t="s">
        <v>8832</v>
      </c>
      <c r="Z442" t="s">
        <v>8833</v>
      </c>
      <c r="AA442" t="s">
        <v>8834</v>
      </c>
      <c r="AB442" t="s">
        <v>8835</v>
      </c>
      <c r="AC442" t="s">
        <v>8836</v>
      </c>
      <c r="AD442" t="s">
        <v>8837</v>
      </c>
      <c r="AE442" t="s">
        <v>8838</v>
      </c>
      <c r="AF442" t="s">
        <v>74</v>
      </c>
      <c r="AG442">
        <v>63</v>
      </c>
      <c r="AH442">
        <v>4</v>
      </c>
      <c r="AI442">
        <v>4</v>
      </c>
      <c r="AJ442">
        <v>0</v>
      </c>
      <c r="AK442">
        <v>17</v>
      </c>
      <c r="AL442" t="s">
        <v>1139</v>
      </c>
      <c r="AM442" t="s">
        <v>1140</v>
      </c>
      <c r="AN442" t="s">
        <v>1141</v>
      </c>
      <c r="AO442" t="s">
        <v>8839</v>
      </c>
      <c r="AP442" t="s">
        <v>8840</v>
      </c>
      <c r="AQ442" t="s">
        <v>74</v>
      </c>
      <c r="AR442" t="s">
        <v>8841</v>
      </c>
      <c r="AS442" t="s">
        <v>8842</v>
      </c>
      <c r="AT442" t="s">
        <v>4251</v>
      </c>
      <c r="AU442">
        <v>2018</v>
      </c>
      <c r="AV442">
        <v>152</v>
      </c>
      <c r="AW442" t="s">
        <v>74</v>
      </c>
      <c r="AX442" t="s">
        <v>74</v>
      </c>
      <c r="AY442" t="s">
        <v>74</v>
      </c>
      <c r="AZ442" t="s">
        <v>74</v>
      </c>
      <c r="BA442" t="s">
        <v>74</v>
      </c>
      <c r="BB442">
        <v>38</v>
      </c>
      <c r="BC442">
        <v>49</v>
      </c>
      <c r="BD442" t="s">
        <v>74</v>
      </c>
      <c r="BE442" t="s">
        <v>8843</v>
      </c>
      <c r="BF442" t="str">
        <f>HYPERLINK("http://dx.doi.org/10.1016/j.csr.2017.11.001","http://dx.doi.org/10.1016/j.csr.2017.11.001")</f>
        <v>http://dx.doi.org/10.1016/j.csr.2017.11.001</v>
      </c>
      <c r="BG442" t="s">
        <v>74</v>
      </c>
      <c r="BH442" t="s">
        <v>74</v>
      </c>
      <c r="BI442">
        <v>12</v>
      </c>
      <c r="BJ442" t="s">
        <v>1907</v>
      </c>
      <c r="BK442" t="s">
        <v>101</v>
      </c>
      <c r="BL442" t="s">
        <v>1907</v>
      </c>
      <c r="BM442" t="s">
        <v>8844</v>
      </c>
      <c r="BN442" t="s">
        <v>74</v>
      </c>
      <c r="BO442" t="s">
        <v>1150</v>
      </c>
      <c r="BP442" t="s">
        <v>74</v>
      </c>
      <c r="BQ442" t="s">
        <v>74</v>
      </c>
      <c r="BR442" t="s">
        <v>105</v>
      </c>
      <c r="BS442" t="s">
        <v>8845</v>
      </c>
      <c r="BT442" t="str">
        <f>HYPERLINK("https%3A%2F%2Fwww.webofscience.com%2Fwos%2Fwoscc%2Ffull-record%2FWOS:000424073800005","View Full Record in Web of Science")</f>
        <v>View Full Record in Web of Science</v>
      </c>
    </row>
    <row r="443" spans="1:72" x14ac:dyDescent="0.15">
      <c r="A443" t="s">
        <v>72</v>
      </c>
      <c r="B443" t="s">
        <v>8846</v>
      </c>
      <c r="C443" t="s">
        <v>74</v>
      </c>
      <c r="D443" t="s">
        <v>74</v>
      </c>
      <c r="E443" t="s">
        <v>74</v>
      </c>
      <c r="F443" t="s">
        <v>8847</v>
      </c>
      <c r="G443" t="s">
        <v>74</v>
      </c>
      <c r="H443" t="s">
        <v>74</v>
      </c>
      <c r="I443" t="s">
        <v>8848</v>
      </c>
      <c r="J443" t="s">
        <v>8849</v>
      </c>
      <c r="K443" t="s">
        <v>74</v>
      </c>
      <c r="L443" t="s">
        <v>74</v>
      </c>
      <c r="M443" t="s">
        <v>78</v>
      </c>
      <c r="N443" t="s">
        <v>79</v>
      </c>
      <c r="O443" t="s">
        <v>74</v>
      </c>
      <c r="P443" t="s">
        <v>74</v>
      </c>
      <c r="Q443" t="s">
        <v>74</v>
      </c>
      <c r="R443" t="s">
        <v>74</v>
      </c>
      <c r="S443" t="s">
        <v>74</v>
      </c>
      <c r="T443" t="s">
        <v>8850</v>
      </c>
      <c r="U443" t="s">
        <v>8851</v>
      </c>
      <c r="V443" t="s">
        <v>8852</v>
      </c>
      <c r="W443" t="s">
        <v>8853</v>
      </c>
      <c r="X443" t="s">
        <v>8854</v>
      </c>
      <c r="Y443" t="s">
        <v>8855</v>
      </c>
      <c r="Z443" t="s">
        <v>8856</v>
      </c>
      <c r="AA443" t="s">
        <v>74</v>
      </c>
      <c r="AB443" t="s">
        <v>8857</v>
      </c>
      <c r="AC443" t="s">
        <v>8858</v>
      </c>
      <c r="AD443" t="s">
        <v>8859</v>
      </c>
      <c r="AE443" t="s">
        <v>8860</v>
      </c>
      <c r="AF443" t="s">
        <v>74</v>
      </c>
      <c r="AG443">
        <v>54</v>
      </c>
      <c r="AH443">
        <v>45</v>
      </c>
      <c r="AI443">
        <v>51</v>
      </c>
      <c r="AJ443">
        <v>1</v>
      </c>
      <c r="AK443">
        <v>12</v>
      </c>
      <c r="AL443" t="s">
        <v>8861</v>
      </c>
      <c r="AM443" t="s">
        <v>8222</v>
      </c>
      <c r="AN443" t="s">
        <v>8862</v>
      </c>
      <c r="AO443" t="s">
        <v>8863</v>
      </c>
      <c r="AP443" t="s">
        <v>8864</v>
      </c>
      <c r="AQ443" t="s">
        <v>74</v>
      </c>
      <c r="AR443" t="s">
        <v>8865</v>
      </c>
      <c r="AS443" t="s">
        <v>8866</v>
      </c>
      <c r="AT443" t="s">
        <v>2468</v>
      </c>
      <c r="AU443">
        <v>2018</v>
      </c>
      <c r="AV443">
        <v>221</v>
      </c>
      <c r="AW443">
        <v>2</v>
      </c>
      <c r="AX443" t="s">
        <v>74</v>
      </c>
      <c r="AY443" t="s">
        <v>74</v>
      </c>
      <c r="AZ443" t="s">
        <v>74</v>
      </c>
      <c r="BA443" t="s">
        <v>74</v>
      </c>
      <c r="BB443" t="s">
        <v>74</v>
      </c>
      <c r="BC443" t="s">
        <v>74</v>
      </c>
      <c r="BD443" t="s">
        <v>8867</v>
      </c>
      <c r="BE443" t="s">
        <v>8868</v>
      </c>
      <c r="BF443" t="str">
        <f>HYPERLINK("http://dx.doi.org/10.1242/jeb.170449","http://dx.doi.org/10.1242/jeb.170449")</f>
        <v>http://dx.doi.org/10.1242/jeb.170449</v>
      </c>
      <c r="BG443" t="s">
        <v>74</v>
      </c>
      <c r="BH443" t="s">
        <v>74</v>
      </c>
      <c r="BI443">
        <v>7</v>
      </c>
      <c r="BJ443" t="s">
        <v>8182</v>
      </c>
      <c r="BK443" t="s">
        <v>101</v>
      </c>
      <c r="BL443" t="s">
        <v>8183</v>
      </c>
      <c r="BM443" t="s">
        <v>8869</v>
      </c>
      <c r="BN443">
        <v>29191861</v>
      </c>
      <c r="BO443" t="s">
        <v>1150</v>
      </c>
      <c r="BP443" t="s">
        <v>74</v>
      </c>
      <c r="BQ443" t="s">
        <v>74</v>
      </c>
      <c r="BR443" t="s">
        <v>105</v>
      </c>
      <c r="BS443" t="s">
        <v>8870</v>
      </c>
      <c r="BT443" t="str">
        <f>HYPERLINK("https%3A%2F%2Fwww.webofscience.com%2Fwos%2Fwoscc%2Ffull-record%2FWOS:000424076300018","View Full Record in Web of Science")</f>
        <v>View Full Record in Web of Science</v>
      </c>
    </row>
    <row r="444" spans="1:72" x14ac:dyDescent="0.15">
      <c r="A444" t="s">
        <v>72</v>
      </c>
      <c r="B444" t="s">
        <v>8871</v>
      </c>
      <c r="C444" t="s">
        <v>74</v>
      </c>
      <c r="D444" t="s">
        <v>74</v>
      </c>
      <c r="E444" t="s">
        <v>74</v>
      </c>
      <c r="F444" t="s">
        <v>8872</v>
      </c>
      <c r="G444" t="s">
        <v>74</v>
      </c>
      <c r="H444" t="s">
        <v>74</v>
      </c>
      <c r="I444" t="s">
        <v>8873</v>
      </c>
      <c r="J444" t="s">
        <v>8874</v>
      </c>
      <c r="K444" t="s">
        <v>74</v>
      </c>
      <c r="L444" t="s">
        <v>74</v>
      </c>
      <c r="M444" t="s">
        <v>78</v>
      </c>
      <c r="N444" t="s">
        <v>79</v>
      </c>
      <c r="O444" t="s">
        <v>74</v>
      </c>
      <c r="P444" t="s">
        <v>74</v>
      </c>
      <c r="Q444" t="s">
        <v>74</v>
      </c>
      <c r="R444" t="s">
        <v>74</v>
      </c>
      <c r="S444" t="s">
        <v>74</v>
      </c>
      <c r="T444" t="s">
        <v>74</v>
      </c>
      <c r="U444" t="s">
        <v>8875</v>
      </c>
      <c r="V444" t="s">
        <v>8876</v>
      </c>
      <c r="W444" t="s">
        <v>8877</v>
      </c>
      <c r="X444" t="s">
        <v>8878</v>
      </c>
      <c r="Y444" t="s">
        <v>8879</v>
      </c>
      <c r="Z444" t="s">
        <v>8880</v>
      </c>
      <c r="AA444" t="s">
        <v>8881</v>
      </c>
      <c r="AB444" t="s">
        <v>8882</v>
      </c>
      <c r="AC444" t="s">
        <v>8883</v>
      </c>
      <c r="AD444" t="s">
        <v>8884</v>
      </c>
      <c r="AE444" t="s">
        <v>8885</v>
      </c>
      <c r="AF444" t="s">
        <v>74</v>
      </c>
      <c r="AG444">
        <v>23</v>
      </c>
      <c r="AH444">
        <v>5</v>
      </c>
      <c r="AI444">
        <v>5</v>
      </c>
      <c r="AJ444">
        <v>1</v>
      </c>
      <c r="AK444">
        <v>4</v>
      </c>
      <c r="AL444" t="s">
        <v>8886</v>
      </c>
      <c r="AM444" t="s">
        <v>2003</v>
      </c>
      <c r="AN444" t="s">
        <v>8887</v>
      </c>
      <c r="AO444" t="s">
        <v>8888</v>
      </c>
      <c r="AP444" t="s">
        <v>8889</v>
      </c>
      <c r="AQ444" t="s">
        <v>74</v>
      </c>
      <c r="AR444" t="s">
        <v>8890</v>
      </c>
      <c r="AS444" t="s">
        <v>8891</v>
      </c>
      <c r="AT444" t="s">
        <v>2468</v>
      </c>
      <c r="AU444">
        <v>2018</v>
      </c>
      <c r="AV444">
        <v>143</v>
      </c>
      <c r="AW444">
        <v>1</v>
      </c>
      <c r="AX444" t="s">
        <v>74</v>
      </c>
      <c r="AY444" t="s">
        <v>74</v>
      </c>
      <c r="AZ444" t="s">
        <v>74</v>
      </c>
      <c r="BA444" t="s">
        <v>74</v>
      </c>
      <c r="BB444" t="s">
        <v>8892</v>
      </c>
      <c r="BC444" t="s">
        <v>8893</v>
      </c>
      <c r="BD444" t="s">
        <v>74</v>
      </c>
      <c r="BE444" t="s">
        <v>8894</v>
      </c>
      <c r="BF444" t="str">
        <f>HYPERLINK("http://dx.doi.org/10.1121/1.5020621","http://dx.doi.org/10.1121/1.5020621")</f>
        <v>http://dx.doi.org/10.1121/1.5020621</v>
      </c>
      <c r="BG444" t="s">
        <v>74</v>
      </c>
      <c r="BH444" t="s">
        <v>74</v>
      </c>
      <c r="BI444">
        <v>6</v>
      </c>
      <c r="BJ444" t="s">
        <v>8895</v>
      </c>
      <c r="BK444" t="s">
        <v>101</v>
      </c>
      <c r="BL444" t="s">
        <v>8895</v>
      </c>
      <c r="BM444" t="s">
        <v>8896</v>
      </c>
      <c r="BN444">
        <v>29390794</v>
      </c>
      <c r="BO444" t="s">
        <v>5547</v>
      </c>
      <c r="BP444" t="s">
        <v>74</v>
      </c>
      <c r="BQ444" t="s">
        <v>74</v>
      </c>
      <c r="BR444" t="s">
        <v>105</v>
      </c>
      <c r="BS444" t="s">
        <v>8897</v>
      </c>
      <c r="BT444" t="str">
        <f>HYPERLINK("https%3A%2F%2Fwww.webofscience.com%2Fwos%2Fwoscc%2Ffull-record%2FWOS:000424014800005","View Full Record in Web of Science")</f>
        <v>View Full Record in Web of Science</v>
      </c>
    </row>
    <row r="445" spans="1:72" x14ac:dyDescent="0.15">
      <c r="A445" t="s">
        <v>72</v>
      </c>
      <c r="B445" t="s">
        <v>8898</v>
      </c>
      <c r="C445" t="s">
        <v>74</v>
      </c>
      <c r="D445" t="s">
        <v>74</v>
      </c>
      <c r="E445" t="s">
        <v>74</v>
      </c>
      <c r="F445" t="s">
        <v>8899</v>
      </c>
      <c r="G445" t="s">
        <v>74</v>
      </c>
      <c r="H445" t="s">
        <v>74</v>
      </c>
      <c r="I445" t="s">
        <v>8900</v>
      </c>
      <c r="J445" t="s">
        <v>8901</v>
      </c>
      <c r="K445" t="s">
        <v>74</v>
      </c>
      <c r="L445" t="s">
        <v>74</v>
      </c>
      <c r="M445" t="s">
        <v>3120</v>
      </c>
      <c r="N445" t="s">
        <v>79</v>
      </c>
      <c r="O445" t="s">
        <v>74</v>
      </c>
      <c r="P445" t="s">
        <v>74</v>
      </c>
      <c r="Q445" t="s">
        <v>74</v>
      </c>
      <c r="R445" t="s">
        <v>74</v>
      </c>
      <c r="S445" t="s">
        <v>74</v>
      </c>
      <c r="T445" t="s">
        <v>8902</v>
      </c>
      <c r="U445" t="s">
        <v>74</v>
      </c>
      <c r="V445" t="s">
        <v>8903</v>
      </c>
      <c r="W445" t="s">
        <v>8904</v>
      </c>
      <c r="X445" t="s">
        <v>3125</v>
      </c>
      <c r="Y445" t="s">
        <v>8905</v>
      </c>
      <c r="Z445" t="s">
        <v>8906</v>
      </c>
      <c r="AA445" t="s">
        <v>74</v>
      </c>
      <c r="AB445" t="s">
        <v>74</v>
      </c>
      <c r="AC445" t="s">
        <v>74</v>
      </c>
      <c r="AD445" t="s">
        <v>74</v>
      </c>
      <c r="AE445" t="s">
        <v>74</v>
      </c>
      <c r="AF445" t="s">
        <v>74</v>
      </c>
      <c r="AG445">
        <v>15</v>
      </c>
      <c r="AH445">
        <v>0</v>
      </c>
      <c r="AI445">
        <v>0</v>
      </c>
      <c r="AJ445">
        <v>0</v>
      </c>
      <c r="AK445">
        <v>1</v>
      </c>
      <c r="AL445" t="s">
        <v>8907</v>
      </c>
      <c r="AM445" t="s">
        <v>8908</v>
      </c>
      <c r="AN445" t="s">
        <v>8909</v>
      </c>
      <c r="AO445" t="s">
        <v>8910</v>
      </c>
      <c r="AP445" t="s">
        <v>74</v>
      </c>
      <c r="AQ445" t="s">
        <v>74</v>
      </c>
      <c r="AR445" t="s">
        <v>8911</v>
      </c>
      <c r="AS445" t="s">
        <v>8912</v>
      </c>
      <c r="AT445" t="s">
        <v>8913</v>
      </c>
      <c r="AU445">
        <v>2018</v>
      </c>
      <c r="AV445">
        <v>9</v>
      </c>
      <c r="AW445">
        <v>1</v>
      </c>
      <c r="AX445" t="s">
        <v>74</v>
      </c>
      <c r="AY445" t="s">
        <v>74</v>
      </c>
      <c r="AZ445" t="s">
        <v>74</v>
      </c>
      <c r="BA445" t="s">
        <v>74</v>
      </c>
      <c r="BB445">
        <v>26</v>
      </c>
      <c r="BC445">
        <v>38</v>
      </c>
      <c r="BD445" t="s">
        <v>74</v>
      </c>
      <c r="BE445" t="s">
        <v>74</v>
      </c>
      <c r="BF445" t="s">
        <v>74</v>
      </c>
      <c r="BG445" t="s">
        <v>74</v>
      </c>
      <c r="BH445" t="s">
        <v>74</v>
      </c>
      <c r="BI445">
        <v>13</v>
      </c>
      <c r="BJ445" t="s">
        <v>8914</v>
      </c>
      <c r="BK445" t="s">
        <v>2081</v>
      </c>
      <c r="BL445" t="s">
        <v>8914</v>
      </c>
      <c r="BM445" t="s">
        <v>8915</v>
      </c>
      <c r="BN445" t="s">
        <v>74</v>
      </c>
      <c r="BO445" t="s">
        <v>74</v>
      </c>
      <c r="BP445" t="s">
        <v>74</v>
      </c>
      <c r="BQ445" t="s">
        <v>74</v>
      </c>
      <c r="BR445" t="s">
        <v>105</v>
      </c>
      <c r="BS445" t="s">
        <v>8916</v>
      </c>
      <c r="BT445" t="str">
        <f>HYPERLINK("https%3A%2F%2Fwww.webofscience.com%2Fwos%2Fwoscc%2Ffull-record%2FWOS:000423962400003","View Full Record in Web of Science")</f>
        <v>View Full Record in Web of Science</v>
      </c>
    </row>
    <row r="446" spans="1:72" x14ac:dyDescent="0.15">
      <c r="A446" t="s">
        <v>72</v>
      </c>
      <c r="B446" t="s">
        <v>8917</v>
      </c>
      <c r="C446" t="s">
        <v>74</v>
      </c>
      <c r="D446" t="s">
        <v>74</v>
      </c>
      <c r="E446" t="s">
        <v>74</v>
      </c>
      <c r="F446" t="s">
        <v>8918</v>
      </c>
      <c r="G446" t="s">
        <v>74</v>
      </c>
      <c r="H446" t="s">
        <v>74</v>
      </c>
      <c r="I446" t="s">
        <v>8919</v>
      </c>
      <c r="J446" t="s">
        <v>8901</v>
      </c>
      <c r="K446" t="s">
        <v>74</v>
      </c>
      <c r="L446" t="s">
        <v>74</v>
      </c>
      <c r="M446" t="s">
        <v>3120</v>
      </c>
      <c r="N446" t="s">
        <v>79</v>
      </c>
      <c r="O446" t="s">
        <v>74</v>
      </c>
      <c r="P446" t="s">
        <v>74</v>
      </c>
      <c r="Q446" t="s">
        <v>74</v>
      </c>
      <c r="R446" t="s">
        <v>74</v>
      </c>
      <c r="S446" t="s">
        <v>74</v>
      </c>
      <c r="T446" t="s">
        <v>8920</v>
      </c>
      <c r="U446" t="s">
        <v>74</v>
      </c>
      <c r="V446" t="s">
        <v>8921</v>
      </c>
      <c r="W446" t="s">
        <v>8922</v>
      </c>
      <c r="X446" t="s">
        <v>8923</v>
      </c>
      <c r="Y446" t="s">
        <v>8924</v>
      </c>
      <c r="Z446" t="s">
        <v>8925</v>
      </c>
      <c r="AA446" t="s">
        <v>74</v>
      </c>
      <c r="AB446" t="s">
        <v>74</v>
      </c>
      <c r="AC446" t="s">
        <v>74</v>
      </c>
      <c r="AD446" t="s">
        <v>74</v>
      </c>
      <c r="AE446" t="s">
        <v>74</v>
      </c>
      <c r="AF446" t="s">
        <v>74</v>
      </c>
      <c r="AG446">
        <v>33</v>
      </c>
      <c r="AH446">
        <v>1</v>
      </c>
      <c r="AI446">
        <v>1</v>
      </c>
      <c r="AJ446">
        <v>0</v>
      </c>
      <c r="AK446">
        <v>0</v>
      </c>
      <c r="AL446" t="s">
        <v>8907</v>
      </c>
      <c r="AM446" t="s">
        <v>8908</v>
      </c>
      <c r="AN446" t="s">
        <v>8909</v>
      </c>
      <c r="AO446" t="s">
        <v>8910</v>
      </c>
      <c r="AP446" t="s">
        <v>74</v>
      </c>
      <c r="AQ446" t="s">
        <v>74</v>
      </c>
      <c r="AR446" t="s">
        <v>8911</v>
      </c>
      <c r="AS446" t="s">
        <v>8912</v>
      </c>
      <c r="AT446" t="s">
        <v>8913</v>
      </c>
      <c r="AU446">
        <v>2018</v>
      </c>
      <c r="AV446">
        <v>9</v>
      </c>
      <c r="AW446">
        <v>1</v>
      </c>
      <c r="AX446" t="s">
        <v>74</v>
      </c>
      <c r="AY446" t="s">
        <v>74</v>
      </c>
      <c r="AZ446" t="s">
        <v>74</v>
      </c>
      <c r="BA446" t="s">
        <v>74</v>
      </c>
      <c r="BB446">
        <v>63</v>
      </c>
      <c r="BC446">
        <v>79</v>
      </c>
      <c r="BD446" t="s">
        <v>74</v>
      </c>
      <c r="BE446" t="s">
        <v>74</v>
      </c>
      <c r="BF446" t="s">
        <v>74</v>
      </c>
      <c r="BG446" t="s">
        <v>74</v>
      </c>
      <c r="BH446" t="s">
        <v>74</v>
      </c>
      <c r="BI446">
        <v>17</v>
      </c>
      <c r="BJ446" t="s">
        <v>8914</v>
      </c>
      <c r="BK446" t="s">
        <v>2081</v>
      </c>
      <c r="BL446" t="s">
        <v>8914</v>
      </c>
      <c r="BM446" t="s">
        <v>8915</v>
      </c>
      <c r="BN446" t="s">
        <v>74</v>
      </c>
      <c r="BO446" t="s">
        <v>74</v>
      </c>
      <c r="BP446" t="s">
        <v>74</v>
      </c>
      <c r="BQ446" t="s">
        <v>74</v>
      </c>
      <c r="BR446" t="s">
        <v>105</v>
      </c>
      <c r="BS446" t="s">
        <v>8926</v>
      </c>
      <c r="BT446" t="str">
        <f>HYPERLINK("https%3A%2F%2Fwww.webofscience.com%2Fwos%2Fwoscc%2Ffull-record%2FWOS:000423962400005","View Full Record in Web of Science")</f>
        <v>View Full Record in Web of Science</v>
      </c>
    </row>
    <row r="447" spans="1:72" x14ac:dyDescent="0.15">
      <c r="A447" t="s">
        <v>72</v>
      </c>
      <c r="B447" t="s">
        <v>8927</v>
      </c>
      <c r="C447" t="s">
        <v>74</v>
      </c>
      <c r="D447" t="s">
        <v>74</v>
      </c>
      <c r="E447" t="s">
        <v>74</v>
      </c>
      <c r="F447" t="s">
        <v>8928</v>
      </c>
      <c r="G447" t="s">
        <v>74</v>
      </c>
      <c r="H447" t="s">
        <v>74</v>
      </c>
      <c r="I447" t="s">
        <v>8929</v>
      </c>
      <c r="J447" t="s">
        <v>4010</v>
      </c>
      <c r="K447" t="s">
        <v>74</v>
      </c>
      <c r="L447" t="s">
        <v>74</v>
      </c>
      <c r="M447" t="s">
        <v>78</v>
      </c>
      <c r="N447" t="s">
        <v>79</v>
      </c>
      <c r="O447" t="s">
        <v>74</v>
      </c>
      <c r="P447" t="s">
        <v>74</v>
      </c>
      <c r="Q447" t="s">
        <v>74</v>
      </c>
      <c r="R447" t="s">
        <v>74</v>
      </c>
      <c r="S447" t="s">
        <v>74</v>
      </c>
      <c r="T447" t="s">
        <v>74</v>
      </c>
      <c r="U447" t="s">
        <v>8930</v>
      </c>
      <c r="V447" t="s">
        <v>8931</v>
      </c>
      <c r="W447" t="s">
        <v>8932</v>
      </c>
      <c r="X447" t="s">
        <v>8933</v>
      </c>
      <c r="Y447" t="s">
        <v>8934</v>
      </c>
      <c r="Z447" t="s">
        <v>8935</v>
      </c>
      <c r="AA447" t="s">
        <v>8936</v>
      </c>
      <c r="AB447" t="s">
        <v>8937</v>
      </c>
      <c r="AC447" t="s">
        <v>8938</v>
      </c>
      <c r="AD447" t="s">
        <v>8939</v>
      </c>
      <c r="AE447" t="s">
        <v>8940</v>
      </c>
      <c r="AF447" t="s">
        <v>74</v>
      </c>
      <c r="AG447">
        <v>132</v>
      </c>
      <c r="AH447">
        <v>32</v>
      </c>
      <c r="AI447">
        <v>34</v>
      </c>
      <c r="AJ447">
        <v>1</v>
      </c>
      <c r="AK447">
        <v>41</v>
      </c>
      <c r="AL447" t="s">
        <v>4022</v>
      </c>
      <c r="AM447" t="s">
        <v>4023</v>
      </c>
      <c r="AN447" t="s">
        <v>4024</v>
      </c>
      <c r="AO447" t="s">
        <v>4025</v>
      </c>
      <c r="AP447" t="s">
        <v>4026</v>
      </c>
      <c r="AQ447" t="s">
        <v>74</v>
      </c>
      <c r="AR447" t="s">
        <v>4027</v>
      </c>
      <c r="AS447" t="s">
        <v>4028</v>
      </c>
      <c r="AT447" t="s">
        <v>2468</v>
      </c>
      <c r="AU447">
        <v>2018</v>
      </c>
      <c r="AV447">
        <v>99</v>
      </c>
      <c r="AW447">
        <v>1</v>
      </c>
      <c r="AX447" t="s">
        <v>74</v>
      </c>
      <c r="AY447" t="s">
        <v>74</v>
      </c>
      <c r="AZ447" t="s">
        <v>74</v>
      </c>
      <c r="BA447" t="s">
        <v>74</v>
      </c>
      <c r="BB447">
        <v>61</v>
      </c>
      <c r="BC447">
        <v>82</v>
      </c>
      <c r="BD447" t="s">
        <v>74</v>
      </c>
      <c r="BE447" t="s">
        <v>8941</v>
      </c>
      <c r="BF447" t="str">
        <f>HYPERLINK("http://dx.doi.org/10.1175/BAMS-D-16-0254.1","http://dx.doi.org/10.1175/BAMS-D-16-0254.1")</f>
        <v>http://dx.doi.org/10.1175/BAMS-D-16-0254.1</v>
      </c>
      <c r="BG447" t="s">
        <v>74</v>
      </c>
      <c r="BH447" t="s">
        <v>74</v>
      </c>
      <c r="BI447">
        <v>22</v>
      </c>
      <c r="BJ447" t="s">
        <v>430</v>
      </c>
      <c r="BK447" t="s">
        <v>101</v>
      </c>
      <c r="BL447" t="s">
        <v>430</v>
      </c>
      <c r="BM447" t="s">
        <v>4030</v>
      </c>
      <c r="BN447" t="s">
        <v>74</v>
      </c>
      <c r="BO447" t="s">
        <v>5571</v>
      </c>
      <c r="BP447" t="s">
        <v>74</v>
      </c>
      <c r="BQ447" t="s">
        <v>74</v>
      </c>
      <c r="BR447" t="s">
        <v>105</v>
      </c>
      <c r="BS447" t="s">
        <v>8942</v>
      </c>
      <c r="BT447" t="str">
        <f>HYPERLINK("https%3A%2F%2Fwww.webofscience.com%2Fwos%2Fwoscc%2Ffull-record%2FWOS:000423878600005","View Full Record in Web of Science")</f>
        <v>View Full Record in Web of Science</v>
      </c>
    </row>
    <row r="448" spans="1:72" x14ac:dyDescent="0.15">
      <c r="A448" t="s">
        <v>72</v>
      </c>
      <c r="B448" t="s">
        <v>8943</v>
      </c>
      <c r="C448" t="s">
        <v>74</v>
      </c>
      <c r="D448" t="s">
        <v>74</v>
      </c>
      <c r="E448" t="s">
        <v>74</v>
      </c>
      <c r="F448" t="s">
        <v>8944</v>
      </c>
      <c r="G448" t="s">
        <v>74</v>
      </c>
      <c r="H448" t="s">
        <v>74</v>
      </c>
      <c r="I448" t="s">
        <v>8945</v>
      </c>
      <c r="J448" t="s">
        <v>8946</v>
      </c>
      <c r="K448" t="s">
        <v>74</v>
      </c>
      <c r="L448" t="s">
        <v>74</v>
      </c>
      <c r="M448" t="s">
        <v>78</v>
      </c>
      <c r="N448" t="s">
        <v>79</v>
      </c>
      <c r="O448" t="s">
        <v>74</v>
      </c>
      <c r="P448" t="s">
        <v>74</v>
      </c>
      <c r="Q448" t="s">
        <v>74</v>
      </c>
      <c r="R448" t="s">
        <v>74</v>
      </c>
      <c r="S448" t="s">
        <v>74</v>
      </c>
      <c r="T448" t="s">
        <v>8947</v>
      </c>
      <c r="U448" t="s">
        <v>8948</v>
      </c>
      <c r="V448" t="s">
        <v>8949</v>
      </c>
      <c r="W448" t="s">
        <v>8950</v>
      </c>
      <c r="X448" t="s">
        <v>7710</v>
      </c>
      <c r="Y448" t="s">
        <v>8951</v>
      </c>
      <c r="Z448" t="s">
        <v>8952</v>
      </c>
      <c r="AA448" t="s">
        <v>8953</v>
      </c>
      <c r="AB448" t="s">
        <v>8954</v>
      </c>
      <c r="AC448" t="s">
        <v>8955</v>
      </c>
      <c r="AD448" t="s">
        <v>8955</v>
      </c>
      <c r="AE448" t="s">
        <v>8956</v>
      </c>
      <c r="AF448" t="s">
        <v>74</v>
      </c>
      <c r="AG448">
        <v>77</v>
      </c>
      <c r="AH448">
        <v>17</v>
      </c>
      <c r="AI448">
        <v>17</v>
      </c>
      <c r="AJ448">
        <v>1</v>
      </c>
      <c r="AK448">
        <v>20</v>
      </c>
      <c r="AL448" t="s">
        <v>1973</v>
      </c>
      <c r="AM448" t="s">
        <v>1797</v>
      </c>
      <c r="AN448" t="s">
        <v>5588</v>
      </c>
      <c r="AO448" t="s">
        <v>8957</v>
      </c>
      <c r="AP448" t="s">
        <v>8958</v>
      </c>
      <c r="AQ448" t="s">
        <v>74</v>
      </c>
      <c r="AR448" t="s">
        <v>8959</v>
      </c>
      <c r="AS448" t="s">
        <v>8960</v>
      </c>
      <c r="AT448" t="s">
        <v>2468</v>
      </c>
      <c r="AU448">
        <v>2018</v>
      </c>
      <c r="AV448">
        <v>173</v>
      </c>
      <c r="AW448">
        <v>1</v>
      </c>
      <c r="AX448" t="s">
        <v>74</v>
      </c>
      <c r="AY448" t="s">
        <v>74</v>
      </c>
      <c r="AZ448" t="s">
        <v>74</v>
      </c>
      <c r="BA448" t="s">
        <v>74</v>
      </c>
      <c r="BB448" t="s">
        <v>74</v>
      </c>
      <c r="BC448" t="s">
        <v>74</v>
      </c>
      <c r="BD448">
        <v>8</v>
      </c>
      <c r="BE448" t="s">
        <v>8961</v>
      </c>
      <c r="BF448" t="str">
        <f>HYPERLINK("http://dx.doi.org/10.1007/s00410-017-1433-2","http://dx.doi.org/10.1007/s00410-017-1433-2")</f>
        <v>http://dx.doi.org/10.1007/s00410-017-1433-2</v>
      </c>
      <c r="BG448" t="s">
        <v>74</v>
      </c>
      <c r="BH448" t="s">
        <v>74</v>
      </c>
      <c r="BI448">
        <v>24</v>
      </c>
      <c r="BJ448" t="s">
        <v>5005</v>
      </c>
      <c r="BK448" t="s">
        <v>101</v>
      </c>
      <c r="BL448" t="s">
        <v>5005</v>
      </c>
      <c r="BM448" t="s">
        <v>8962</v>
      </c>
      <c r="BN448" t="s">
        <v>74</v>
      </c>
      <c r="BO448" t="s">
        <v>74</v>
      </c>
      <c r="BP448" t="s">
        <v>74</v>
      </c>
      <c r="BQ448" t="s">
        <v>74</v>
      </c>
      <c r="BR448" t="s">
        <v>105</v>
      </c>
      <c r="BS448" t="s">
        <v>8963</v>
      </c>
      <c r="BT448" t="str">
        <f>HYPERLINK("https%3A%2F%2Fwww.webofscience.com%2Fwos%2Fwoscc%2Ffull-record%2FWOS:000424054700008","View Full Record in Web of Science")</f>
        <v>View Full Record in Web of Science</v>
      </c>
    </row>
    <row r="449" spans="1:72" x14ac:dyDescent="0.15">
      <c r="A449" t="s">
        <v>72</v>
      </c>
      <c r="B449" t="s">
        <v>8964</v>
      </c>
      <c r="C449" t="s">
        <v>74</v>
      </c>
      <c r="D449" t="s">
        <v>74</v>
      </c>
      <c r="E449" t="s">
        <v>74</v>
      </c>
      <c r="F449" t="s">
        <v>8965</v>
      </c>
      <c r="G449" t="s">
        <v>74</v>
      </c>
      <c r="H449" t="s">
        <v>74</v>
      </c>
      <c r="I449" t="s">
        <v>8966</v>
      </c>
      <c r="J449" t="s">
        <v>8967</v>
      </c>
      <c r="K449" t="s">
        <v>74</v>
      </c>
      <c r="L449" t="s">
        <v>74</v>
      </c>
      <c r="M449" t="s">
        <v>78</v>
      </c>
      <c r="N449" t="s">
        <v>79</v>
      </c>
      <c r="O449" t="s">
        <v>74</v>
      </c>
      <c r="P449" t="s">
        <v>74</v>
      </c>
      <c r="Q449" t="s">
        <v>74</v>
      </c>
      <c r="R449" t="s">
        <v>74</v>
      </c>
      <c r="S449" t="s">
        <v>74</v>
      </c>
      <c r="T449" t="s">
        <v>8968</v>
      </c>
      <c r="U449" t="s">
        <v>8969</v>
      </c>
      <c r="V449" t="s">
        <v>8970</v>
      </c>
      <c r="W449" t="s">
        <v>8971</v>
      </c>
      <c r="X449" t="s">
        <v>8972</v>
      </c>
      <c r="Y449" t="s">
        <v>8973</v>
      </c>
      <c r="Z449" t="s">
        <v>8974</v>
      </c>
      <c r="AA449" t="s">
        <v>8975</v>
      </c>
      <c r="AB449" t="s">
        <v>8976</v>
      </c>
      <c r="AC449" t="s">
        <v>8977</v>
      </c>
      <c r="AD449" t="s">
        <v>8978</v>
      </c>
      <c r="AE449" t="s">
        <v>8979</v>
      </c>
      <c r="AF449" t="s">
        <v>74</v>
      </c>
      <c r="AG449">
        <v>80</v>
      </c>
      <c r="AH449">
        <v>24</v>
      </c>
      <c r="AI449">
        <v>27</v>
      </c>
      <c r="AJ449">
        <v>2</v>
      </c>
      <c r="AK449">
        <v>42</v>
      </c>
      <c r="AL449" t="s">
        <v>91</v>
      </c>
      <c r="AM449" t="s">
        <v>92</v>
      </c>
      <c r="AN449" t="s">
        <v>93</v>
      </c>
      <c r="AO449" t="s">
        <v>8980</v>
      </c>
      <c r="AP449" t="s">
        <v>74</v>
      </c>
      <c r="AQ449" t="s">
        <v>74</v>
      </c>
      <c r="AR449" t="s">
        <v>8981</v>
      </c>
      <c r="AS449" t="s">
        <v>8982</v>
      </c>
      <c r="AT449" t="s">
        <v>2468</v>
      </c>
      <c r="AU449">
        <v>2018</v>
      </c>
      <c r="AV449">
        <v>5</v>
      </c>
      <c r="AW449">
        <v>1</v>
      </c>
      <c r="AX449" t="s">
        <v>74</v>
      </c>
      <c r="AY449" t="s">
        <v>74</v>
      </c>
      <c r="AZ449" t="s">
        <v>74</v>
      </c>
      <c r="BA449" t="s">
        <v>74</v>
      </c>
      <c r="BB449" t="s">
        <v>74</v>
      </c>
      <c r="BC449" t="s">
        <v>74</v>
      </c>
      <c r="BD449">
        <v>170925</v>
      </c>
      <c r="BE449" t="s">
        <v>8983</v>
      </c>
      <c r="BF449" t="str">
        <f>HYPERLINK("http://dx.doi.org/10.1098/rsos.170925","http://dx.doi.org/10.1098/rsos.170925")</f>
        <v>http://dx.doi.org/10.1098/rsos.170925</v>
      </c>
      <c r="BG449" t="s">
        <v>74</v>
      </c>
      <c r="BH449" t="s">
        <v>74</v>
      </c>
      <c r="BI449">
        <v>11</v>
      </c>
      <c r="BJ449" t="s">
        <v>129</v>
      </c>
      <c r="BK449" t="s">
        <v>101</v>
      </c>
      <c r="BL449" t="s">
        <v>130</v>
      </c>
      <c r="BM449" t="s">
        <v>8984</v>
      </c>
      <c r="BN449">
        <v>29410806</v>
      </c>
      <c r="BO449" t="s">
        <v>494</v>
      </c>
      <c r="BP449" t="s">
        <v>74</v>
      </c>
      <c r="BQ449" t="s">
        <v>74</v>
      </c>
      <c r="BR449" t="s">
        <v>105</v>
      </c>
      <c r="BS449" t="s">
        <v>8985</v>
      </c>
      <c r="BT449" t="str">
        <f>HYPERLINK("https%3A%2F%2Fwww.webofscience.com%2Fwos%2Fwoscc%2Ffull-record%2FWOS:000423777300019","View Full Record in Web of Science")</f>
        <v>View Full Record in Web of Science</v>
      </c>
    </row>
    <row r="450" spans="1:72" x14ac:dyDescent="0.15">
      <c r="A450" t="s">
        <v>72</v>
      </c>
      <c r="B450" t="s">
        <v>8986</v>
      </c>
      <c r="C450" t="s">
        <v>74</v>
      </c>
      <c r="D450" t="s">
        <v>74</v>
      </c>
      <c r="E450" t="s">
        <v>74</v>
      </c>
      <c r="F450" t="s">
        <v>8987</v>
      </c>
      <c r="G450" t="s">
        <v>74</v>
      </c>
      <c r="H450" t="s">
        <v>74</v>
      </c>
      <c r="I450" t="s">
        <v>8988</v>
      </c>
      <c r="J450" t="s">
        <v>8989</v>
      </c>
      <c r="K450" t="s">
        <v>74</v>
      </c>
      <c r="L450" t="s">
        <v>74</v>
      </c>
      <c r="M450" t="s">
        <v>78</v>
      </c>
      <c r="N450" t="s">
        <v>289</v>
      </c>
      <c r="O450" t="s">
        <v>74</v>
      </c>
      <c r="P450" t="s">
        <v>74</v>
      </c>
      <c r="Q450" t="s">
        <v>74</v>
      </c>
      <c r="R450" t="s">
        <v>74</v>
      </c>
      <c r="S450" t="s">
        <v>74</v>
      </c>
      <c r="T450" t="s">
        <v>8990</v>
      </c>
      <c r="U450" t="s">
        <v>8991</v>
      </c>
      <c r="V450" t="s">
        <v>8992</v>
      </c>
      <c r="W450" t="s">
        <v>8993</v>
      </c>
      <c r="X450" t="s">
        <v>8994</v>
      </c>
      <c r="Y450" t="s">
        <v>8995</v>
      </c>
      <c r="Z450" t="s">
        <v>8996</v>
      </c>
      <c r="AA450" t="s">
        <v>8997</v>
      </c>
      <c r="AB450" t="s">
        <v>8998</v>
      </c>
      <c r="AC450" t="s">
        <v>8999</v>
      </c>
      <c r="AD450" t="s">
        <v>9000</v>
      </c>
      <c r="AE450" t="s">
        <v>9001</v>
      </c>
      <c r="AF450" t="s">
        <v>74</v>
      </c>
      <c r="AG450">
        <v>73</v>
      </c>
      <c r="AH450">
        <v>22</v>
      </c>
      <c r="AI450">
        <v>24</v>
      </c>
      <c r="AJ450">
        <v>0</v>
      </c>
      <c r="AK450">
        <v>38</v>
      </c>
      <c r="AL450" t="s">
        <v>8752</v>
      </c>
      <c r="AM450" t="s">
        <v>1140</v>
      </c>
      <c r="AN450" t="s">
        <v>8753</v>
      </c>
      <c r="AO450" t="s">
        <v>9002</v>
      </c>
      <c r="AP450" t="s">
        <v>9003</v>
      </c>
      <c r="AQ450" t="s">
        <v>74</v>
      </c>
      <c r="AR450" t="s">
        <v>9004</v>
      </c>
      <c r="AS450" t="s">
        <v>9005</v>
      </c>
      <c r="AT450" t="s">
        <v>2468</v>
      </c>
      <c r="AU450">
        <v>2018</v>
      </c>
      <c r="AV450">
        <v>98</v>
      </c>
      <c r="AW450" t="s">
        <v>74</v>
      </c>
      <c r="AX450" t="s">
        <v>74</v>
      </c>
      <c r="AY450" t="s">
        <v>74</v>
      </c>
      <c r="AZ450" t="s">
        <v>74</v>
      </c>
      <c r="BA450" t="s">
        <v>74</v>
      </c>
      <c r="BB450">
        <v>36</v>
      </c>
      <c r="BC450">
        <v>46</v>
      </c>
      <c r="BD450" t="s">
        <v>74</v>
      </c>
      <c r="BE450" t="s">
        <v>9006</v>
      </c>
      <c r="BF450" t="str">
        <f>HYPERLINK("http://dx.doi.org/10.1016/j.trac.2017.10.018","http://dx.doi.org/10.1016/j.trac.2017.10.018")</f>
        <v>http://dx.doi.org/10.1016/j.trac.2017.10.018</v>
      </c>
      <c r="BG450" t="s">
        <v>74</v>
      </c>
      <c r="BH450" t="s">
        <v>74</v>
      </c>
      <c r="BI450">
        <v>11</v>
      </c>
      <c r="BJ450" t="s">
        <v>5266</v>
      </c>
      <c r="BK450" t="s">
        <v>101</v>
      </c>
      <c r="BL450" t="s">
        <v>4185</v>
      </c>
      <c r="BM450" t="s">
        <v>9007</v>
      </c>
      <c r="BN450" t="s">
        <v>74</v>
      </c>
      <c r="BO450" t="s">
        <v>1751</v>
      </c>
      <c r="BP450" t="s">
        <v>74</v>
      </c>
      <c r="BQ450" t="s">
        <v>74</v>
      </c>
      <c r="BR450" t="s">
        <v>105</v>
      </c>
      <c r="BS450" t="s">
        <v>9008</v>
      </c>
      <c r="BT450" t="str">
        <f>HYPERLINK("https%3A%2F%2Fwww.webofscience.com%2Fwos%2Fwoscc%2Ffull-record%2FWOS:000423888600003","View Full Record in Web of Science")</f>
        <v>View Full Record in Web of Science</v>
      </c>
    </row>
    <row r="451" spans="1:72" x14ac:dyDescent="0.15">
      <c r="A451" t="s">
        <v>72</v>
      </c>
      <c r="B451" t="s">
        <v>9009</v>
      </c>
      <c r="C451" t="s">
        <v>74</v>
      </c>
      <c r="D451" t="s">
        <v>74</v>
      </c>
      <c r="E451" t="s">
        <v>74</v>
      </c>
      <c r="F451" t="s">
        <v>9010</v>
      </c>
      <c r="G451" t="s">
        <v>74</v>
      </c>
      <c r="H451" t="s">
        <v>74</v>
      </c>
      <c r="I451" t="s">
        <v>9011</v>
      </c>
      <c r="J451" t="s">
        <v>9012</v>
      </c>
      <c r="K451" t="s">
        <v>74</v>
      </c>
      <c r="L451" t="s">
        <v>74</v>
      </c>
      <c r="M451" t="s">
        <v>78</v>
      </c>
      <c r="N451" t="s">
        <v>79</v>
      </c>
      <c r="O451" t="s">
        <v>74</v>
      </c>
      <c r="P451" t="s">
        <v>74</v>
      </c>
      <c r="Q451" t="s">
        <v>74</v>
      </c>
      <c r="R451" t="s">
        <v>74</v>
      </c>
      <c r="S451" t="s">
        <v>74</v>
      </c>
      <c r="T451" t="s">
        <v>74</v>
      </c>
      <c r="U451" t="s">
        <v>9013</v>
      </c>
      <c r="V451" t="s">
        <v>9014</v>
      </c>
      <c r="W451" t="s">
        <v>9015</v>
      </c>
      <c r="X451" t="s">
        <v>9016</v>
      </c>
      <c r="Y451" t="s">
        <v>9017</v>
      </c>
      <c r="Z451" t="s">
        <v>9018</v>
      </c>
      <c r="AA451" t="s">
        <v>9019</v>
      </c>
      <c r="AB451" t="s">
        <v>9020</v>
      </c>
      <c r="AC451" t="s">
        <v>9021</v>
      </c>
      <c r="AD451" t="s">
        <v>9022</v>
      </c>
      <c r="AE451" t="s">
        <v>9023</v>
      </c>
      <c r="AF451" t="s">
        <v>74</v>
      </c>
      <c r="AG451">
        <v>30</v>
      </c>
      <c r="AH451">
        <v>15</v>
      </c>
      <c r="AI451">
        <v>23</v>
      </c>
      <c r="AJ451">
        <v>2</v>
      </c>
      <c r="AK451">
        <v>19</v>
      </c>
      <c r="AL451" t="s">
        <v>9024</v>
      </c>
      <c r="AM451" t="s">
        <v>272</v>
      </c>
      <c r="AN451" t="s">
        <v>9025</v>
      </c>
      <c r="AO451" t="s">
        <v>9026</v>
      </c>
      <c r="AP451" t="s">
        <v>9027</v>
      </c>
      <c r="AQ451" t="s">
        <v>74</v>
      </c>
      <c r="AR451" t="s">
        <v>9028</v>
      </c>
      <c r="AS451" t="s">
        <v>9029</v>
      </c>
      <c r="AT451" t="s">
        <v>2468</v>
      </c>
      <c r="AU451">
        <v>2018</v>
      </c>
      <c r="AV451">
        <v>81</v>
      </c>
      <c r="AW451">
        <v>1</v>
      </c>
      <c r="AX451" t="s">
        <v>74</v>
      </c>
      <c r="AY451" t="s">
        <v>74</v>
      </c>
      <c r="AZ451" t="s">
        <v>74</v>
      </c>
      <c r="BA451" t="s">
        <v>74</v>
      </c>
      <c r="BB451">
        <v>117</v>
      </c>
      <c r="BC451">
        <v>123</v>
      </c>
      <c r="BD451" t="s">
        <v>74</v>
      </c>
      <c r="BE451" t="s">
        <v>9030</v>
      </c>
      <c r="BF451" t="str">
        <f>HYPERLINK("http://dx.doi.org/10.1021/acs.jnatprod.7b00732","http://dx.doi.org/10.1021/acs.jnatprod.7b00732")</f>
        <v>http://dx.doi.org/10.1021/acs.jnatprod.7b00732</v>
      </c>
      <c r="BG451" t="s">
        <v>74</v>
      </c>
      <c r="BH451" t="s">
        <v>74</v>
      </c>
      <c r="BI451">
        <v>7</v>
      </c>
      <c r="BJ451" t="s">
        <v>9031</v>
      </c>
      <c r="BK451" t="s">
        <v>9032</v>
      </c>
      <c r="BL451" t="s">
        <v>9033</v>
      </c>
      <c r="BM451" t="s">
        <v>9034</v>
      </c>
      <c r="BN451">
        <v>29260557</v>
      </c>
      <c r="BO451" t="s">
        <v>1751</v>
      </c>
      <c r="BP451" t="s">
        <v>74</v>
      </c>
      <c r="BQ451" t="s">
        <v>74</v>
      </c>
      <c r="BR451" t="s">
        <v>105</v>
      </c>
      <c r="BS451" t="s">
        <v>9035</v>
      </c>
      <c r="BT451" t="str">
        <f>HYPERLINK("https%3A%2F%2Fwww.webofscience.com%2Fwos%2Fwoscc%2Ffull-record%2FWOS:000423778900017","View Full Record in Web of Science")</f>
        <v>View Full Record in Web of Science</v>
      </c>
    </row>
    <row r="452" spans="1:72" x14ac:dyDescent="0.15">
      <c r="A452" t="s">
        <v>72</v>
      </c>
      <c r="B452" t="s">
        <v>9036</v>
      </c>
      <c r="C452" t="s">
        <v>74</v>
      </c>
      <c r="D452" t="s">
        <v>74</v>
      </c>
      <c r="E452" t="s">
        <v>74</v>
      </c>
      <c r="F452" t="s">
        <v>9037</v>
      </c>
      <c r="G452" t="s">
        <v>74</v>
      </c>
      <c r="H452" t="s">
        <v>74</v>
      </c>
      <c r="I452" t="s">
        <v>9038</v>
      </c>
      <c r="J452" t="s">
        <v>9039</v>
      </c>
      <c r="K452" t="s">
        <v>74</v>
      </c>
      <c r="L452" t="s">
        <v>74</v>
      </c>
      <c r="M452" t="s">
        <v>2065</v>
      </c>
      <c r="N452" t="s">
        <v>79</v>
      </c>
      <c r="O452" t="s">
        <v>74</v>
      </c>
      <c r="P452" t="s">
        <v>74</v>
      </c>
      <c r="Q452" t="s">
        <v>74</v>
      </c>
      <c r="R452" t="s">
        <v>74</v>
      </c>
      <c r="S452" t="s">
        <v>74</v>
      </c>
      <c r="T452" t="s">
        <v>9040</v>
      </c>
      <c r="U452" t="s">
        <v>9041</v>
      </c>
      <c r="V452" t="s">
        <v>9042</v>
      </c>
      <c r="W452" t="s">
        <v>9043</v>
      </c>
      <c r="X452" t="s">
        <v>9044</v>
      </c>
      <c r="Y452" t="s">
        <v>9045</v>
      </c>
      <c r="Z452" t="s">
        <v>9046</v>
      </c>
      <c r="AA452" t="s">
        <v>74</v>
      </c>
      <c r="AB452" t="s">
        <v>74</v>
      </c>
      <c r="AC452" t="s">
        <v>9047</v>
      </c>
      <c r="AD452" t="s">
        <v>9048</v>
      </c>
      <c r="AE452" t="s">
        <v>9049</v>
      </c>
      <c r="AF452" t="s">
        <v>74</v>
      </c>
      <c r="AG452">
        <v>38</v>
      </c>
      <c r="AH452">
        <v>10</v>
      </c>
      <c r="AI452">
        <v>10</v>
      </c>
      <c r="AJ452">
        <v>4</v>
      </c>
      <c r="AK452">
        <v>66</v>
      </c>
      <c r="AL452" t="s">
        <v>9050</v>
      </c>
      <c r="AM452" t="s">
        <v>2073</v>
      </c>
      <c r="AN452" t="s">
        <v>9051</v>
      </c>
      <c r="AO452" t="s">
        <v>9052</v>
      </c>
      <c r="AP452" t="s">
        <v>74</v>
      </c>
      <c r="AQ452" t="s">
        <v>74</v>
      </c>
      <c r="AR452" t="s">
        <v>9053</v>
      </c>
      <c r="AS452" t="s">
        <v>9054</v>
      </c>
      <c r="AT452" t="s">
        <v>74</v>
      </c>
      <c r="AU452">
        <v>2018</v>
      </c>
      <c r="AV452">
        <v>34</v>
      </c>
      <c r="AW452">
        <v>1</v>
      </c>
      <c r="AX452" t="s">
        <v>74</v>
      </c>
      <c r="AY452" t="s">
        <v>74</v>
      </c>
      <c r="AZ452" t="s">
        <v>74</v>
      </c>
      <c r="BA452" t="s">
        <v>74</v>
      </c>
      <c r="BB452">
        <v>99</v>
      </c>
      <c r="BC452">
        <v>107</v>
      </c>
      <c r="BD452" t="s">
        <v>74</v>
      </c>
      <c r="BE452" t="s">
        <v>9055</v>
      </c>
      <c r="BF452" t="str">
        <f>HYPERLINK("http://dx.doi.org/10.3866/PKU.WHXB201706262","http://dx.doi.org/10.3866/PKU.WHXB201706262")</f>
        <v>http://dx.doi.org/10.3866/PKU.WHXB201706262</v>
      </c>
      <c r="BG452" t="s">
        <v>74</v>
      </c>
      <c r="BH452" t="s">
        <v>74</v>
      </c>
      <c r="BI452">
        <v>9</v>
      </c>
      <c r="BJ452" t="s">
        <v>9056</v>
      </c>
      <c r="BK452" t="s">
        <v>101</v>
      </c>
      <c r="BL452" t="s">
        <v>4185</v>
      </c>
      <c r="BM452" t="s">
        <v>9057</v>
      </c>
      <c r="BN452" t="s">
        <v>74</v>
      </c>
      <c r="BO452" t="s">
        <v>74</v>
      </c>
      <c r="BP452" t="s">
        <v>74</v>
      </c>
      <c r="BQ452" t="s">
        <v>74</v>
      </c>
      <c r="BR452" t="s">
        <v>105</v>
      </c>
      <c r="BS452" t="s">
        <v>9058</v>
      </c>
      <c r="BT452" t="str">
        <f>HYPERLINK("https%3A%2F%2Fwww.webofscience.com%2Fwos%2Fwoscc%2Ffull-record%2FWOS:000423691400014","View Full Record in Web of Science")</f>
        <v>View Full Record in Web of Science</v>
      </c>
    </row>
    <row r="453" spans="1:72" x14ac:dyDescent="0.15">
      <c r="A453" t="s">
        <v>72</v>
      </c>
      <c r="B453" t="s">
        <v>9059</v>
      </c>
      <c r="C453" t="s">
        <v>74</v>
      </c>
      <c r="D453" t="s">
        <v>74</v>
      </c>
      <c r="E453" t="s">
        <v>74</v>
      </c>
      <c r="F453" t="s">
        <v>9060</v>
      </c>
      <c r="G453" t="s">
        <v>74</v>
      </c>
      <c r="H453" t="s">
        <v>74</v>
      </c>
      <c r="I453" t="s">
        <v>9061</v>
      </c>
      <c r="J453" t="s">
        <v>5174</v>
      </c>
      <c r="K453" t="s">
        <v>74</v>
      </c>
      <c r="L453" t="s">
        <v>74</v>
      </c>
      <c r="M453" t="s">
        <v>78</v>
      </c>
      <c r="N453" t="s">
        <v>79</v>
      </c>
      <c r="O453" t="s">
        <v>74</v>
      </c>
      <c r="P453" t="s">
        <v>74</v>
      </c>
      <c r="Q453" t="s">
        <v>74</v>
      </c>
      <c r="R453" t="s">
        <v>74</v>
      </c>
      <c r="S453" t="s">
        <v>74</v>
      </c>
      <c r="T453" t="s">
        <v>9062</v>
      </c>
      <c r="U453" t="s">
        <v>9063</v>
      </c>
      <c r="V453" t="s">
        <v>9064</v>
      </c>
      <c r="W453" t="s">
        <v>9065</v>
      </c>
      <c r="X453" t="s">
        <v>9066</v>
      </c>
      <c r="Y453" t="s">
        <v>9067</v>
      </c>
      <c r="Z453" t="s">
        <v>9068</v>
      </c>
      <c r="AA453" t="s">
        <v>9069</v>
      </c>
      <c r="AB453" t="s">
        <v>9070</v>
      </c>
      <c r="AC453" t="s">
        <v>9071</v>
      </c>
      <c r="AD453" t="s">
        <v>9072</v>
      </c>
      <c r="AE453" t="s">
        <v>9073</v>
      </c>
      <c r="AF453" t="s">
        <v>74</v>
      </c>
      <c r="AG453">
        <v>117</v>
      </c>
      <c r="AH453">
        <v>53</v>
      </c>
      <c r="AI453">
        <v>61</v>
      </c>
      <c r="AJ453">
        <v>1</v>
      </c>
      <c r="AK453">
        <v>20</v>
      </c>
      <c r="AL453" t="s">
        <v>1186</v>
      </c>
      <c r="AM453" t="s">
        <v>808</v>
      </c>
      <c r="AN453" t="s">
        <v>1187</v>
      </c>
      <c r="AO453" t="s">
        <v>5187</v>
      </c>
      <c r="AP453" t="s">
        <v>5188</v>
      </c>
      <c r="AQ453" t="s">
        <v>74</v>
      </c>
      <c r="AR453" t="s">
        <v>5189</v>
      </c>
      <c r="AS453" t="s">
        <v>5190</v>
      </c>
      <c r="AT453" t="s">
        <v>4251</v>
      </c>
      <c r="AU453">
        <v>2018</v>
      </c>
      <c r="AV453">
        <v>395</v>
      </c>
      <c r="AW453" t="s">
        <v>74</v>
      </c>
      <c r="AX453" t="s">
        <v>74</v>
      </c>
      <c r="AY453" t="s">
        <v>74</v>
      </c>
      <c r="AZ453" t="s">
        <v>74</v>
      </c>
      <c r="BA453" t="s">
        <v>74</v>
      </c>
      <c r="BB453">
        <v>104</v>
      </c>
      <c r="BC453">
        <v>119</v>
      </c>
      <c r="BD453" t="s">
        <v>74</v>
      </c>
      <c r="BE453" t="s">
        <v>9074</v>
      </c>
      <c r="BF453" t="str">
        <f>HYPERLINK("http://dx.doi.org/10.1016/j.margeo.2017.09.012","http://dx.doi.org/10.1016/j.margeo.2017.09.012")</f>
        <v>http://dx.doi.org/10.1016/j.margeo.2017.09.012</v>
      </c>
      <c r="BG453" t="s">
        <v>74</v>
      </c>
      <c r="BH453" t="s">
        <v>74</v>
      </c>
      <c r="BI453">
        <v>16</v>
      </c>
      <c r="BJ453" t="s">
        <v>5192</v>
      </c>
      <c r="BK453" t="s">
        <v>101</v>
      </c>
      <c r="BL453" t="s">
        <v>5193</v>
      </c>
      <c r="BM453" t="s">
        <v>5194</v>
      </c>
      <c r="BN453" t="s">
        <v>74</v>
      </c>
      <c r="BO453" t="s">
        <v>1150</v>
      </c>
      <c r="BP453" t="s">
        <v>74</v>
      </c>
      <c r="BQ453" t="s">
        <v>74</v>
      </c>
      <c r="BR453" t="s">
        <v>105</v>
      </c>
      <c r="BS453" t="s">
        <v>9075</v>
      </c>
      <c r="BT453" t="str">
        <f>HYPERLINK("https%3A%2F%2Fwww.webofscience.com%2Fwos%2Fwoscc%2Ffull-record%2FWOS:000423645300009","View Full Record in Web of Science")</f>
        <v>View Full Record in Web of Science</v>
      </c>
    </row>
    <row r="454" spans="1:72" x14ac:dyDescent="0.15">
      <c r="A454" t="s">
        <v>72</v>
      </c>
      <c r="B454" t="s">
        <v>9076</v>
      </c>
      <c r="C454" t="s">
        <v>74</v>
      </c>
      <c r="D454" t="s">
        <v>74</v>
      </c>
      <c r="E454" t="s">
        <v>74</v>
      </c>
      <c r="F454" t="s">
        <v>9077</v>
      </c>
      <c r="G454" t="s">
        <v>74</v>
      </c>
      <c r="H454" t="s">
        <v>74</v>
      </c>
      <c r="I454" t="s">
        <v>9078</v>
      </c>
      <c r="J454" t="s">
        <v>5174</v>
      </c>
      <c r="K454" t="s">
        <v>74</v>
      </c>
      <c r="L454" t="s">
        <v>74</v>
      </c>
      <c r="M454" t="s">
        <v>78</v>
      </c>
      <c r="N454" t="s">
        <v>79</v>
      </c>
      <c r="O454" t="s">
        <v>74</v>
      </c>
      <c r="P454" t="s">
        <v>74</v>
      </c>
      <c r="Q454" t="s">
        <v>74</v>
      </c>
      <c r="R454" t="s">
        <v>74</v>
      </c>
      <c r="S454" t="s">
        <v>74</v>
      </c>
      <c r="T454" t="s">
        <v>9079</v>
      </c>
      <c r="U454" t="s">
        <v>9080</v>
      </c>
      <c r="V454" t="s">
        <v>9081</v>
      </c>
      <c r="W454" t="s">
        <v>9082</v>
      </c>
      <c r="X454" t="s">
        <v>9083</v>
      </c>
      <c r="Y454" t="s">
        <v>9084</v>
      </c>
      <c r="Z454" t="s">
        <v>9085</v>
      </c>
      <c r="AA454" t="s">
        <v>9086</v>
      </c>
      <c r="AB454" t="s">
        <v>9087</v>
      </c>
      <c r="AC454" t="s">
        <v>74</v>
      </c>
      <c r="AD454" t="s">
        <v>74</v>
      </c>
      <c r="AE454" t="s">
        <v>74</v>
      </c>
      <c r="AF454" t="s">
        <v>74</v>
      </c>
      <c r="AG454">
        <v>58</v>
      </c>
      <c r="AH454">
        <v>24</v>
      </c>
      <c r="AI454">
        <v>27</v>
      </c>
      <c r="AJ454">
        <v>1</v>
      </c>
      <c r="AK454">
        <v>14</v>
      </c>
      <c r="AL454" t="s">
        <v>1186</v>
      </c>
      <c r="AM454" t="s">
        <v>808</v>
      </c>
      <c r="AN454" t="s">
        <v>1187</v>
      </c>
      <c r="AO454" t="s">
        <v>5187</v>
      </c>
      <c r="AP454" t="s">
        <v>5188</v>
      </c>
      <c r="AQ454" t="s">
        <v>74</v>
      </c>
      <c r="AR454" t="s">
        <v>5189</v>
      </c>
      <c r="AS454" t="s">
        <v>5190</v>
      </c>
      <c r="AT454" t="s">
        <v>4251</v>
      </c>
      <c r="AU454">
        <v>2018</v>
      </c>
      <c r="AV454">
        <v>395</v>
      </c>
      <c r="AW454" t="s">
        <v>74</v>
      </c>
      <c r="AX454" t="s">
        <v>74</v>
      </c>
      <c r="AY454" t="s">
        <v>74</v>
      </c>
      <c r="AZ454" t="s">
        <v>74</v>
      </c>
      <c r="BA454" t="s">
        <v>74</v>
      </c>
      <c r="BB454">
        <v>301</v>
      </c>
      <c r="BC454">
        <v>319</v>
      </c>
      <c r="BD454" t="s">
        <v>74</v>
      </c>
      <c r="BE454" t="s">
        <v>9088</v>
      </c>
      <c r="BF454" t="str">
        <f>HYPERLINK("http://dx.doi.org/10.1016/j.margeo.2017.10.014","http://dx.doi.org/10.1016/j.margeo.2017.10.014")</f>
        <v>http://dx.doi.org/10.1016/j.margeo.2017.10.014</v>
      </c>
      <c r="BG454" t="s">
        <v>74</v>
      </c>
      <c r="BH454" t="s">
        <v>74</v>
      </c>
      <c r="BI454">
        <v>19</v>
      </c>
      <c r="BJ454" t="s">
        <v>5192</v>
      </c>
      <c r="BK454" t="s">
        <v>101</v>
      </c>
      <c r="BL454" t="s">
        <v>5193</v>
      </c>
      <c r="BM454" t="s">
        <v>5194</v>
      </c>
      <c r="BN454" t="s">
        <v>74</v>
      </c>
      <c r="BO454" t="s">
        <v>1751</v>
      </c>
      <c r="BP454" t="s">
        <v>74</v>
      </c>
      <c r="BQ454" t="s">
        <v>74</v>
      </c>
      <c r="BR454" t="s">
        <v>105</v>
      </c>
      <c r="BS454" t="s">
        <v>9089</v>
      </c>
      <c r="BT454" t="str">
        <f>HYPERLINK("https%3A%2F%2Fwww.webofscience.com%2Fwos%2Fwoscc%2Ffull-record%2FWOS:000423645300022","View Full Record in Web of Science")</f>
        <v>View Full Record in Web of Science</v>
      </c>
    </row>
    <row r="455" spans="1:72" x14ac:dyDescent="0.15">
      <c r="A455" t="s">
        <v>72</v>
      </c>
      <c r="B455" t="s">
        <v>9090</v>
      </c>
      <c r="C455" t="s">
        <v>74</v>
      </c>
      <c r="D455" t="s">
        <v>74</v>
      </c>
      <c r="E455" t="s">
        <v>74</v>
      </c>
      <c r="F455" t="s">
        <v>9091</v>
      </c>
      <c r="G455" t="s">
        <v>74</v>
      </c>
      <c r="H455" t="s">
        <v>74</v>
      </c>
      <c r="I455" t="s">
        <v>9092</v>
      </c>
      <c r="J455" t="s">
        <v>5174</v>
      </c>
      <c r="K455" t="s">
        <v>74</v>
      </c>
      <c r="L455" t="s">
        <v>74</v>
      </c>
      <c r="M455" t="s">
        <v>78</v>
      </c>
      <c r="N455" t="s">
        <v>79</v>
      </c>
      <c r="O455" t="s">
        <v>74</v>
      </c>
      <c r="P455" t="s">
        <v>74</v>
      </c>
      <c r="Q455" t="s">
        <v>74</v>
      </c>
      <c r="R455" t="s">
        <v>74</v>
      </c>
      <c r="S455" t="s">
        <v>74</v>
      </c>
      <c r="T455" t="s">
        <v>9093</v>
      </c>
      <c r="U455" t="s">
        <v>9094</v>
      </c>
      <c r="V455" t="s">
        <v>9095</v>
      </c>
      <c r="W455" t="s">
        <v>9096</v>
      </c>
      <c r="X455" t="s">
        <v>9097</v>
      </c>
      <c r="Y455" t="s">
        <v>9098</v>
      </c>
      <c r="Z455" t="s">
        <v>9099</v>
      </c>
      <c r="AA455" t="s">
        <v>9100</v>
      </c>
      <c r="AB455" t="s">
        <v>9101</v>
      </c>
      <c r="AC455" t="s">
        <v>9102</v>
      </c>
      <c r="AD455" t="s">
        <v>9103</v>
      </c>
      <c r="AE455" t="s">
        <v>9104</v>
      </c>
      <c r="AF455" t="s">
        <v>74</v>
      </c>
      <c r="AG455">
        <v>95</v>
      </c>
      <c r="AH455">
        <v>6</v>
      </c>
      <c r="AI455">
        <v>7</v>
      </c>
      <c r="AJ455">
        <v>0</v>
      </c>
      <c r="AK455">
        <v>11</v>
      </c>
      <c r="AL455" t="s">
        <v>807</v>
      </c>
      <c r="AM455" t="s">
        <v>808</v>
      </c>
      <c r="AN455" t="s">
        <v>809</v>
      </c>
      <c r="AO455" t="s">
        <v>5187</v>
      </c>
      <c r="AP455" t="s">
        <v>5188</v>
      </c>
      <c r="AQ455" t="s">
        <v>74</v>
      </c>
      <c r="AR455" t="s">
        <v>5189</v>
      </c>
      <c r="AS455" t="s">
        <v>5190</v>
      </c>
      <c r="AT455" t="s">
        <v>4251</v>
      </c>
      <c r="AU455">
        <v>2018</v>
      </c>
      <c r="AV455">
        <v>395</v>
      </c>
      <c r="AW455" t="s">
        <v>74</v>
      </c>
      <c r="AX455" t="s">
        <v>74</v>
      </c>
      <c r="AY455" t="s">
        <v>74</v>
      </c>
      <c r="AZ455" t="s">
        <v>74</v>
      </c>
      <c r="BA455" t="s">
        <v>74</v>
      </c>
      <c r="BB455">
        <v>380</v>
      </c>
      <c r="BC455">
        <v>396</v>
      </c>
      <c r="BD455" t="s">
        <v>74</v>
      </c>
      <c r="BE455" t="s">
        <v>9105</v>
      </c>
      <c r="BF455" t="str">
        <f>HYPERLINK("http://dx.doi.org/10.1016/j.margeo.2017.11.017","http://dx.doi.org/10.1016/j.margeo.2017.11.017")</f>
        <v>http://dx.doi.org/10.1016/j.margeo.2017.11.017</v>
      </c>
      <c r="BG455" t="s">
        <v>74</v>
      </c>
      <c r="BH455" t="s">
        <v>74</v>
      </c>
      <c r="BI455">
        <v>17</v>
      </c>
      <c r="BJ455" t="s">
        <v>5192</v>
      </c>
      <c r="BK455" t="s">
        <v>101</v>
      </c>
      <c r="BL455" t="s">
        <v>5193</v>
      </c>
      <c r="BM455" t="s">
        <v>5194</v>
      </c>
      <c r="BN455" t="s">
        <v>74</v>
      </c>
      <c r="BO455" t="s">
        <v>74</v>
      </c>
      <c r="BP455" t="s">
        <v>74</v>
      </c>
      <c r="BQ455" t="s">
        <v>74</v>
      </c>
      <c r="BR455" t="s">
        <v>105</v>
      </c>
      <c r="BS455" t="s">
        <v>9106</v>
      </c>
      <c r="BT455" t="str">
        <f>HYPERLINK("https%3A%2F%2Fwww.webofscience.com%2Fwos%2Fwoscc%2Ffull-record%2FWOS:000423645300028","View Full Record in Web of Science")</f>
        <v>View Full Record in Web of Science</v>
      </c>
    </row>
    <row r="456" spans="1:72" x14ac:dyDescent="0.15">
      <c r="A456" t="s">
        <v>72</v>
      </c>
      <c r="B456" t="s">
        <v>9107</v>
      </c>
      <c r="C456" t="s">
        <v>74</v>
      </c>
      <c r="D456" t="s">
        <v>74</v>
      </c>
      <c r="E456" t="s">
        <v>74</v>
      </c>
      <c r="F456" t="s">
        <v>9108</v>
      </c>
      <c r="G456" t="s">
        <v>74</v>
      </c>
      <c r="H456" t="s">
        <v>74</v>
      </c>
      <c r="I456" t="s">
        <v>9109</v>
      </c>
      <c r="J456" t="s">
        <v>9110</v>
      </c>
      <c r="K456" t="s">
        <v>74</v>
      </c>
      <c r="L456" t="s">
        <v>74</v>
      </c>
      <c r="M456" t="s">
        <v>78</v>
      </c>
      <c r="N456" t="s">
        <v>79</v>
      </c>
      <c r="O456" t="s">
        <v>74</v>
      </c>
      <c r="P456" t="s">
        <v>74</v>
      </c>
      <c r="Q456" t="s">
        <v>74</v>
      </c>
      <c r="R456" t="s">
        <v>74</v>
      </c>
      <c r="S456" t="s">
        <v>74</v>
      </c>
      <c r="T456" t="s">
        <v>9111</v>
      </c>
      <c r="U456" t="s">
        <v>9112</v>
      </c>
      <c r="V456" t="s">
        <v>9113</v>
      </c>
      <c r="W456" t="s">
        <v>9114</v>
      </c>
      <c r="X456" t="s">
        <v>9115</v>
      </c>
      <c r="Y456" t="s">
        <v>9116</v>
      </c>
      <c r="Z456" t="s">
        <v>9117</v>
      </c>
      <c r="AA456" t="s">
        <v>9118</v>
      </c>
      <c r="AB456" t="s">
        <v>9119</v>
      </c>
      <c r="AC456" t="s">
        <v>9120</v>
      </c>
      <c r="AD456" t="s">
        <v>9121</v>
      </c>
      <c r="AE456" t="s">
        <v>9122</v>
      </c>
      <c r="AF456" t="s">
        <v>74</v>
      </c>
      <c r="AG456">
        <v>41</v>
      </c>
      <c r="AH456">
        <v>5</v>
      </c>
      <c r="AI456">
        <v>5</v>
      </c>
      <c r="AJ456">
        <v>1</v>
      </c>
      <c r="AK456">
        <v>24</v>
      </c>
      <c r="AL456" t="s">
        <v>807</v>
      </c>
      <c r="AM456" t="s">
        <v>808</v>
      </c>
      <c r="AN456" t="s">
        <v>809</v>
      </c>
      <c r="AO456" t="s">
        <v>9123</v>
      </c>
      <c r="AP456" t="s">
        <v>9124</v>
      </c>
      <c r="AQ456" t="s">
        <v>74</v>
      </c>
      <c r="AR456" t="s">
        <v>9125</v>
      </c>
      <c r="AS456" t="s">
        <v>9126</v>
      </c>
      <c r="AT456" t="s">
        <v>4251</v>
      </c>
      <c r="AU456">
        <v>2018</v>
      </c>
      <c r="AV456">
        <v>161</v>
      </c>
      <c r="AW456" t="s">
        <v>74</v>
      </c>
      <c r="AX456" t="s">
        <v>74</v>
      </c>
      <c r="AY456" t="s">
        <v>74</v>
      </c>
      <c r="AZ456" t="s">
        <v>74</v>
      </c>
      <c r="BA456" t="s">
        <v>74</v>
      </c>
      <c r="BB456">
        <v>620</v>
      </c>
      <c r="BC456">
        <v>627</v>
      </c>
      <c r="BD456" t="s">
        <v>74</v>
      </c>
      <c r="BE456" t="s">
        <v>9127</v>
      </c>
      <c r="BF456" t="str">
        <f>HYPERLINK("http://dx.doi.org/10.1016/j.colsurfb.2017.11.032","http://dx.doi.org/10.1016/j.colsurfb.2017.11.032")</f>
        <v>http://dx.doi.org/10.1016/j.colsurfb.2017.11.032</v>
      </c>
      <c r="BG456" t="s">
        <v>74</v>
      </c>
      <c r="BH456" t="s">
        <v>74</v>
      </c>
      <c r="BI456">
        <v>8</v>
      </c>
      <c r="BJ456" t="s">
        <v>9128</v>
      </c>
      <c r="BK456" t="s">
        <v>101</v>
      </c>
      <c r="BL456" t="s">
        <v>9129</v>
      </c>
      <c r="BM456" t="s">
        <v>9130</v>
      </c>
      <c r="BN456">
        <v>29156339</v>
      </c>
      <c r="BO456" t="s">
        <v>74</v>
      </c>
      <c r="BP456" t="s">
        <v>74</v>
      </c>
      <c r="BQ456" t="s">
        <v>74</v>
      </c>
      <c r="BR456" t="s">
        <v>105</v>
      </c>
      <c r="BS456" t="s">
        <v>9131</v>
      </c>
      <c r="BT456" t="str">
        <f>HYPERLINK("https%3A%2F%2Fwww.webofscience.com%2Fwos%2Fwoscc%2Ffull-record%2FWOS:000423636100072","View Full Record in Web of Science")</f>
        <v>View Full Record in Web of Science</v>
      </c>
    </row>
    <row r="457" spans="1:72" x14ac:dyDescent="0.15">
      <c r="A457" t="s">
        <v>72</v>
      </c>
      <c r="B457" t="s">
        <v>9132</v>
      </c>
      <c r="C457" t="s">
        <v>74</v>
      </c>
      <c r="D457" t="s">
        <v>74</v>
      </c>
      <c r="E457" t="s">
        <v>74</v>
      </c>
      <c r="F457" t="s">
        <v>9133</v>
      </c>
      <c r="G457" t="s">
        <v>74</v>
      </c>
      <c r="H457" t="s">
        <v>74</v>
      </c>
      <c r="I457" t="s">
        <v>9134</v>
      </c>
      <c r="J457" t="s">
        <v>9135</v>
      </c>
      <c r="K457" t="s">
        <v>74</v>
      </c>
      <c r="L457" t="s">
        <v>74</v>
      </c>
      <c r="M457" t="s">
        <v>78</v>
      </c>
      <c r="N457" t="s">
        <v>79</v>
      </c>
      <c r="O457" t="s">
        <v>74</v>
      </c>
      <c r="P457" t="s">
        <v>74</v>
      </c>
      <c r="Q457" t="s">
        <v>74</v>
      </c>
      <c r="R457" t="s">
        <v>74</v>
      </c>
      <c r="S457" t="s">
        <v>74</v>
      </c>
      <c r="T457" t="s">
        <v>9136</v>
      </c>
      <c r="U457" t="s">
        <v>9137</v>
      </c>
      <c r="V457" t="s">
        <v>9138</v>
      </c>
      <c r="W457" t="s">
        <v>9139</v>
      </c>
      <c r="X457" t="s">
        <v>9140</v>
      </c>
      <c r="Y457" t="s">
        <v>9141</v>
      </c>
      <c r="Z457" t="s">
        <v>9142</v>
      </c>
      <c r="AA457" t="s">
        <v>74</v>
      </c>
      <c r="AB457" t="s">
        <v>74</v>
      </c>
      <c r="AC457" t="s">
        <v>9143</v>
      </c>
      <c r="AD457" t="s">
        <v>9144</v>
      </c>
      <c r="AE457" t="s">
        <v>9145</v>
      </c>
      <c r="AF457" t="s">
        <v>74</v>
      </c>
      <c r="AG457">
        <v>23</v>
      </c>
      <c r="AH457">
        <v>5</v>
      </c>
      <c r="AI457">
        <v>5</v>
      </c>
      <c r="AJ457">
        <v>0</v>
      </c>
      <c r="AK457">
        <v>3</v>
      </c>
      <c r="AL457" t="s">
        <v>4154</v>
      </c>
      <c r="AM457" t="s">
        <v>1797</v>
      </c>
      <c r="AN457" t="s">
        <v>4155</v>
      </c>
      <c r="AO457" t="s">
        <v>9146</v>
      </c>
      <c r="AP457" t="s">
        <v>9147</v>
      </c>
      <c r="AQ457" t="s">
        <v>74</v>
      </c>
      <c r="AR457" t="s">
        <v>9148</v>
      </c>
      <c r="AS457" t="s">
        <v>9149</v>
      </c>
      <c r="AT457" t="s">
        <v>2468</v>
      </c>
      <c r="AU457">
        <v>2018</v>
      </c>
      <c r="AV457">
        <v>54</v>
      </c>
      <c r="AW457">
        <v>1</v>
      </c>
      <c r="AX457" t="s">
        <v>74</v>
      </c>
      <c r="AY457" t="s">
        <v>74</v>
      </c>
      <c r="AZ457" t="s">
        <v>74</v>
      </c>
      <c r="BA457" t="s">
        <v>74</v>
      </c>
      <c r="BB457">
        <v>79</v>
      </c>
      <c r="BC457">
        <v>90</v>
      </c>
      <c r="BD457" t="s">
        <v>74</v>
      </c>
      <c r="BE457" t="s">
        <v>9150</v>
      </c>
      <c r="BF457" t="str">
        <f>HYPERLINK("http://dx.doi.org/10.1134/S106935131801007X","http://dx.doi.org/10.1134/S106935131801007X")</f>
        <v>http://dx.doi.org/10.1134/S106935131801007X</v>
      </c>
      <c r="BG457" t="s">
        <v>74</v>
      </c>
      <c r="BH457" t="s">
        <v>74</v>
      </c>
      <c r="BI457">
        <v>12</v>
      </c>
      <c r="BJ457" t="s">
        <v>1148</v>
      </c>
      <c r="BK457" t="s">
        <v>101</v>
      </c>
      <c r="BL457" t="s">
        <v>1148</v>
      </c>
      <c r="BM457" t="s">
        <v>9151</v>
      </c>
      <c r="BN457" t="s">
        <v>74</v>
      </c>
      <c r="BO457" t="s">
        <v>74</v>
      </c>
      <c r="BP457" t="s">
        <v>74</v>
      </c>
      <c r="BQ457" t="s">
        <v>74</v>
      </c>
      <c r="BR457" t="s">
        <v>105</v>
      </c>
      <c r="BS457" t="s">
        <v>9152</v>
      </c>
      <c r="BT457" t="str">
        <f>HYPERLINK("https%3A%2F%2Fwww.webofscience.com%2Fwos%2Fwoscc%2Ffull-record%2FWOS:000423585900007","View Full Record in Web of Science")</f>
        <v>View Full Record in Web of Science</v>
      </c>
    </row>
    <row r="458" spans="1:72" x14ac:dyDescent="0.15">
      <c r="A458" t="s">
        <v>72</v>
      </c>
      <c r="B458" t="s">
        <v>9153</v>
      </c>
      <c r="C458" t="s">
        <v>74</v>
      </c>
      <c r="D458" t="s">
        <v>74</v>
      </c>
      <c r="E458" t="s">
        <v>74</v>
      </c>
      <c r="F458" t="s">
        <v>9154</v>
      </c>
      <c r="G458" t="s">
        <v>74</v>
      </c>
      <c r="H458" t="s">
        <v>74</v>
      </c>
      <c r="I458" t="s">
        <v>9155</v>
      </c>
      <c r="J458" t="s">
        <v>9156</v>
      </c>
      <c r="K458" t="s">
        <v>74</v>
      </c>
      <c r="L458" t="s">
        <v>74</v>
      </c>
      <c r="M458" t="s">
        <v>78</v>
      </c>
      <c r="N458" t="s">
        <v>79</v>
      </c>
      <c r="O458" t="s">
        <v>74</v>
      </c>
      <c r="P458" t="s">
        <v>74</v>
      </c>
      <c r="Q458" t="s">
        <v>74</v>
      </c>
      <c r="R458" t="s">
        <v>74</v>
      </c>
      <c r="S458" t="s">
        <v>74</v>
      </c>
      <c r="T458" t="s">
        <v>9157</v>
      </c>
      <c r="U458" t="s">
        <v>9158</v>
      </c>
      <c r="V458" t="s">
        <v>9159</v>
      </c>
      <c r="W458" t="s">
        <v>9160</v>
      </c>
      <c r="X458" t="s">
        <v>9161</v>
      </c>
      <c r="Y458" t="s">
        <v>9162</v>
      </c>
      <c r="Z458" t="s">
        <v>9163</v>
      </c>
      <c r="AA458" t="s">
        <v>9164</v>
      </c>
      <c r="AB458" t="s">
        <v>9165</v>
      </c>
      <c r="AC458" t="s">
        <v>9166</v>
      </c>
      <c r="AD458" t="s">
        <v>9167</v>
      </c>
      <c r="AE458" t="s">
        <v>9168</v>
      </c>
      <c r="AF458" t="s">
        <v>74</v>
      </c>
      <c r="AG458">
        <v>44</v>
      </c>
      <c r="AH458">
        <v>8</v>
      </c>
      <c r="AI458">
        <v>8</v>
      </c>
      <c r="AJ458">
        <v>1</v>
      </c>
      <c r="AK458">
        <v>20</v>
      </c>
      <c r="AL458" t="s">
        <v>1139</v>
      </c>
      <c r="AM458" t="s">
        <v>1140</v>
      </c>
      <c r="AN458" t="s">
        <v>1141</v>
      </c>
      <c r="AO458" t="s">
        <v>9169</v>
      </c>
      <c r="AP458" t="s">
        <v>9170</v>
      </c>
      <c r="AQ458" t="s">
        <v>74</v>
      </c>
      <c r="AR458" t="s">
        <v>9171</v>
      </c>
      <c r="AS458" t="s">
        <v>9172</v>
      </c>
      <c r="AT458" t="s">
        <v>4251</v>
      </c>
      <c r="AU458">
        <v>2018</v>
      </c>
      <c r="AV458">
        <v>179</v>
      </c>
      <c r="AW458" t="s">
        <v>74</v>
      </c>
      <c r="AX458" t="s">
        <v>74</v>
      </c>
      <c r="AY458" t="s">
        <v>74</v>
      </c>
      <c r="AZ458" t="s">
        <v>74</v>
      </c>
      <c r="BA458" t="s">
        <v>74</v>
      </c>
      <c r="BB458">
        <v>153</v>
      </c>
      <c r="BC458">
        <v>157</v>
      </c>
      <c r="BD458" t="s">
        <v>74</v>
      </c>
      <c r="BE458" t="s">
        <v>9173</v>
      </c>
      <c r="BF458" t="str">
        <f>HYPERLINK("http://dx.doi.org/10.1016/j.quascirev.2017.11.014","http://dx.doi.org/10.1016/j.quascirev.2017.11.014")</f>
        <v>http://dx.doi.org/10.1016/j.quascirev.2017.11.014</v>
      </c>
      <c r="BG458" t="s">
        <v>74</v>
      </c>
      <c r="BH458" t="s">
        <v>74</v>
      </c>
      <c r="BI458">
        <v>5</v>
      </c>
      <c r="BJ458" t="s">
        <v>233</v>
      </c>
      <c r="BK458" t="s">
        <v>101</v>
      </c>
      <c r="BL458" t="s">
        <v>234</v>
      </c>
      <c r="BM458" t="s">
        <v>9174</v>
      </c>
      <c r="BN458" t="s">
        <v>74</v>
      </c>
      <c r="BO458" t="s">
        <v>389</v>
      </c>
      <c r="BP458" t="s">
        <v>74</v>
      </c>
      <c r="BQ458" t="s">
        <v>74</v>
      </c>
      <c r="BR458" t="s">
        <v>105</v>
      </c>
      <c r="BS458" t="s">
        <v>9175</v>
      </c>
      <c r="BT458" t="str">
        <f>HYPERLINK("https%3A%2F%2Fwww.webofscience.com%2Fwos%2Fwoscc%2Ffull-record%2FWOS:000423245600009","View Full Record in Web of Science")</f>
        <v>View Full Record in Web of Science</v>
      </c>
    </row>
    <row r="459" spans="1:72" x14ac:dyDescent="0.15">
      <c r="A459" t="s">
        <v>72</v>
      </c>
      <c r="B459" t="s">
        <v>9176</v>
      </c>
      <c r="C459" t="s">
        <v>74</v>
      </c>
      <c r="D459" t="s">
        <v>74</v>
      </c>
      <c r="E459" t="s">
        <v>74</v>
      </c>
      <c r="F459" t="s">
        <v>9177</v>
      </c>
      <c r="G459" t="s">
        <v>74</v>
      </c>
      <c r="H459" t="s">
        <v>74</v>
      </c>
      <c r="I459" t="s">
        <v>9178</v>
      </c>
      <c r="J459" t="s">
        <v>9179</v>
      </c>
      <c r="K459" t="s">
        <v>74</v>
      </c>
      <c r="L459" t="s">
        <v>74</v>
      </c>
      <c r="M459" t="s">
        <v>78</v>
      </c>
      <c r="N459" t="s">
        <v>79</v>
      </c>
      <c r="O459" t="s">
        <v>74</v>
      </c>
      <c r="P459" t="s">
        <v>74</v>
      </c>
      <c r="Q459" t="s">
        <v>74</v>
      </c>
      <c r="R459" t="s">
        <v>74</v>
      </c>
      <c r="S459" t="s">
        <v>74</v>
      </c>
      <c r="T459" t="s">
        <v>9180</v>
      </c>
      <c r="U459" t="s">
        <v>74</v>
      </c>
      <c r="V459" t="s">
        <v>9181</v>
      </c>
      <c r="W459" t="s">
        <v>9182</v>
      </c>
      <c r="X459" t="s">
        <v>2912</v>
      </c>
      <c r="Y459" t="s">
        <v>9183</v>
      </c>
      <c r="Z459" t="s">
        <v>9184</v>
      </c>
      <c r="AA459" t="s">
        <v>9185</v>
      </c>
      <c r="AB459" t="s">
        <v>9186</v>
      </c>
      <c r="AC459" t="s">
        <v>74</v>
      </c>
      <c r="AD459" t="s">
        <v>74</v>
      </c>
      <c r="AE459" t="s">
        <v>74</v>
      </c>
      <c r="AF459" t="s">
        <v>74</v>
      </c>
      <c r="AG459">
        <v>33</v>
      </c>
      <c r="AH459">
        <v>0</v>
      </c>
      <c r="AI459">
        <v>0</v>
      </c>
      <c r="AJ459">
        <v>1</v>
      </c>
      <c r="AK459">
        <v>21</v>
      </c>
      <c r="AL459" t="s">
        <v>2917</v>
      </c>
      <c r="AM459" t="s">
        <v>1701</v>
      </c>
      <c r="AN459" t="s">
        <v>2918</v>
      </c>
      <c r="AO459" t="s">
        <v>9187</v>
      </c>
      <c r="AP459" t="s">
        <v>9188</v>
      </c>
      <c r="AQ459" t="s">
        <v>74</v>
      </c>
      <c r="AR459" t="s">
        <v>9189</v>
      </c>
      <c r="AS459" t="s">
        <v>9190</v>
      </c>
      <c r="AT459" t="s">
        <v>74</v>
      </c>
      <c r="AU459">
        <v>2018</v>
      </c>
      <c r="AV459">
        <v>72</v>
      </c>
      <c r="AW459">
        <v>1</v>
      </c>
      <c r="AX459" t="s">
        <v>74</v>
      </c>
      <c r="AY459" t="s">
        <v>74</v>
      </c>
      <c r="AZ459" t="s">
        <v>74</v>
      </c>
      <c r="BA459" t="s">
        <v>74</v>
      </c>
      <c r="BB459">
        <v>49</v>
      </c>
      <c r="BC459">
        <v>67</v>
      </c>
      <c r="BD459" t="s">
        <v>74</v>
      </c>
      <c r="BE459" t="s">
        <v>9191</v>
      </c>
      <c r="BF459" t="str">
        <f>HYPERLINK("http://dx.doi.org/10.1080/10357718.2017.1334758","http://dx.doi.org/10.1080/10357718.2017.1334758")</f>
        <v>http://dx.doi.org/10.1080/10357718.2017.1334758</v>
      </c>
      <c r="BG459" t="s">
        <v>74</v>
      </c>
      <c r="BH459" t="s">
        <v>74</v>
      </c>
      <c r="BI459">
        <v>19</v>
      </c>
      <c r="BJ459" t="s">
        <v>9192</v>
      </c>
      <c r="BK459" t="s">
        <v>3136</v>
      </c>
      <c r="BL459" t="s">
        <v>9192</v>
      </c>
      <c r="BM459" t="s">
        <v>9193</v>
      </c>
      <c r="BN459" t="s">
        <v>74</v>
      </c>
      <c r="BO459" t="s">
        <v>74</v>
      </c>
      <c r="BP459" t="s">
        <v>74</v>
      </c>
      <c r="BQ459" t="s">
        <v>74</v>
      </c>
      <c r="BR459" t="s">
        <v>105</v>
      </c>
      <c r="BS459" t="s">
        <v>9194</v>
      </c>
      <c r="BT459" t="str">
        <f>HYPERLINK("https%3A%2F%2Fwww.webofscience.com%2Fwos%2Fwoscc%2Ffull-record%2FWOS:000423371900005","View Full Record in Web of Science")</f>
        <v>View Full Record in Web of Science</v>
      </c>
    </row>
    <row r="460" spans="1:72" x14ac:dyDescent="0.15">
      <c r="A460" t="s">
        <v>72</v>
      </c>
      <c r="B460" t="s">
        <v>9195</v>
      </c>
      <c r="C460" t="s">
        <v>74</v>
      </c>
      <c r="D460" t="s">
        <v>74</v>
      </c>
      <c r="E460" t="s">
        <v>74</v>
      </c>
      <c r="F460" t="s">
        <v>9196</v>
      </c>
      <c r="G460" t="s">
        <v>74</v>
      </c>
      <c r="H460" t="s">
        <v>74</v>
      </c>
      <c r="I460" t="s">
        <v>9197</v>
      </c>
      <c r="J460" t="s">
        <v>9198</v>
      </c>
      <c r="K460" t="s">
        <v>74</v>
      </c>
      <c r="L460" t="s">
        <v>74</v>
      </c>
      <c r="M460" t="s">
        <v>78</v>
      </c>
      <c r="N460" t="s">
        <v>79</v>
      </c>
      <c r="O460" t="s">
        <v>74</v>
      </c>
      <c r="P460" t="s">
        <v>74</v>
      </c>
      <c r="Q460" t="s">
        <v>74</v>
      </c>
      <c r="R460" t="s">
        <v>74</v>
      </c>
      <c r="S460" t="s">
        <v>74</v>
      </c>
      <c r="T460" t="s">
        <v>9199</v>
      </c>
      <c r="U460" t="s">
        <v>9200</v>
      </c>
      <c r="V460" t="s">
        <v>9201</v>
      </c>
      <c r="W460" t="s">
        <v>9202</v>
      </c>
      <c r="X460" t="s">
        <v>9203</v>
      </c>
      <c r="Y460" t="s">
        <v>9204</v>
      </c>
      <c r="Z460" t="s">
        <v>9205</v>
      </c>
      <c r="AA460" t="s">
        <v>9206</v>
      </c>
      <c r="AB460" t="s">
        <v>9207</v>
      </c>
      <c r="AC460" t="s">
        <v>9208</v>
      </c>
      <c r="AD460" t="s">
        <v>9209</v>
      </c>
      <c r="AE460" t="s">
        <v>9210</v>
      </c>
      <c r="AF460" t="s">
        <v>74</v>
      </c>
      <c r="AG460">
        <v>70</v>
      </c>
      <c r="AH460">
        <v>7</v>
      </c>
      <c r="AI460">
        <v>7</v>
      </c>
      <c r="AJ460">
        <v>1</v>
      </c>
      <c r="AK460">
        <v>13</v>
      </c>
      <c r="AL460" t="s">
        <v>1973</v>
      </c>
      <c r="AM460" t="s">
        <v>4347</v>
      </c>
      <c r="AN460" t="s">
        <v>4348</v>
      </c>
      <c r="AO460" t="s">
        <v>9211</v>
      </c>
      <c r="AP460" t="s">
        <v>9212</v>
      </c>
      <c r="AQ460" t="s">
        <v>74</v>
      </c>
      <c r="AR460" t="s">
        <v>9198</v>
      </c>
      <c r="AS460" t="s">
        <v>9213</v>
      </c>
      <c r="AT460" t="s">
        <v>2468</v>
      </c>
      <c r="AU460">
        <v>2018</v>
      </c>
      <c r="AV460">
        <v>137</v>
      </c>
      <c r="AW460" t="s">
        <v>9214</v>
      </c>
      <c r="AX460" t="s">
        <v>74</v>
      </c>
      <c r="AY460" t="s">
        <v>74</v>
      </c>
      <c r="AZ460" t="s">
        <v>74</v>
      </c>
      <c r="BA460" t="s">
        <v>74</v>
      </c>
      <c r="BB460">
        <v>73</v>
      </c>
      <c r="BC460">
        <v>92</v>
      </c>
      <c r="BD460" t="s">
        <v>74</v>
      </c>
      <c r="BE460" t="s">
        <v>9215</v>
      </c>
      <c r="BF460" t="str">
        <f>HYPERLINK("http://dx.doi.org/10.1007/s10533-017-0402-1","http://dx.doi.org/10.1007/s10533-017-0402-1")</f>
        <v>http://dx.doi.org/10.1007/s10533-017-0402-1</v>
      </c>
      <c r="BG460" t="s">
        <v>74</v>
      </c>
      <c r="BH460" t="s">
        <v>74</v>
      </c>
      <c r="BI460">
        <v>20</v>
      </c>
      <c r="BJ460" t="s">
        <v>8658</v>
      </c>
      <c r="BK460" t="s">
        <v>101</v>
      </c>
      <c r="BL460" t="s">
        <v>158</v>
      </c>
      <c r="BM460" t="s">
        <v>9216</v>
      </c>
      <c r="BN460" t="s">
        <v>74</v>
      </c>
      <c r="BO460" t="s">
        <v>389</v>
      </c>
      <c r="BP460" t="s">
        <v>74</v>
      </c>
      <c r="BQ460" t="s">
        <v>74</v>
      </c>
      <c r="BR460" t="s">
        <v>105</v>
      </c>
      <c r="BS460" t="s">
        <v>9217</v>
      </c>
      <c r="BT460" t="str">
        <f>HYPERLINK("https%3A%2F%2Fwww.webofscience.com%2Fwos%2Fwoscc%2Ffull-record%2FWOS:000423362600005","View Full Record in Web of Science")</f>
        <v>View Full Record in Web of Science</v>
      </c>
    </row>
    <row r="461" spans="1:72" x14ac:dyDescent="0.15">
      <c r="A461" t="s">
        <v>72</v>
      </c>
      <c r="B461" t="s">
        <v>9218</v>
      </c>
      <c r="C461" t="s">
        <v>74</v>
      </c>
      <c r="D461" t="s">
        <v>74</v>
      </c>
      <c r="E461" t="s">
        <v>74</v>
      </c>
      <c r="F461" t="s">
        <v>9219</v>
      </c>
      <c r="G461" t="s">
        <v>74</v>
      </c>
      <c r="H461" t="s">
        <v>74</v>
      </c>
      <c r="I461" t="s">
        <v>9220</v>
      </c>
      <c r="J461" t="s">
        <v>9221</v>
      </c>
      <c r="K461" t="s">
        <v>74</v>
      </c>
      <c r="L461" t="s">
        <v>74</v>
      </c>
      <c r="M461" t="s">
        <v>78</v>
      </c>
      <c r="N461" t="s">
        <v>79</v>
      </c>
      <c r="O461" t="s">
        <v>74</v>
      </c>
      <c r="P461" t="s">
        <v>74</v>
      </c>
      <c r="Q461" t="s">
        <v>74</v>
      </c>
      <c r="R461" t="s">
        <v>74</v>
      </c>
      <c r="S461" t="s">
        <v>74</v>
      </c>
      <c r="T461" t="s">
        <v>9222</v>
      </c>
      <c r="U461" t="s">
        <v>9223</v>
      </c>
      <c r="V461" t="s">
        <v>9224</v>
      </c>
      <c r="W461" t="s">
        <v>9225</v>
      </c>
      <c r="X461" t="s">
        <v>9226</v>
      </c>
      <c r="Y461" t="s">
        <v>9227</v>
      </c>
      <c r="Z461" t="s">
        <v>9228</v>
      </c>
      <c r="AA461" t="s">
        <v>9229</v>
      </c>
      <c r="AB461" t="s">
        <v>9230</v>
      </c>
      <c r="AC461" t="s">
        <v>9231</v>
      </c>
      <c r="AD461" t="s">
        <v>9232</v>
      </c>
      <c r="AE461" t="s">
        <v>9233</v>
      </c>
      <c r="AF461" t="s">
        <v>74</v>
      </c>
      <c r="AG461">
        <v>34</v>
      </c>
      <c r="AH461">
        <v>15</v>
      </c>
      <c r="AI461">
        <v>15</v>
      </c>
      <c r="AJ461">
        <v>0</v>
      </c>
      <c r="AK461">
        <v>23</v>
      </c>
      <c r="AL461" t="s">
        <v>9234</v>
      </c>
      <c r="AM461" t="s">
        <v>9235</v>
      </c>
      <c r="AN461" t="s">
        <v>9236</v>
      </c>
      <c r="AO461" t="s">
        <v>9237</v>
      </c>
      <c r="AP461" t="s">
        <v>9238</v>
      </c>
      <c r="AQ461" t="s">
        <v>74</v>
      </c>
      <c r="AR461" t="s">
        <v>9239</v>
      </c>
      <c r="AS461" t="s">
        <v>9240</v>
      </c>
      <c r="AT461" t="s">
        <v>2468</v>
      </c>
      <c r="AU461">
        <v>2018</v>
      </c>
      <c r="AV461">
        <v>15</v>
      </c>
      <c r="AW461">
        <v>1</v>
      </c>
      <c r="AX461" t="s">
        <v>74</v>
      </c>
      <c r="AY461" t="s">
        <v>74</v>
      </c>
      <c r="AZ461" t="s">
        <v>74</v>
      </c>
      <c r="BA461" t="s">
        <v>74</v>
      </c>
      <c r="BB461" t="s">
        <v>74</v>
      </c>
      <c r="BC461" t="s">
        <v>74</v>
      </c>
      <c r="BD461" t="s">
        <v>9241</v>
      </c>
      <c r="BE461" t="s">
        <v>9242</v>
      </c>
      <c r="BF461" t="str">
        <f>HYPERLINK("http://dx.doi.org/10.1002/cbdv.201700425","http://dx.doi.org/10.1002/cbdv.201700425")</f>
        <v>http://dx.doi.org/10.1002/cbdv.201700425</v>
      </c>
      <c r="BG461" t="s">
        <v>74</v>
      </c>
      <c r="BH461" t="s">
        <v>74</v>
      </c>
      <c r="BI461">
        <v>8</v>
      </c>
      <c r="BJ461" t="s">
        <v>9243</v>
      </c>
      <c r="BK461" t="s">
        <v>101</v>
      </c>
      <c r="BL461" t="s">
        <v>9244</v>
      </c>
      <c r="BM461" t="s">
        <v>9245</v>
      </c>
      <c r="BN461">
        <v>29092092</v>
      </c>
      <c r="BO461" t="s">
        <v>74</v>
      </c>
      <c r="BP461" t="s">
        <v>74</v>
      </c>
      <c r="BQ461" t="s">
        <v>74</v>
      </c>
      <c r="BR461" t="s">
        <v>105</v>
      </c>
      <c r="BS461" t="s">
        <v>9246</v>
      </c>
      <c r="BT461" t="str">
        <f>HYPERLINK("https%3A%2F%2Fwww.webofscience.com%2Fwos%2Fwoscc%2Ffull-record%2FWOS:000423433900012","View Full Record in Web of Science")</f>
        <v>View Full Record in Web of Science</v>
      </c>
    </row>
    <row r="462" spans="1:72" x14ac:dyDescent="0.15">
      <c r="A462" t="s">
        <v>72</v>
      </c>
      <c r="B462" t="s">
        <v>9247</v>
      </c>
      <c r="C462" t="s">
        <v>74</v>
      </c>
      <c r="D462" t="s">
        <v>74</v>
      </c>
      <c r="E462" t="s">
        <v>74</v>
      </c>
      <c r="F462" t="s">
        <v>9248</v>
      </c>
      <c r="G462" t="s">
        <v>74</v>
      </c>
      <c r="H462" t="s">
        <v>74</v>
      </c>
      <c r="I462" t="s">
        <v>9249</v>
      </c>
      <c r="J462" t="s">
        <v>9250</v>
      </c>
      <c r="K462" t="s">
        <v>74</v>
      </c>
      <c r="L462" t="s">
        <v>74</v>
      </c>
      <c r="M462" t="s">
        <v>78</v>
      </c>
      <c r="N462" t="s">
        <v>79</v>
      </c>
      <c r="O462" t="s">
        <v>74</v>
      </c>
      <c r="P462" t="s">
        <v>74</v>
      </c>
      <c r="Q462" t="s">
        <v>74</v>
      </c>
      <c r="R462" t="s">
        <v>74</v>
      </c>
      <c r="S462" t="s">
        <v>74</v>
      </c>
      <c r="T462" t="s">
        <v>9251</v>
      </c>
      <c r="U462" t="s">
        <v>9252</v>
      </c>
      <c r="V462" t="s">
        <v>9253</v>
      </c>
      <c r="W462" t="s">
        <v>9254</v>
      </c>
      <c r="X462" t="s">
        <v>2299</v>
      </c>
      <c r="Y462" t="s">
        <v>9255</v>
      </c>
      <c r="Z462" t="s">
        <v>9256</v>
      </c>
      <c r="AA462" t="s">
        <v>9257</v>
      </c>
      <c r="AB462" t="s">
        <v>9258</v>
      </c>
      <c r="AC462" t="s">
        <v>9259</v>
      </c>
      <c r="AD462" t="s">
        <v>2304</v>
      </c>
      <c r="AE462" t="s">
        <v>74</v>
      </c>
      <c r="AF462" t="s">
        <v>74</v>
      </c>
      <c r="AG462">
        <v>16</v>
      </c>
      <c r="AH462">
        <v>4</v>
      </c>
      <c r="AI462">
        <v>4</v>
      </c>
      <c r="AJ462">
        <v>0</v>
      </c>
      <c r="AK462">
        <v>5</v>
      </c>
      <c r="AL462" t="s">
        <v>4663</v>
      </c>
      <c r="AM462" t="s">
        <v>4664</v>
      </c>
      <c r="AN462" t="s">
        <v>4665</v>
      </c>
      <c r="AO462" t="s">
        <v>9260</v>
      </c>
      <c r="AP462" t="s">
        <v>9261</v>
      </c>
      <c r="AQ462" t="s">
        <v>74</v>
      </c>
      <c r="AR462" t="s">
        <v>9262</v>
      </c>
      <c r="AS462" t="s">
        <v>9263</v>
      </c>
      <c r="AT462" t="s">
        <v>2468</v>
      </c>
      <c r="AU462">
        <v>2018</v>
      </c>
      <c r="AV462">
        <v>46</v>
      </c>
      <c r="AW462">
        <v>1</v>
      </c>
      <c r="AX462" t="s">
        <v>74</v>
      </c>
      <c r="AY462" t="s">
        <v>74</v>
      </c>
      <c r="AZ462" t="s">
        <v>74</v>
      </c>
      <c r="BA462" t="s">
        <v>74</v>
      </c>
      <c r="BB462">
        <v>201</v>
      </c>
      <c r="BC462">
        <v>206</v>
      </c>
      <c r="BD462" t="s">
        <v>74</v>
      </c>
      <c r="BE462" t="s">
        <v>9264</v>
      </c>
      <c r="BF462" t="str">
        <f>HYPERLINK("http://dx.doi.org/10.1109/TPS.2017.2772891","http://dx.doi.org/10.1109/TPS.2017.2772891")</f>
        <v>http://dx.doi.org/10.1109/TPS.2017.2772891</v>
      </c>
      <c r="BG462" t="s">
        <v>74</v>
      </c>
      <c r="BH462" t="s">
        <v>74</v>
      </c>
      <c r="BI462">
        <v>6</v>
      </c>
      <c r="BJ462" t="s">
        <v>9265</v>
      </c>
      <c r="BK462" t="s">
        <v>101</v>
      </c>
      <c r="BL462" t="s">
        <v>3782</v>
      </c>
      <c r="BM462" t="s">
        <v>9266</v>
      </c>
      <c r="BN462" t="s">
        <v>74</v>
      </c>
      <c r="BO462" t="s">
        <v>74</v>
      </c>
      <c r="BP462" t="s">
        <v>74</v>
      </c>
      <c r="BQ462" t="s">
        <v>74</v>
      </c>
      <c r="BR462" t="s">
        <v>105</v>
      </c>
      <c r="BS462" t="s">
        <v>9267</v>
      </c>
      <c r="BT462" t="str">
        <f>HYPERLINK("https%3A%2F%2Fwww.webofscience.com%2Fwos%2Fwoscc%2Ffull-record%2FWOS:000422795000026","View Full Record in Web of Science")</f>
        <v>View Full Record in Web of Science</v>
      </c>
    </row>
    <row r="463" spans="1:72" x14ac:dyDescent="0.15">
      <c r="A463" t="s">
        <v>72</v>
      </c>
      <c r="B463" t="s">
        <v>9268</v>
      </c>
      <c r="C463" t="s">
        <v>74</v>
      </c>
      <c r="D463" t="s">
        <v>74</v>
      </c>
      <c r="E463" t="s">
        <v>74</v>
      </c>
      <c r="F463" t="s">
        <v>9269</v>
      </c>
      <c r="G463" t="s">
        <v>74</v>
      </c>
      <c r="H463" t="s">
        <v>74</v>
      </c>
      <c r="I463" t="s">
        <v>9270</v>
      </c>
      <c r="J463" t="s">
        <v>9271</v>
      </c>
      <c r="K463" t="s">
        <v>74</v>
      </c>
      <c r="L463" t="s">
        <v>74</v>
      </c>
      <c r="M463" t="s">
        <v>78</v>
      </c>
      <c r="N463" t="s">
        <v>79</v>
      </c>
      <c r="O463" t="s">
        <v>74</v>
      </c>
      <c r="P463" t="s">
        <v>74</v>
      </c>
      <c r="Q463" t="s">
        <v>74</v>
      </c>
      <c r="R463" t="s">
        <v>74</v>
      </c>
      <c r="S463" t="s">
        <v>74</v>
      </c>
      <c r="T463" t="s">
        <v>9272</v>
      </c>
      <c r="U463" t="s">
        <v>9273</v>
      </c>
      <c r="V463" t="s">
        <v>9274</v>
      </c>
      <c r="W463" t="s">
        <v>9275</v>
      </c>
      <c r="X463" t="s">
        <v>9276</v>
      </c>
      <c r="Y463" t="s">
        <v>9277</v>
      </c>
      <c r="Z463" t="s">
        <v>9278</v>
      </c>
      <c r="AA463" t="s">
        <v>9279</v>
      </c>
      <c r="AB463" t="s">
        <v>9280</v>
      </c>
      <c r="AC463" t="s">
        <v>9281</v>
      </c>
      <c r="AD463" t="s">
        <v>9282</v>
      </c>
      <c r="AE463" t="s">
        <v>9283</v>
      </c>
      <c r="AF463" t="s">
        <v>74</v>
      </c>
      <c r="AG463">
        <v>54</v>
      </c>
      <c r="AH463">
        <v>2</v>
      </c>
      <c r="AI463">
        <v>3</v>
      </c>
      <c r="AJ463">
        <v>2</v>
      </c>
      <c r="AK463">
        <v>42</v>
      </c>
      <c r="AL463" t="s">
        <v>4663</v>
      </c>
      <c r="AM463" t="s">
        <v>4664</v>
      </c>
      <c r="AN463" t="s">
        <v>4665</v>
      </c>
      <c r="AO463" t="s">
        <v>9284</v>
      </c>
      <c r="AP463" t="s">
        <v>9285</v>
      </c>
      <c r="AQ463" t="s">
        <v>74</v>
      </c>
      <c r="AR463" t="s">
        <v>9286</v>
      </c>
      <c r="AS463" t="s">
        <v>9287</v>
      </c>
      <c r="AT463" t="s">
        <v>2468</v>
      </c>
      <c r="AU463">
        <v>2018</v>
      </c>
      <c r="AV463">
        <v>11</v>
      </c>
      <c r="AW463">
        <v>1</v>
      </c>
      <c r="AX463" t="s">
        <v>74</v>
      </c>
      <c r="AY463" t="s">
        <v>74</v>
      </c>
      <c r="AZ463" t="s">
        <v>74</v>
      </c>
      <c r="BA463" t="s">
        <v>74</v>
      </c>
      <c r="BB463">
        <v>57</v>
      </c>
      <c r="BC463">
        <v>67</v>
      </c>
      <c r="BD463" t="s">
        <v>74</v>
      </c>
      <c r="BE463" t="s">
        <v>9288</v>
      </c>
      <c r="BF463" t="str">
        <f>HYPERLINK("http://dx.doi.org/10.1109/JSTARS.2017.2755502","http://dx.doi.org/10.1109/JSTARS.2017.2755502")</f>
        <v>http://dx.doi.org/10.1109/JSTARS.2017.2755502</v>
      </c>
      <c r="BG463" t="s">
        <v>74</v>
      </c>
      <c r="BH463" t="s">
        <v>74</v>
      </c>
      <c r="BI463">
        <v>11</v>
      </c>
      <c r="BJ463" t="s">
        <v>9289</v>
      </c>
      <c r="BK463" t="s">
        <v>101</v>
      </c>
      <c r="BL463" t="s">
        <v>9290</v>
      </c>
      <c r="BM463" t="s">
        <v>9291</v>
      </c>
      <c r="BN463" t="s">
        <v>74</v>
      </c>
      <c r="BO463" t="s">
        <v>74</v>
      </c>
      <c r="BP463" t="s">
        <v>74</v>
      </c>
      <c r="BQ463" t="s">
        <v>74</v>
      </c>
      <c r="BR463" t="s">
        <v>105</v>
      </c>
      <c r="BS463" t="s">
        <v>9292</v>
      </c>
      <c r="BT463" t="str">
        <f>HYPERLINK("https%3A%2F%2Fwww.webofscience.com%2Fwos%2Fwoscc%2Ffull-record%2FWOS:000422950700006","View Full Record in Web of Science")</f>
        <v>View Full Record in Web of Science</v>
      </c>
    </row>
    <row r="464" spans="1:72" x14ac:dyDescent="0.15">
      <c r="A464" t="s">
        <v>72</v>
      </c>
      <c r="B464" t="s">
        <v>9293</v>
      </c>
      <c r="C464" t="s">
        <v>74</v>
      </c>
      <c r="D464" t="s">
        <v>74</v>
      </c>
      <c r="E464" t="s">
        <v>74</v>
      </c>
      <c r="F464" t="s">
        <v>9294</v>
      </c>
      <c r="G464" t="s">
        <v>74</v>
      </c>
      <c r="H464" t="s">
        <v>74</v>
      </c>
      <c r="I464" t="s">
        <v>9295</v>
      </c>
      <c r="J464" t="s">
        <v>9296</v>
      </c>
      <c r="K464" t="s">
        <v>74</v>
      </c>
      <c r="L464" t="s">
        <v>74</v>
      </c>
      <c r="M464" t="s">
        <v>78</v>
      </c>
      <c r="N464" t="s">
        <v>79</v>
      </c>
      <c r="O464" t="s">
        <v>74</v>
      </c>
      <c r="P464" t="s">
        <v>74</v>
      </c>
      <c r="Q464" t="s">
        <v>74</v>
      </c>
      <c r="R464" t="s">
        <v>74</v>
      </c>
      <c r="S464" t="s">
        <v>74</v>
      </c>
      <c r="T464" t="s">
        <v>9297</v>
      </c>
      <c r="U464" t="s">
        <v>9298</v>
      </c>
      <c r="V464" t="s">
        <v>9299</v>
      </c>
      <c r="W464" t="s">
        <v>9300</v>
      </c>
      <c r="X464" t="s">
        <v>9301</v>
      </c>
      <c r="Y464" t="s">
        <v>9302</v>
      </c>
      <c r="Z464" t="s">
        <v>223</v>
      </c>
      <c r="AA464" t="s">
        <v>9303</v>
      </c>
      <c r="AB464" t="s">
        <v>9304</v>
      </c>
      <c r="AC464" t="s">
        <v>9305</v>
      </c>
      <c r="AD464" t="s">
        <v>9306</v>
      </c>
      <c r="AE464" t="s">
        <v>9307</v>
      </c>
      <c r="AF464" t="s">
        <v>74</v>
      </c>
      <c r="AG464">
        <v>45</v>
      </c>
      <c r="AH464">
        <v>8</v>
      </c>
      <c r="AI464">
        <v>9</v>
      </c>
      <c r="AJ464">
        <v>1</v>
      </c>
      <c r="AK464">
        <v>3</v>
      </c>
      <c r="AL464" t="s">
        <v>1973</v>
      </c>
      <c r="AM464" t="s">
        <v>1797</v>
      </c>
      <c r="AN464" t="s">
        <v>5588</v>
      </c>
      <c r="AO464" t="s">
        <v>9308</v>
      </c>
      <c r="AP464" t="s">
        <v>9309</v>
      </c>
      <c r="AQ464" t="s">
        <v>74</v>
      </c>
      <c r="AR464" t="s">
        <v>9310</v>
      </c>
      <c r="AS464" t="s">
        <v>9311</v>
      </c>
      <c r="AT464" t="s">
        <v>2468</v>
      </c>
      <c r="AU464">
        <v>2018</v>
      </c>
      <c r="AV464">
        <v>50</v>
      </c>
      <c r="AW464" t="s">
        <v>9214</v>
      </c>
      <c r="AX464" t="s">
        <v>74</v>
      </c>
      <c r="AY464" t="s">
        <v>74</v>
      </c>
      <c r="AZ464" t="s">
        <v>74</v>
      </c>
      <c r="BA464" t="s">
        <v>74</v>
      </c>
      <c r="BB464">
        <v>51</v>
      </c>
      <c r="BC464">
        <v>65</v>
      </c>
      <c r="BD464" t="s">
        <v>74</v>
      </c>
      <c r="BE464" t="s">
        <v>9312</v>
      </c>
      <c r="BF464" t="str">
        <f>HYPERLINK("http://dx.doi.org/10.1007/s00382-017-3581-5","http://dx.doi.org/10.1007/s00382-017-3581-5")</f>
        <v>http://dx.doi.org/10.1007/s00382-017-3581-5</v>
      </c>
      <c r="BG464" t="s">
        <v>74</v>
      </c>
      <c r="BH464" t="s">
        <v>74</v>
      </c>
      <c r="BI464">
        <v>15</v>
      </c>
      <c r="BJ464" t="s">
        <v>430</v>
      </c>
      <c r="BK464" t="s">
        <v>101</v>
      </c>
      <c r="BL464" t="s">
        <v>430</v>
      </c>
      <c r="BM464" t="s">
        <v>9313</v>
      </c>
      <c r="BN464" t="s">
        <v>74</v>
      </c>
      <c r="BO464" t="s">
        <v>1751</v>
      </c>
      <c r="BP464" t="s">
        <v>74</v>
      </c>
      <c r="BQ464" t="s">
        <v>74</v>
      </c>
      <c r="BR464" t="s">
        <v>105</v>
      </c>
      <c r="BS464" t="s">
        <v>9314</v>
      </c>
      <c r="BT464" t="str">
        <f>HYPERLINK("https%3A%2F%2Fwww.webofscience.com%2Fwos%2Fwoscc%2Ffull-record%2FWOS:000422908700004","View Full Record in Web of Science")</f>
        <v>View Full Record in Web of Science</v>
      </c>
    </row>
    <row r="465" spans="1:72" x14ac:dyDescent="0.15">
      <c r="A465" t="s">
        <v>72</v>
      </c>
      <c r="B465" t="s">
        <v>9315</v>
      </c>
      <c r="C465" t="s">
        <v>74</v>
      </c>
      <c r="D465" t="s">
        <v>74</v>
      </c>
      <c r="E465" t="s">
        <v>74</v>
      </c>
      <c r="F465" t="s">
        <v>9316</v>
      </c>
      <c r="G465" t="s">
        <v>74</v>
      </c>
      <c r="H465" t="s">
        <v>74</v>
      </c>
      <c r="I465" t="s">
        <v>9317</v>
      </c>
      <c r="J465" t="s">
        <v>9318</v>
      </c>
      <c r="K465" t="s">
        <v>74</v>
      </c>
      <c r="L465" t="s">
        <v>74</v>
      </c>
      <c r="M465" t="s">
        <v>78</v>
      </c>
      <c r="N465" t="s">
        <v>79</v>
      </c>
      <c r="O465" t="s">
        <v>74</v>
      </c>
      <c r="P465" t="s">
        <v>74</v>
      </c>
      <c r="Q465" t="s">
        <v>74</v>
      </c>
      <c r="R465" t="s">
        <v>74</v>
      </c>
      <c r="S465" t="s">
        <v>74</v>
      </c>
      <c r="T465" t="s">
        <v>9319</v>
      </c>
      <c r="U465" t="s">
        <v>9320</v>
      </c>
      <c r="V465" t="s">
        <v>9321</v>
      </c>
      <c r="W465" t="s">
        <v>9322</v>
      </c>
      <c r="X465" t="s">
        <v>9323</v>
      </c>
      <c r="Y465" t="s">
        <v>9324</v>
      </c>
      <c r="Z465" t="s">
        <v>9325</v>
      </c>
      <c r="AA465" t="s">
        <v>9326</v>
      </c>
      <c r="AB465" t="s">
        <v>9327</v>
      </c>
      <c r="AC465" t="s">
        <v>9328</v>
      </c>
      <c r="AD465" t="s">
        <v>9329</v>
      </c>
      <c r="AE465" t="s">
        <v>9330</v>
      </c>
      <c r="AF465" t="s">
        <v>74</v>
      </c>
      <c r="AG465">
        <v>22</v>
      </c>
      <c r="AH465">
        <v>6</v>
      </c>
      <c r="AI465">
        <v>8</v>
      </c>
      <c r="AJ465">
        <v>0</v>
      </c>
      <c r="AK465">
        <v>7</v>
      </c>
      <c r="AL465" t="s">
        <v>8694</v>
      </c>
      <c r="AM465" t="s">
        <v>1140</v>
      </c>
      <c r="AN465" t="s">
        <v>8695</v>
      </c>
      <c r="AO465" t="s">
        <v>9331</v>
      </c>
      <c r="AP465" t="s">
        <v>9332</v>
      </c>
      <c r="AQ465" t="s">
        <v>74</v>
      </c>
      <c r="AR465" t="s">
        <v>9333</v>
      </c>
      <c r="AS465" t="s">
        <v>9334</v>
      </c>
      <c r="AT465" t="s">
        <v>2468</v>
      </c>
      <c r="AU465">
        <v>2018</v>
      </c>
      <c r="AV465">
        <v>38</v>
      </c>
      <c r="AW465">
        <v>1</v>
      </c>
      <c r="AX465" t="s">
        <v>74</v>
      </c>
      <c r="AY465" t="s">
        <v>74</v>
      </c>
      <c r="AZ465" t="s">
        <v>74</v>
      </c>
      <c r="BA465" t="s">
        <v>74</v>
      </c>
      <c r="BB465">
        <v>107</v>
      </c>
      <c r="BC465">
        <v>118</v>
      </c>
      <c r="BD465" t="s">
        <v>74</v>
      </c>
      <c r="BE465" t="s">
        <v>9335</v>
      </c>
      <c r="BF465" t="str">
        <f>HYPERLINK("http://dx.doi.org/10.1093/jcbiol/rux091","http://dx.doi.org/10.1093/jcbiol/rux091")</f>
        <v>http://dx.doi.org/10.1093/jcbiol/rux091</v>
      </c>
      <c r="BG465" t="s">
        <v>74</v>
      </c>
      <c r="BH465" t="s">
        <v>74</v>
      </c>
      <c r="BI465">
        <v>12</v>
      </c>
      <c r="BJ465" t="s">
        <v>9336</v>
      </c>
      <c r="BK465" t="s">
        <v>101</v>
      </c>
      <c r="BL465" t="s">
        <v>9336</v>
      </c>
      <c r="BM465" t="s">
        <v>9337</v>
      </c>
      <c r="BN465" t="s">
        <v>74</v>
      </c>
      <c r="BO465" t="s">
        <v>306</v>
      </c>
      <c r="BP465" t="s">
        <v>74</v>
      </c>
      <c r="BQ465" t="s">
        <v>74</v>
      </c>
      <c r="BR465" t="s">
        <v>105</v>
      </c>
      <c r="BS465" t="s">
        <v>9338</v>
      </c>
      <c r="BT465" t="str">
        <f>HYPERLINK("https%3A%2F%2Fwww.webofscience.com%2Fwos%2Fwoscc%2Ffull-record%2FWOS:000423165300012","View Full Record in Web of Science")</f>
        <v>View Full Record in Web of Science</v>
      </c>
    </row>
    <row r="466" spans="1:72" x14ac:dyDescent="0.15">
      <c r="A466" t="s">
        <v>72</v>
      </c>
      <c r="B466" t="s">
        <v>8459</v>
      </c>
      <c r="C466" t="s">
        <v>74</v>
      </c>
      <c r="D466" t="s">
        <v>74</v>
      </c>
      <c r="E466" t="s">
        <v>74</v>
      </c>
      <c r="F466" t="s">
        <v>8459</v>
      </c>
      <c r="G466" t="s">
        <v>74</v>
      </c>
      <c r="H466" t="s">
        <v>74</v>
      </c>
      <c r="I466" t="s">
        <v>9339</v>
      </c>
      <c r="J466" t="s">
        <v>9340</v>
      </c>
      <c r="K466" t="s">
        <v>74</v>
      </c>
      <c r="L466" t="s">
        <v>74</v>
      </c>
      <c r="M466" t="s">
        <v>78</v>
      </c>
      <c r="N466" t="s">
        <v>6137</v>
      </c>
      <c r="O466" t="s">
        <v>74</v>
      </c>
      <c r="P466" t="s">
        <v>74</v>
      </c>
      <c r="Q466" t="s">
        <v>74</v>
      </c>
      <c r="R466" t="s">
        <v>74</v>
      </c>
      <c r="S466" t="s">
        <v>74</v>
      </c>
      <c r="T466" t="s">
        <v>74</v>
      </c>
      <c r="U466" t="s">
        <v>74</v>
      </c>
      <c r="V466" t="s">
        <v>74</v>
      </c>
      <c r="W466" t="s">
        <v>74</v>
      </c>
      <c r="X466" t="s">
        <v>74</v>
      </c>
      <c r="Y466" t="s">
        <v>74</v>
      </c>
      <c r="Z466" t="s">
        <v>74</v>
      </c>
      <c r="AA466" t="s">
        <v>74</v>
      </c>
      <c r="AB466" t="s">
        <v>74</v>
      </c>
      <c r="AC466" t="s">
        <v>74</v>
      </c>
      <c r="AD466" t="s">
        <v>74</v>
      </c>
      <c r="AE466" t="s">
        <v>74</v>
      </c>
      <c r="AF466" t="s">
        <v>74</v>
      </c>
      <c r="AG466">
        <v>0</v>
      </c>
      <c r="AH466">
        <v>0</v>
      </c>
      <c r="AI466">
        <v>0</v>
      </c>
      <c r="AJ466">
        <v>0</v>
      </c>
      <c r="AK466">
        <v>0</v>
      </c>
      <c r="AL466" t="s">
        <v>4270</v>
      </c>
      <c r="AM466" t="s">
        <v>4271</v>
      </c>
      <c r="AN466" t="s">
        <v>4272</v>
      </c>
      <c r="AO466" t="s">
        <v>9341</v>
      </c>
      <c r="AP466" t="s">
        <v>9342</v>
      </c>
      <c r="AQ466" t="s">
        <v>74</v>
      </c>
      <c r="AR466" t="s">
        <v>9340</v>
      </c>
      <c r="AS466" t="s">
        <v>9343</v>
      </c>
      <c r="AT466" t="s">
        <v>2468</v>
      </c>
      <c r="AU466">
        <v>2018</v>
      </c>
      <c r="AV466">
        <v>73</v>
      </c>
      <c r="AW466">
        <v>1</v>
      </c>
      <c r="AX466" t="s">
        <v>74</v>
      </c>
      <c r="AY466" t="s">
        <v>74</v>
      </c>
      <c r="AZ466" t="s">
        <v>74</v>
      </c>
      <c r="BA466" t="s">
        <v>74</v>
      </c>
      <c r="BB466">
        <v>2</v>
      </c>
      <c r="BC466">
        <v>2</v>
      </c>
      <c r="BD466" t="s">
        <v>74</v>
      </c>
      <c r="BE466" t="s">
        <v>74</v>
      </c>
      <c r="BF466" t="s">
        <v>74</v>
      </c>
      <c r="BG466" t="s">
        <v>74</v>
      </c>
      <c r="BH466" t="s">
        <v>74</v>
      </c>
      <c r="BI466">
        <v>1</v>
      </c>
      <c r="BJ466" t="s">
        <v>430</v>
      </c>
      <c r="BK466" t="s">
        <v>101</v>
      </c>
      <c r="BL466" t="s">
        <v>430</v>
      </c>
      <c r="BM466" t="s">
        <v>9344</v>
      </c>
      <c r="BN466" t="s">
        <v>74</v>
      </c>
      <c r="BO466" t="s">
        <v>74</v>
      </c>
      <c r="BP466" t="s">
        <v>74</v>
      </c>
      <c r="BQ466" t="s">
        <v>74</v>
      </c>
      <c r="BR466" t="s">
        <v>105</v>
      </c>
      <c r="BS466" t="s">
        <v>9345</v>
      </c>
      <c r="BT466" t="str">
        <f>HYPERLINK("https%3A%2F%2Fwww.webofscience.com%2Fwos%2Fwoscc%2Ffull-record%2FWOS:000419759900003","View Full Record in Web of Science")</f>
        <v>View Full Record in Web of Science</v>
      </c>
    </row>
    <row r="467" spans="1:72" x14ac:dyDescent="0.15">
      <c r="A467" t="s">
        <v>72</v>
      </c>
      <c r="B467" t="s">
        <v>9346</v>
      </c>
      <c r="C467" t="s">
        <v>74</v>
      </c>
      <c r="D467" t="s">
        <v>74</v>
      </c>
      <c r="E467" t="s">
        <v>74</v>
      </c>
      <c r="F467" t="s">
        <v>9347</v>
      </c>
      <c r="G467" t="s">
        <v>74</v>
      </c>
      <c r="H467" t="s">
        <v>74</v>
      </c>
      <c r="I467" t="s">
        <v>9348</v>
      </c>
      <c r="J467" t="s">
        <v>9349</v>
      </c>
      <c r="K467" t="s">
        <v>74</v>
      </c>
      <c r="L467" t="s">
        <v>74</v>
      </c>
      <c r="M467" t="s">
        <v>78</v>
      </c>
      <c r="N467" t="s">
        <v>79</v>
      </c>
      <c r="O467" t="s">
        <v>74</v>
      </c>
      <c r="P467" t="s">
        <v>74</v>
      </c>
      <c r="Q467" t="s">
        <v>74</v>
      </c>
      <c r="R467" t="s">
        <v>74</v>
      </c>
      <c r="S467" t="s">
        <v>74</v>
      </c>
      <c r="T467" t="s">
        <v>9350</v>
      </c>
      <c r="U467" t="s">
        <v>9351</v>
      </c>
      <c r="V467" t="s">
        <v>9352</v>
      </c>
      <c r="W467" t="s">
        <v>9353</v>
      </c>
      <c r="X467" t="s">
        <v>9354</v>
      </c>
      <c r="Y467" t="s">
        <v>9355</v>
      </c>
      <c r="Z467" t="s">
        <v>9356</v>
      </c>
      <c r="AA467" t="s">
        <v>9357</v>
      </c>
      <c r="AB467" t="s">
        <v>9358</v>
      </c>
      <c r="AC467" t="s">
        <v>9359</v>
      </c>
      <c r="AD467" t="s">
        <v>9359</v>
      </c>
      <c r="AE467" t="s">
        <v>9360</v>
      </c>
      <c r="AF467" t="s">
        <v>74</v>
      </c>
      <c r="AG467">
        <v>31</v>
      </c>
      <c r="AH467">
        <v>2</v>
      </c>
      <c r="AI467">
        <v>2</v>
      </c>
      <c r="AJ467">
        <v>0</v>
      </c>
      <c r="AK467">
        <v>3</v>
      </c>
      <c r="AL467" t="s">
        <v>4270</v>
      </c>
      <c r="AM467" t="s">
        <v>4271</v>
      </c>
      <c r="AN467" t="s">
        <v>4272</v>
      </c>
      <c r="AO467" t="s">
        <v>9361</v>
      </c>
      <c r="AP467" t="s">
        <v>9362</v>
      </c>
      <c r="AQ467" t="s">
        <v>74</v>
      </c>
      <c r="AR467" t="s">
        <v>9363</v>
      </c>
      <c r="AS467" t="s">
        <v>9363</v>
      </c>
      <c r="AT467" t="s">
        <v>2468</v>
      </c>
      <c r="AU467">
        <v>2018</v>
      </c>
      <c r="AV467">
        <v>10</v>
      </c>
      <c r="AW467">
        <v>1</v>
      </c>
      <c r="AX467" t="s">
        <v>74</v>
      </c>
      <c r="AY467" t="s">
        <v>74</v>
      </c>
      <c r="AZ467" t="s">
        <v>74</v>
      </c>
      <c r="BA467" t="s">
        <v>74</v>
      </c>
      <c r="BB467">
        <v>27</v>
      </c>
      <c r="BC467">
        <v>31</v>
      </c>
      <c r="BD467" t="s">
        <v>74</v>
      </c>
      <c r="BE467" t="s">
        <v>9364</v>
      </c>
      <c r="BF467" t="str">
        <f>HYPERLINK("http://dx.doi.org/10.1111/luts.12137","http://dx.doi.org/10.1111/luts.12137")</f>
        <v>http://dx.doi.org/10.1111/luts.12137</v>
      </c>
      <c r="BG467" t="s">
        <v>74</v>
      </c>
      <c r="BH467" t="s">
        <v>74</v>
      </c>
      <c r="BI467">
        <v>5</v>
      </c>
      <c r="BJ467" t="s">
        <v>9365</v>
      </c>
      <c r="BK467" t="s">
        <v>101</v>
      </c>
      <c r="BL467" t="s">
        <v>9365</v>
      </c>
      <c r="BM467" t="s">
        <v>9366</v>
      </c>
      <c r="BN467">
        <v>27438338</v>
      </c>
      <c r="BO467" t="s">
        <v>74</v>
      </c>
      <c r="BP467" t="s">
        <v>74</v>
      </c>
      <c r="BQ467" t="s">
        <v>74</v>
      </c>
      <c r="BR467" t="s">
        <v>105</v>
      </c>
      <c r="BS467" t="s">
        <v>9367</v>
      </c>
      <c r="BT467" t="str">
        <f>HYPERLINK("https%3A%2F%2Fwww.webofscience.com%2Fwos%2Fwoscc%2Ffull-record%2FWOS:000422740200005","View Full Record in Web of Science")</f>
        <v>View Full Record in Web of Science</v>
      </c>
    </row>
    <row r="468" spans="1:72" x14ac:dyDescent="0.15">
      <c r="A468" t="s">
        <v>72</v>
      </c>
      <c r="B468" t="s">
        <v>9368</v>
      </c>
      <c r="C468" t="s">
        <v>74</v>
      </c>
      <c r="D468" t="s">
        <v>74</v>
      </c>
      <c r="E468" t="s">
        <v>74</v>
      </c>
      <c r="F468" t="s">
        <v>9369</v>
      </c>
      <c r="G468" t="s">
        <v>74</v>
      </c>
      <c r="H468" t="s">
        <v>74</v>
      </c>
      <c r="I468" t="s">
        <v>9370</v>
      </c>
      <c r="J468" t="s">
        <v>9371</v>
      </c>
      <c r="K468" t="s">
        <v>74</v>
      </c>
      <c r="L468" t="s">
        <v>74</v>
      </c>
      <c r="M468" t="s">
        <v>78</v>
      </c>
      <c r="N468" t="s">
        <v>79</v>
      </c>
      <c r="O468" t="s">
        <v>74</v>
      </c>
      <c r="P468" t="s">
        <v>74</v>
      </c>
      <c r="Q468" t="s">
        <v>74</v>
      </c>
      <c r="R468" t="s">
        <v>74</v>
      </c>
      <c r="S468" t="s">
        <v>74</v>
      </c>
      <c r="T468" t="s">
        <v>9372</v>
      </c>
      <c r="U468" t="s">
        <v>9373</v>
      </c>
      <c r="V468" t="s">
        <v>9374</v>
      </c>
      <c r="W468" t="s">
        <v>9375</v>
      </c>
      <c r="X468" t="s">
        <v>9376</v>
      </c>
      <c r="Y468" t="s">
        <v>9377</v>
      </c>
      <c r="Z468" t="s">
        <v>9378</v>
      </c>
      <c r="AA468" t="s">
        <v>9379</v>
      </c>
      <c r="AB468" t="s">
        <v>9380</v>
      </c>
      <c r="AC468" t="s">
        <v>9381</v>
      </c>
      <c r="AD468" t="s">
        <v>9382</v>
      </c>
      <c r="AE468" t="s">
        <v>9383</v>
      </c>
      <c r="AF468" t="s">
        <v>74</v>
      </c>
      <c r="AG468">
        <v>43</v>
      </c>
      <c r="AH468">
        <v>25</v>
      </c>
      <c r="AI468">
        <v>28</v>
      </c>
      <c r="AJ468">
        <v>3</v>
      </c>
      <c r="AK468">
        <v>35</v>
      </c>
      <c r="AL468" t="s">
        <v>3906</v>
      </c>
      <c r="AM468" t="s">
        <v>3907</v>
      </c>
      <c r="AN468" t="s">
        <v>3908</v>
      </c>
      <c r="AO468" t="s">
        <v>9384</v>
      </c>
      <c r="AP468" t="s">
        <v>9385</v>
      </c>
      <c r="AQ468" t="s">
        <v>74</v>
      </c>
      <c r="AR468" t="s">
        <v>9386</v>
      </c>
      <c r="AS468" t="s">
        <v>9387</v>
      </c>
      <c r="AT468" t="s">
        <v>2468</v>
      </c>
      <c r="AU468">
        <v>2018</v>
      </c>
      <c r="AV468">
        <v>45</v>
      </c>
      <c r="AW468">
        <v>1</v>
      </c>
      <c r="AX468" t="s">
        <v>74</v>
      </c>
      <c r="AY468" t="s">
        <v>74</v>
      </c>
      <c r="AZ468" t="s">
        <v>74</v>
      </c>
      <c r="BA468" t="s">
        <v>74</v>
      </c>
      <c r="BB468">
        <v>15</v>
      </c>
      <c r="BC468">
        <v>23</v>
      </c>
      <c r="BD468" t="s">
        <v>74</v>
      </c>
      <c r="BE468" t="s">
        <v>9388</v>
      </c>
      <c r="BF468" t="str">
        <f>HYPERLINK("http://dx.doi.org/10.1007/s10295-017-1987-z","http://dx.doi.org/10.1007/s10295-017-1987-z")</f>
        <v>http://dx.doi.org/10.1007/s10295-017-1987-z</v>
      </c>
      <c r="BG468" t="s">
        <v>74</v>
      </c>
      <c r="BH468" t="s">
        <v>74</v>
      </c>
      <c r="BI468">
        <v>9</v>
      </c>
      <c r="BJ468" t="s">
        <v>815</v>
      </c>
      <c r="BK468" t="s">
        <v>101</v>
      </c>
      <c r="BL468" t="s">
        <v>815</v>
      </c>
      <c r="BM468" t="s">
        <v>9389</v>
      </c>
      <c r="BN468">
        <v>29116430</v>
      </c>
      <c r="BO468" t="s">
        <v>306</v>
      </c>
      <c r="BP468" t="s">
        <v>74</v>
      </c>
      <c r="BQ468" t="s">
        <v>74</v>
      </c>
      <c r="BR468" t="s">
        <v>105</v>
      </c>
      <c r="BS468" t="s">
        <v>9390</v>
      </c>
      <c r="BT468" t="str">
        <f>HYPERLINK("https%3A%2F%2Fwww.webofscience.com%2Fwos%2Fwoscc%2Ffull-record%2FWOS:000419898200002","View Full Record in Web of Science")</f>
        <v>View Full Record in Web of Science</v>
      </c>
    </row>
    <row r="469" spans="1:72" x14ac:dyDescent="0.15">
      <c r="A469" t="s">
        <v>72</v>
      </c>
      <c r="B469" t="s">
        <v>9391</v>
      </c>
      <c r="C469" t="s">
        <v>74</v>
      </c>
      <c r="D469" t="s">
        <v>74</v>
      </c>
      <c r="E469" t="s">
        <v>74</v>
      </c>
      <c r="F469" t="s">
        <v>9392</v>
      </c>
      <c r="G469" t="s">
        <v>74</v>
      </c>
      <c r="H469" t="s">
        <v>74</v>
      </c>
      <c r="I469" t="s">
        <v>9393</v>
      </c>
      <c r="J469" t="s">
        <v>9394</v>
      </c>
      <c r="K469" t="s">
        <v>74</v>
      </c>
      <c r="L469" t="s">
        <v>74</v>
      </c>
      <c r="M469" t="s">
        <v>78</v>
      </c>
      <c r="N469" t="s">
        <v>79</v>
      </c>
      <c r="O469" t="s">
        <v>74</v>
      </c>
      <c r="P469" t="s">
        <v>74</v>
      </c>
      <c r="Q469" t="s">
        <v>74</v>
      </c>
      <c r="R469" t="s">
        <v>74</v>
      </c>
      <c r="S469" t="s">
        <v>74</v>
      </c>
      <c r="T469" t="s">
        <v>74</v>
      </c>
      <c r="U469" t="s">
        <v>9395</v>
      </c>
      <c r="V469" t="s">
        <v>9396</v>
      </c>
      <c r="W469" t="s">
        <v>9397</v>
      </c>
      <c r="X469" t="s">
        <v>9398</v>
      </c>
      <c r="Y469" t="s">
        <v>9399</v>
      </c>
      <c r="Z469" t="s">
        <v>9400</v>
      </c>
      <c r="AA469" t="s">
        <v>9401</v>
      </c>
      <c r="AB469" t="s">
        <v>9402</v>
      </c>
      <c r="AC469" t="s">
        <v>9403</v>
      </c>
      <c r="AD469" t="s">
        <v>9404</v>
      </c>
      <c r="AE469" t="s">
        <v>9405</v>
      </c>
      <c r="AF469" t="s">
        <v>74</v>
      </c>
      <c r="AG469">
        <v>93</v>
      </c>
      <c r="AH469">
        <v>8</v>
      </c>
      <c r="AI469">
        <v>12</v>
      </c>
      <c r="AJ469">
        <v>1</v>
      </c>
      <c r="AK469">
        <v>13</v>
      </c>
      <c r="AL469" t="s">
        <v>4270</v>
      </c>
      <c r="AM469" t="s">
        <v>4271</v>
      </c>
      <c r="AN469" t="s">
        <v>4272</v>
      </c>
      <c r="AO469" t="s">
        <v>9406</v>
      </c>
      <c r="AP469" t="s">
        <v>9407</v>
      </c>
      <c r="AQ469" t="s">
        <v>74</v>
      </c>
      <c r="AR469" t="s">
        <v>9394</v>
      </c>
      <c r="AS469" t="s">
        <v>9408</v>
      </c>
      <c r="AT469" t="s">
        <v>2468</v>
      </c>
      <c r="AU469">
        <v>2018</v>
      </c>
      <c r="AV469">
        <v>16</v>
      </c>
      <c r="AW469">
        <v>1</v>
      </c>
      <c r="AX469" t="s">
        <v>74</v>
      </c>
      <c r="AY469" t="s">
        <v>74</v>
      </c>
      <c r="AZ469" t="s">
        <v>74</v>
      </c>
      <c r="BA469" t="s">
        <v>74</v>
      </c>
      <c r="BB469">
        <v>62</v>
      </c>
      <c r="BC469">
        <v>79</v>
      </c>
      <c r="BD469" t="s">
        <v>74</v>
      </c>
      <c r="BE469" t="s">
        <v>9409</v>
      </c>
      <c r="BF469" t="str">
        <f>HYPERLINK("http://dx.doi.org/10.1111/gbi.12263","http://dx.doi.org/10.1111/gbi.12263")</f>
        <v>http://dx.doi.org/10.1111/gbi.12263</v>
      </c>
      <c r="BG469" t="s">
        <v>74</v>
      </c>
      <c r="BH469" t="s">
        <v>74</v>
      </c>
      <c r="BI469">
        <v>18</v>
      </c>
      <c r="BJ469" t="s">
        <v>9410</v>
      </c>
      <c r="BK469" t="s">
        <v>101</v>
      </c>
      <c r="BL469" t="s">
        <v>9411</v>
      </c>
      <c r="BM469" t="s">
        <v>9412</v>
      </c>
      <c r="BN469">
        <v>29076278</v>
      </c>
      <c r="BO469" t="s">
        <v>74</v>
      </c>
      <c r="BP469" t="s">
        <v>74</v>
      </c>
      <c r="BQ469" t="s">
        <v>74</v>
      </c>
      <c r="BR469" t="s">
        <v>105</v>
      </c>
      <c r="BS469" t="s">
        <v>9413</v>
      </c>
      <c r="BT469" t="str">
        <f>HYPERLINK("https%3A%2F%2Fwww.webofscience.com%2Fwos%2Fwoscc%2Ffull-record%2FWOS:000419785200005","View Full Record in Web of Science")</f>
        <v>View Full Record in Web of Science</v>
      </c>
    </row>
    <row r="470" spans="1:72" x14ac:dyDescent="0.15">
      <c r="A470" t="s">
        <v>72</v>
      </c>
      <c r="B470" t="s">
        <v>9414</v>
      </c>
      <c r="C470" t="s">
        <v>74</v>
      </c>
      <c r="D470" t="s">
        <v>74</v>
      </c>
      <c r="E470" t="s">
        <v>74</v>
      </c>
      <c r="F470" t="s">
        <v>9415</v>
      </c>
      <c r="G470" t="s">
        <v>74</v>
      </c>
      <c r="H470" t="s">
        <v>74</v>
      </c>
      <c r="I470" t="s">
        <v>9416</v>
      </c>
      <c r="J470" t="s">
        <v>9417</v>
      </c>
      <c r="K470" t="s">
        <v>74</v>
      </c>
      <c r="L470" t="s">
        <v>74</v>
      </c>
      <c r="M470" t="s">
        <v>78</v>
      </c>
      <c r="N470" t="s">
        <v>79</v>
      </c>
      <c r="O470" t="s">
        <v>74</v>
      </c>
      <c r="P470" t="s">
        <v>74</v>
      </c>
      <c r="Q470" t="s">
        <v>74</v>
      </c>
      <c r="R470" t="s">
        <v>74</v>
      </c>
      <c r="S470" t="s">
        <v>74</v>
      </c>
      <c r="T470" t="s">
        <v>9418</v>
      </c>
      <c r="U470" t="s">
        <v>9419</v>
      </c>
      <c r="V470" t="s">
        <v>9420</v>
      </c>
      <c r="W470" t="s">
        <v>9421</v>
      </c>
      <c r="X470" t="s">
        <v>9422</v>
      </c>
      <c r="Y470" t="s">
        <v>9423</v>
      </c>
      <c r="Z470" t="s">
        <v>9424</v>
      </c>
      <c r="AA470" t="s">
        <v>9425</v>
      </c>
      <c r="AB470" t="s">
        <v>9426</v>
      </c>
      <c r="AC470" t="s">
        <v>9427</v>
      </c>
      <c r="AD470" t="s">
        <v>9428</v>
      </c>
      <c r="AE470" t="s">
        <v>9429</v>
      </c>
      <c r="AF470" t="s">
        <v>74</v>
      </c>
      <c r="AG470">
        <v>40</v>
      </c>
      <c r="AH470">
        <v>14</v>
      </c>
      <c r="AI470">
        <v>16</v>
      </c>
      <c r="AJ470">
        <v>2</v>
      </c>
      <c r="AK470">
        <v>16</v>
      </c>
      <c r="AL470" t="s">
        <v>3906</v>
      </c>
      <c r="AM470" t="s">
        <v>3907</v>
      </c>
      <c r="AN470" t="s">
        <v>3908</v>
      </c>
      <c r="AO470" t="s">
        <v>9430</v>
      </c>
      <c r="AP470" t="s">
        <v>9431</v>
      </c>
      <c r="AQ470" t="s">
        <v>74</v>
      </c>
      <c r="AR470" t="s">
        <v>9432</v>
      </c>
      <c r="AS470" t="s">
        <v>9433</v>
      </c>
      <c r="AT470" t="s">
        <v>2468</v>
      </c>
      <c r="AU470">
        <v>2018</v>
      </c>
      <c r="AV470">
        <v>188</v>
      </c>
      <c r="AW470">
        <v>1</v>
      </c>
      <c r="AX470" t="s">
        <v>74</v>
      </c>
      <c r="AY470" t="s">
        <v>74</v>
      </c>
      <c r="AZ470" t="s">
        <v>74</v>
      </c>
      <c r="BA470" t="s">
        <v>74</v>
      </c>
      <c r="BB470">
        <v>27</v>
      </c>
      <c r="BC470">
        <v>36</v>
      </c>
      <c r="BD470" t="s">
        <v>74</v>
      </c>
      <c r="BE470" t="s">
        <v>9434</v>
      </c>
      <c r="BF470" t="str">
        <f>HYPERLINK("http://dx.doi.org/10.1007/s00360-017-1110-9","http://dx.doi.org/10.1007/s00360-017-1110-9")</f>
        <v>http://dx.doi.org/10.1007/s00360-017-1110-9</v>
      </c>
      <c r="BG470" t="s">
        <v>74</v>
      </c>
      <c r="BH470" t="s">
        <v>74</v>
      </c>
      <c r="BI470">
        <v>10</v>
      </c>
      <c r="BJ470" t="s">
        <v>9435</v>
      </c>
      <c r="BK470" t="s">
        <v>101</v>
      </c>
      <c r="BL470" t="s">
        <v>9435</v>
      </c>
      <c r="BM470" t="s">
        <v>9436</v>
      </c>
      <c r="BN470">
        <v>28573529</v>
      </c>
      <c r="BO470" t="s">
        <v>74</v>
      </c>
      <c r="BP470" t="s">
        <v>74</v>
      </c>
      <c r="BQ470" t="s">
        <v>74</v>
      </c>
      <c r="BR470" t="s">
        <v>105</v>
      </c>
      <c r="BS470" t="s">
        <v>9437</v>
      </c>
      <c r="BT470" t="str">
        <f>HYPERLINK("https%3A%2F%2Fwww.webofscience.com%2Fwos%2Fwoscc%2Ffull-record%2FWOS:000419476800003","View Full Record in Web of Science")</f>
        <v>View Full Record in Web of Science</v>
      </c>
    </row>
    <row r="471" spans="1:72" x14ac:dyDescent="0.15">
      <c r="A471" t="s">
        <v>72</v>
      </c>
      <c r="B471" t="s">
        <v>9438</v>
      </c>
      <c r="C471" t="s">
        <v>74</v>
      </c>
      <c r="D471" t="s">
        <v>74</v>
      </c>
      <c r="E471" t="s">
        <v>74</v>
      </c>
      <c r="F471" t="s">
        <v>9439</v>
      </c>
      <c r="G471" t="s">
        <v>74</v>
      </c>
      <c r="H471" t="s">
        <v>74</v>
      </c>
      <c r="I471" t="s">
        <v>9440</v>
      </c>
      <c r="J471" t="s">
        <v>9441</v>
      </c>
      <c r="K471" t="s">
        <v>74</v>
      </c>
      <c r="L471" t="s">
        <v>74</v>
      </c>
      <c r="M471" t="s">
        <v>78</v>
      </c>
      <c r="N471" t="s">
        <v>79</v>
      </c>
      <c r="O471" t="s">
        <v>74</v>
      </c>
      <c r="P471" t="s">
        <v>74</v>
      </c>
      <c r="Q471" t="s">
        <v>74</v>
      </c>
      <c r="R471" t="s">
        <v>74</v>
      </c>
      <c r="S471" t="s">
        <v>74</v>
      </c>
      <c r="T471" t="s">
        <v>9442</v>
      </c>
      <c r="U471" t="s">
        <v>9443</v>
      </c>
      <c r="V471" t="s">
        <v>9444</v>
      </c>
      <c r="W471" t="s">
        <v>9445</v>
      </c>
      <c r="X471" t="s">
        <v>9446</v>
      </c>
      <c r="Y471" t="s">
        <v>9447</v>
      </c>
      <c r="Z471" t="s">
        <v>9448</v>
      </c>
      <c r="AA471" t="s">
        <v>74</v>
      </c>
      <c r="AB471" t="s">
        <v>9449</v>
      </c>
      <c r="AC471" t="s">
        <v>9450</v>
      </c>
      <c r="AD471" t="s">
        <v>9451</v>
      </c>
      <c r="AE471" t="s">
        <v>9452</v>
      </c>
      <c r="AF471" t="s">
        <v>74</v>
      </c>
      <c r="AG471">
        <v>58</v>
      </c>
      <c r="AH471">
        <v>10</v>
      </c>
      <c r="AI471">
        <v>10</v>
      </c>
      <c r="AJ471">
        <v>1</v>
      </c>
      <c r="AK471">
        <v>22</v>
      </c>
      <c r="AL471" t="s">
        <v>4270</v>
      </c>
      <c r="AM471" t="s">
        <v>4271</v>
      </c>
      <c r="AN471" t="s">
        <v>4272</v>
      </c>
      <c r="AO471" t="s">
        <v>9453</v>
      </c>
      <c r="AP471" t="s">
        <v>9454</v>
      </c>
      <c r="AQ471" t="s">
        <v>74</v>
      </c>
      <c r="AR471" t="s">
        <v>9455</v>
      </c>
      <c r="AS471" t="s">
        <v>9456</v>
      </c>
      <c r="AT471" t="s">
        <v>2468</v>
      </c>
      <c r="AU471">
        <v>2018</v>
      </c>
      <c r="AV471">
        <v>92</v>
      </c>
      <c r="AW471">
        <v>1</v>
      </c>
      <c r="AX471" t="s">
        <v>74</v>
      </c>
      <c r="AY471" t="s">
        <v>74</v>
      </c>
      <c r="AZ471" t="s">
        <v>74</v>
      </c>
      <c r="BA471" t="s">
        <v>74</v>
      </c>
      <c r="BB471">
        <v>34</v>
      </c>
      <c r="BC471">
        <v>54</v>
      </c>
      <c r="BD471" t="s">
        <v>74</v>
      </c>
      <c r="BE471" t="s">
        <v>9457</v>
      </c>
      <c r="BF471" t="str">
        <f>HYPERLINK("http://dx.doi.org/10.1111/jfb.13479","http://dx.doi.org/10.1111/jfb.13479")</f>
        <v>http://dx.doi.org/10.1111/jfb.13479</v>
      </c>
      <c r="BG471" t="s">
        <v>74</v>
      </c>
      <c r="BH471" t="s">
        <v>74</v>
      </c>
      <c r="BI471">
        <v>21</v>
      </c>
      <c r="BJ471" t="s">
        <v>6707</v>
      </c>
      <c r="BK471" t="s">
        <v>101</v>
      </c>
      <c r="BL471" t="s">
        <v>6707</v>
      </c>
      <c r="BM471" t="s">
        <v>9458</v>
      </c>
      <c r="BN471">
        <v>29314006</v>
      </c>
      <c r="BO471" t="s">
        <v>74</v>
      </c>
      <c r="BP471" t="s">
        <v>74</v>
      </c>
      <c r="BQ471" t="s">
        <v>74</v>
      </c>
      <c r="BR471" t="s">
        <v>105</v>
      </c>
      <c r="BS471" t="s">
        <v>9459</v>
      </c>
      <c r="BT471" t="str">
        <f>HYPERLINK("https%3A%2F%2Fwww.webofscience.com%2Fwos%2Fwoscc%2Ffull-record%2FWOS:000419307300003","View Full Record in Web of Science")</f>
        <v>View Full Record in Web of Science</v>
      </c>
    </row>
    <row r="472" spans="1:72" x14ac:dyDescent="0.15">
      <c r="A472" t="s">
        <v>72</v>
      </c>
      <c r="B472" t="s">
        <v>9460</v>
      </c>
      <c r="C472" t="s">
        <v>74</v>
      </c>
      <c r="D472" t="s">
        <v>74</v>
      </c>
      <c r="E472" t="s">
        <v>74</v>
      </c>
      <c r="F472" t="s">
        <v>9461</v>
      </c>
      <c r="G472" t="s">
        <v>74</v>
      </c>
      <c r="H472" t="s">
        <v>74</v>
      </c>
      <c r="I472" t="s">
        <v>9462</v>
      </c>
      <c r="J472" t="s">
        <v>9463</v>
      </c>
      <c r="K472" t="s">
        <v>74</v>
      </c>
      <c r="L472" t="s">
        <v>74</v>
      </c>
      <c r="M472" t="s">
        <v>78</v>
      </c>
      <c r="N472" t="s">
        <v>79</v>
      </c>
      <c r="O472" t="s">
        <v>74</v>
      </c>
      <c r="P472" t="s">
        <v>74</v>
      </c>
      <c r="Q472" t="s">
        <v>74</v>
      </c>
      <c r="R472" t="s">
        <v>74</v>
      </c>
      <c r="S472" t="s">
        <v>74</v>
      </c>
      <c r="T472" t="s">
        <v>9464</v>
      </c>
      <c r="U472" t="s">
        <v>9465</v>
      </c>
      <c r="V472" t="s">
        <v>9466</v>
      </c>
      <c r="W472" t="s">
        <v>9467</v>
      </c>
      <c r="X472" t="s">
        <v>9468</v>
      </c>
      <c r="Y472" t="s">
        <v>9469</v>
      </c>
      <c r="Z472" t="s">
        <v>9470</v>
      </c>
      <c r="AA472" t="s">
        <v>9471</v>
      </c>
      <c r="AB472" t="s">
        <v>9472</v>
      </c>
      <c r="AC472" t="s">
        <v>9473</v>
      </c>
      <c r="AD472" t="s">
        <v>9474</v>
      </c>
      <c r="AE472" t="s">
        <v>9475</v>
      </c>
      <c r="AF472" t="s">
        <v>74</v>
      </c>
      <c r="AG472">
        <v>62</v>
      </c>
      <c r="AH472">
        <v>14</v>
      </c>
      <c r="AI472">
        <v>15</v>
      </c>
      <c r="AJ472">
        <v>0</v>
      </c>
      <c r="AK472">
        <v>14</v>
      </c>
      <c r="AL472" t="s">
        <v>4270</v>
      </c>
      <c r="AM472" t="s">
        <v>4271</v>
      </c>
      <c r="AN472" t="s">
        <v>4272</v>
      </c>
      <c r="AO472" t="s">
        <v>9476</v>
      </c>
      <c r="AP472" t="s">
        <v>74</v>
      </c>
      <c r="AQ472" t="s">
        <v>74</v>
      </c>
      <c r="AR472" t="s">
        <v>9477</v>
      </c>
      <c r="AS472" t="s">
        <v>9478</v>
      </c>
      <c r="AT472" t="s">
        <v>2468</v>
      </c>
      <c r="AU472">
        <v>2018</v>
      </c>
      <c r="AV472">
        <v>8</v>
      </c>
      <c r="AW472">
        <v>1</v>
      </c>
      <c r="AX472" t="s">
        <v>74</v>
      </c>
      <c r="AY472" t="s">
        <v>74</v>
      </c>
      <c r="AZ472" t="s">
        <v>74</v>
      </c>
      <c r="BA472" t="s">
        <v>74</v>
      </c>
      <c r="BB472">
        <v>592</v>
      </c>
      <c r="BC472">
        <v>600</v>
      </c>
      <c r="BD472" t="s">
        <v>74</v>
      </c>
      <c r="BE472" t="s">
        <v>9479</v>
      </c>
      <c r="BF472" t="str">
        <f>HYPERLINK("http://dx.doi.org/10.1002/ece3.3675","http://dx.doi.org/10.1002/ece3.3675")</f>
        <v>http://dx.doi.org/10.1002/ece3.3675</v>
      </c>
      <c r="BG472" t="s">
        <v>74</v>
      </c>
      <c r="BH472" t="s">
        <v>74</v>
      </c>
      <c r="BI472">
        <v>9</v>
      </c>
      <c r="BJ472" t="s">
        <v>3858</v>
      </c>
      <c r="BK472" t="s">
        <v>101</v>
      </c>
      <c r="BL472" t="s">
        <v>3860</v>
      </c>
      <c r="BM472" t="s">
        <v>9480</v>
      </c>
      <c r="BN472">
        <v>29321896</v>
      </c>
      <c r="BO472" t="s">
        <v>681</v>
      </c>
      <c r="BP472" t="s">
        <v>74</v>
      </c>
      <c r="BQ472" t="s">
        <v>74</v>
      </c>
      <c r="BR472" t="s">
        <v>105</v>
      </c>
      <c r="BS472" t="s">
        <v>9481</v>
      </c>
      <c r="BT472" t="str">
        <f>HYPERLINK("https%3A%2F%2Fwww.webofscience.com%2Fwos%2Fwoscc%2Ffull-record%2FWOS:000419483200051","View Full Record in Web of Science")</f>
        <v>View Full Record in Web of Science</v>
      </c>
    </row>
    <row r="473" spans="1:72" x14ac:dyDescent="0.15">
      <c r="A473" t="s">
        <v>72</v>
      </c>
      <c r="B473" t="s">
        <v>9482</v>
      </c>
      <c r="C473" t="s">
        <v>74</v>
      </c>
      <c r="D473" t="s">
        <v>74</v>
      </c>
      <c r="E473" t="s">
        <v>74</v>
      </c>
      <c r="F473" t="s">
        <v>9483</v>
      </c>
      <c r="G473" t="s">
        <v>74</v>
      </c>
      <c r="H473" t="s">
        <v>74</v>
      </c>
      <c r="I473" t="s">
        <v>9484</v>
      </c>
      <c r="J473" t="s">
        <v>9485</v>
      </c>
      <c r="K473" t="s">
        <v>74</v>
      </c>
      <c r="L473" t="s">
        <v>74</v>
      </c>
      <c r="M473" t="s">
        <v>78</v>
      </c>
      <c r="N473" t="s">
        <v>79</v>
      </c>
      <c r="O473" t="s">
        <v>74</v>
      </c>
      <c r="P473" t="s">
        <v>74</v>
      </c>
      <c r="Q473" t="s">
        <v>74</v>
      </c>
      <c r="R473" t="s">
        <v>74</v>
      </c>
      <c r="S473" t="s">
        <v>74</v>
      </c>
      <c r="T473" t="s">
        <v>9486</v>
      </c>
      <c r="U473" t="s">
        <v>9487</v>
      </c>
      <c r="V473" t="s">
        <v>9488</v>
      </c>
      <c r="W473" t="s">
        <v>9489</v>
      </c>
      <c r="X473" t="s">
        <v>9490</v>
      </c>
      <c r="Y473" t="s">
        <v>9491</v>
      </c>
      <c r="Z473" t="s">
        <v>9492</v>
      </c>
      <c r="AA473" t="s">
        <v>9493</v>
      </c>
      <c r="AB473" t="s">
        <v>9494</v>
      </c>
      <c r="AC473" t="s">
        <v>9495</v>
      </c>
      <c r="AD473" t="s">
        <v>9496</v>
      </c>
      <c r="AE473" t="s">
        <v>9497</v>
      </c>
      <c r="AF473" t="s">
        <v>74</v>
      </c>
      <c r="AG473">
        <v>36</v>
      </c>
      <c r="AH473">
        <v>4</v>
      </c>
      <c r="AI473">
        <v>4</v>
      </c>
      <c r="AJ473">
        <v>0</v>
      </c>
      <c r="AK473">
        <v>36</v>
      </c>
      <c r="AL473" t="s">
        <v>4663</v>
      </c>
      <c r="AM473" t="s">
        <v>4664</v>
      </c>
      <c r="AN473" t="s">
        <v>4665</v>
      </c>
      <c r="AO473" t="s">
        <v>9498</v>
      </c>
      <c r="AP473" t="s">
        <v>9499</v>
      </c>
      <c r="AQ473" t="s">
        <v>74</v>
      </c>
      <c r="AR473" t="s">
        <v>9500</v>
      </c>
      <c r="AS473" t="s">
        <v>9501</v>
      </c>
      <c r="AT473" t="s">
        <v>2468</v>
      </c>
      <c r="AU473">
        <v>2018</v>
      </c>
      <c r="AV473">
        <v>56</v>
      </c>
      <c r="AW473">
        <v>1</v>
      </c>
      <c r="AX473" t="s">
        <v>74</v>
      </c>
      <c r="AY473" t="s">
        <v>74</v>
      </c>
      <c r="AZ473" t="s">
        <v>74</v>
      </c>
      <c r="BA473" t="s">
        <v>74</v>
      </c>
      <c r="BB473">
        <v>539</v>
      </c>
      <c r="BC473">
        <v>546</v>
      </c>
      <c r="BD473" t="s">
        <v>74</v>
      </c>
      <c r="BE473" t="s">
        <v>9502</v>
      </c>
      <c r="BF473" t="str">
        <f>HYPERLINK("http://dx.doi.org/10.1109/TGRS.2017.2751070","http://dx.doi.org/10.1109/TGRS.2017.2751070")</f>
        <v>http://dx.doi.org/10.1109/TGRS.2017.2751070</v>
      </c>
      <c r="BG473" t="s">
        <v>74</v>
      </c>
      <c r="BH473" t="s">
        <v>74</v>
      </c>
      <c r="BI473">
        <v>8</v>
      </c>
      <c r="BJ473" t="s">
        <v>9503</v>
      </c>
      <c r="BK473" t="s">
        <v>101</v>
      </c>
      <c r="BL473" t="s">
        <v>9504</v>
      </c>
      <c r="BM473" t="s">
        <v>9505</v>
      </c>
      <c r="BN473" t="s">
        <v>74</v>
      </c>
      <c r="BO473" t="s">
        <v>1150</v>
      </c>
      <c r="BP473" t="s">
        <v>74</v>
      </c>
      <c r="BQ473" t="s">
        <v>74</v>
      </c>
      <c r="BR473" t="s">
        <v>105</v>
      </c>
      <c r="BS473" t="s">
        <v>9506</v>
      </c>
      <c r="BT473" t="str">
        <f>HYPERLINK("https%3A%2F%2Fwww.webofscience.com%2Fwos%2Fwoscc%2Ffull-record%2FWOS:000418873000042","View Full Record in Web of Science")</f>
        <v>View Full Record in Web of Science</v>
      </c>
    </row>
    <row r="474" spans="1:72" x14ac:dyDescent="0.15">
      <c r="A474" t="s">
        <v>72</v>
      </c>
      <c r="B474" t="s">
        <v>9507</v>
      </c>
      <c r="C474" t="s">
        <v>74</v>
      </c>
      <c r="D474" t="s">
        <v>74</v>
      </c>
      <c r="E474" t="s">
        <v>74</v>
      </c>
      <c r="F474" t="s">
        <v>9508</v>
      </c>
      <c r="G474" t="s">
        <v>74</v>
      </c>
      <c r="H474" t="s">
        <v>74</v>
      </c>
      <c r="I474" t="s">
        <v>9509</v>
      </c>
      <c r="J474" t="s">
        <v>9510</v>
      </c>
      <c r="K474" t="s">
        <v>74</v>
      </c>
      <c r="L474" t="s">
        <v>74</v>
      </c>
      <c r="M474" t="s">
        <v>78</v>
      </c>
      <c r="N474" t="s">
        <v>79</v>
      </c>
      <c r="O474" t="s">
        <v>74</v>
      </c>
      <c r="P474" t="s">
        <v>74</v>
      </c>
      <c r="Q474" t="s">
        <v>74</v>
      </c>
      <c r="R474" t="s">
        <v>74</v>
      </c>
      <c r="S474" t="s">
        <v>74</v>
      </c>
      <c r="T474" t="s">
        <v>74</v>
      </c>
      <c r="U474" t="s">
        <v>9511</v>
      </c>
      <c r="V474" t="s">
        <v>9512</v>
      </c>
      <c r="W474" t="s">
        <v>9513</v>
      </c>
      <c r="X474" t="s">
        <v>9514</v>
      </c>
      <c r="Y474" t="s">
        <v>9515</v>
      </c>
      <c r="Z474" t="s">
        <v>9516</v>
      </c>
      <c r="AA474" t="s">
        <v>74</v>
      </c>
      <c r="AB474" t="s">
        <v>74</v>
      </c>
      <c r="AC474" t="s">
        <v>74</v>
      </c>
      <c r="AD474" t="s">
        <v>74</v>
      </c>
      <c r="AE474" t="s">
        <v>74</v>
      </c>
      <c r="AF474" t="s">
        <v>74</v>
      </c>
      <c r="AG474">
        <v>38</v>
      </c>
      <c r="AH474">
        <v>4</v>
      </c>
      <c r="AI474">
        <v>4</v>
      </c>
      <c r="AJ474">
        <v>0</v>
      </c>
      <c r="AK474">
        <v>17</v>
      </c>
      <c r="AL474" t="s">
        <v>8752</v>
      </c>
      <c r="AM474" t="s">
        <v>1140</v>
      </c>
      <c r="AN474" t="s">
        <v>8753</v>
      </c>
      <c r="AO474" t="s">
        <v>9517</v>
      </c>
      <c r="AP474" t="s">
        <v>9518</v>
      </c>
      <c r="AQ474" t="s">
        <v>74</v>
      </c>
      <c r="AR474" t="s">
        <v>9519</v>
      </c>
      <c r="AS474" t="s">
        <v>9520</v>
      </c>
      <c r="AT474" t="s">
        <v>2468</v>
      </c>
      <c r="AU474">
        <v>2018</v>
      </c>
      <c r="AV474">
        <v>87</v>
      </c>
      <c r="AW474" t="s">
        <v>74</v>
      </c>
      <c r="AX474" t="s">
        <v>74</v>
      </c>
      <c r="AY474" t="s">
        <v>74</v>
      </c>
      <c r="AZ474" t="s">
        <v>74</v>
      </c>
      <c r="BA474" t="s">
        <v>74</v>
      </c>
      <c r="BB474">
        <v>295</v>
      </c>
      <c r="BC474">
        <v>300</v>
      </c>
      <c r="BD474" t="s">
        <v>74</v>
      </c>
      <c r="BE474" t="s">
        <v>9521</v>
      </c>
      <c r="BF474" t="str">
        <f>HYPERLINK("http://dx.doi.org/10.1016/j.marpol.2017.10.004","http://dx.doi.org/10.1016/j.marpol.2017.10.004")</f>
        <v>http://dx.doi.org/10.1016/j.marpol.2017.10.004</v>
      </c>
      <c r="BG474" t="s">
        <v>74</v>
      </c>
      <c r="BH474" t="s">
        <v>74</v>
      </c>
      <c r="BI474">
        <v>6</v>
      </c>
      <c r="BJ474" t="s">
        <v>9522</v>
      </c>
      <c r="BK474" t="s">
        <v>3136</v>
      </c>
      <c r="BL474" t="s">
        <v>9523</v>
      </c>
      <c r="BM474" t="s">
        <v>9524</v>
      </c>
      <c r="BN474" t="s">
        <v>74</v>
      </c>
      <c r="BO474" t="s">
        <v>74</v>
      </c>
      <c r="BP474" t="s">
        <v>74</v>
      </c>
      <c r="BQ474" t="s">
        <v>74</v>
      </c>
      <c r="BR474" t="s">
        <v>105</v>
      </c>
      <c r="BS474" t="s">
        <v>9525</v>
      </c>
      <c r="BT474" t="str">
        <f>HYPERLINK("https%3A%2F%2Fwww.webofscience.com%2Fwos%2Fwoscc%2Ffull-record%2FWOS:000419412200036","View Full Record in Web of Science")</f>
        <v>View Full Record in Web of Science</v>
      </c>
    </row>
    <row r="475" spans="1:72" x14ac:dyDescent="0.15">
      <c r="A475" t="s">
        <v>72</v>
      </c>
      <c r="B475" t="s">
        <v>9526</v>
      </c>
      <c r="C475" t="s">
        <v>74</v>
      </c>
      <c r="D475" t="s">
        <v>74</v>
      </c>
      <c r="E475" t="s">
        <v>74</v>
      </c>
      <c r="F475" t="s">
        <v>9527</v>
      </c>
      <c r="G475" t="s">
        <v>74</v>
      </c>
      <c r="H475" t="s">
        <v>74</v>
      </c>
      <c r="I475" t="s">
        <v>9528</v>
      </c>
      <c r="J475" t="s">
        <v>9529</v>
      </c>
      <c r="K475" t="s">
        <v>74</v>
      </c>
      <c r="L475" t="s">
        <v>74</v>
      </c>
      <c r="M475" t="s">
        <v>78</v>
      </c>
      <c r="N475" t="s">
        <v>79</v>
      </c>
      <c r="O475" t="s">
        <v>74</v>
      </c>
      <c r="P475" t="s">
        <v>74</v>
      </c>
      <c r="Q475" t="s">
        <v>74</v>
      </c>
      <c r="R475" t="s">
        <v>74</v>
      </c>
      <c r="S475" t="s">
        <v>74</v>
      </c>
      <c r="T475" t="s">
        <v>74</v>
      </c>
      <c r="U475" t="s">
        <v>9530</v>
      </c>
      <c r="V475" t="s">
        <v>9531</v>
      </c>
      <c r="W475" t="s">
        <v>9532</v>
      </c>
      <c r="X475" t="s">
        <v>74</v>
      </c>
      <c r="Y475" t="s">
        <v>9533</v>
      </c>
      <c r="Z475" t="s">
        <v>9534</v>
      </c>
      <c r="AA475" t="s">
        <v>74</v>
      </c>
      <c r="AB475" t="s">
        <v>74</v>
      </c>
      <c r="AC475" t="s">
        <v>9535</v>
      </c>
      <c r="AD475" t="s">
        <v>1226</v>
      </c>
      <c r="AE475" t="s">
        <v>9536</v>
      </c>
      <c r="AF475" t="s">
        <v>74</v>
      </c>
      <c r="AG475">
        <v>65</v>
      </c>
      <c r="AH475">
        <v>1</v>
      </c>
      <c r="AI475">
        <v>2</v>
      </c>
      <c r="AJ475">
        <v>1</v>
      </c>
      <c r="AK475">
        <v>7</v>
      </c>
      <c r="AL475" t="s">
        <v>1186</v>
      </c>
      <c r="AM475" t="s">
        <v>808</v>
      </c>
      <c r="AN475" t="s">
        <v>1187</v>
      </c>
      <c r="AO475" t="s">
        <v>9537</v>
      </c>
      <c r="AP475" t="s">
        <v>9538</v>
      </c>
      <c r="AQ475" t="s">
        <v>74</v>
      </c>
      <c r="AR475" t="s">
        <v>9539</v>
      </c>
      <c r="AS475" t="s">
        <v>9540</v>
      </c>
      <c r="AT475" t="s">
        <v>2468</v>
      </c>
      <c r="AU475">
        <v>2018</v>
      </c>
      <c r="AV475">
        <v>248</v>
      </c>
      <c r="AW475" t="s">
        <v>74</v>
      </c>
      <c r="AX475" t="s">
        <v>74</v>
      </c>
      <c r="AY475" t="s">
        <v>74</v>
      </c>
      <c r="AZ475" t="s">
        <v>74</v>
      </c>
      <c r="BA475" t="s">
        <v>74</v>
      </c>
      <c r="BB475">
        <v>34</v>
      </c>
      <c r="BC475">
        <v>40</v>
      </c>
      <c r="BD475" t="s">
        <v>74</v>
      </c>
      <c r="BE475" t="s">
        <v>9541</v>
      </c>
      <c r="BF475" t="str">
        <f>HYPERLINK("http://dx.doi.org/10.1016/j.revpalbo.2017.10.003","http://dx.doi.org/10.1016/j.revpalbo.2017.10.003")</f>
        <v>http://dx.doi.org/10.1016/j.revpalbo.2017.10.003</v>
      </c>
      <c r="BG475" t="s">
        <v>74</v>
      </c>
      <c r="BH475" t="s">
        <v>74</v>
      </c>
      <c r="BI475">
        <v>7</v>
      </c>
      <c r="BJ475" t="s">
        <v>9542</v>
      </c>
      <c r="BK475" t="s">
        <v>101</v>
      </c>
      <c r="BL475" t="s">
        <v>9542</v>
      </c>
      <c r="BM475" t="s">
        <v>9543</v>
      </c>
      <c r="BN475" t="s">
        <v>74</v>
      </c>
      <c r="BO475" t="s">
        <v>1150</v>
      </c>
      <c r="BP475" t="s">
        <v>74</v>
      </c>
      <c r="BQ475" t="s">
        <v>74</v>
      </c>
      <c r="BR475" t="s">
        <v>105</v>
      </c>
      <c r="BS475" t="s">
        <v>9544</v>
      </c>
      <c r="BT475" t="str">
        <f>HYPERLINK("https%3A%2F%2Fwww.webofscience.com%2Fwos%2Fwoscc%2Ffull-record%2FWOS:000419416900003","View Full Record in Web of Science")</f>
        <v>View Full Record in Web of Science</v>
      </c>
    </row>
    <row r="476" spans="1:72" x14ac:dyDescent="0.15">
      <c r="A476" t="s">
        <v>72</v>
      </c>
      <c r="B476" t="s">
        <v>9545</v>
      </c>
      <c r="C476" t="s">
        <v>74</v>
      </c>
      <c r="D476" t="s">
        <v>74</v>
      </c>
      <c r="E476" t="s">
        <v>74</v>
      </c>
      <c r="F476" t="s">
        <v>9546</v>
      </c>
      <c r="G476" t="s">
        <v>74</v>
      </c>
      <c r="H476" t="s">
        <v>74</v>
      </c>
      <c r="I476" t="s">
        <v>9547</v>
      </c>
      <c r="J476" t="s">
        <v>9548</v>
      </c>
      <c r="K476" t="s">
        <v>74</v>
      </c>
      <c r="L476" t="s">
        <v>74</v>
      </c>
      <c r="M476" t="s">
        <v>78</v>
      </c>
      <c r="N476" t="s">
        <v>79</v>
      </c>
      <c r="O476" t="s">
        <v>74</v>
      </c>
      <c r="P476" t="s">
        <v>74</v>
      </c>
      <c r="Q476" t="s">
        <v>74</v>
      </c>
      <c r="R476" t="s">
        <v>74</v>
      </c>
      <c r="S476" t="s">
        <v>74</v>
      </c>
      <c r="T476" t="s">
        <v>74</v>
      </c>
      <c r="U476" t="s">
        <v>9549</v>
      </c>
      <c r="V476" t="s">
        <v>74</v>
      </c>
      <c r="W476" t="s">
        <v>9550</v>
      </c>
      <c r="X476" t="s">
        <v>9551</v>
      </c>
      <c r="Y476" t="s">
        <v>9552</v>
      </c>
      <c r="Z476" t="s">
        <v>9553</v>
      </c>
      <c r="AA476" t="s">
        <v>9554</v>
      </c>
      <c r="AB476" t="s">
        <v>9555</v>
      </c>
      <c r="AC476" t="s">
        <v>9556</v>
      </c>
      <c r="AD476" t="s">
        <v>9557</v>
      </c>
      <c r="AE476" t="s">
        <v>9558</v>
      </c>
      <c r="AF476" t="s">
        <v>74</v>
      </c>
      <c r="AG476">
        <v>42</v>
      </c>
      <c r="AH476">
        <v>17</v>
      </c>
      <c r="AI476">
        <v>17</v>
      </c>
      <c r="AJ476">
        <v>0</v>
      </c>
      <c r="AK476">
        <v>15</v>
      </c>
      <c r="AL476" t="s">
        <v>4270</v>
      </c>
      <c r="AM476" t="s">
        <v>4271</v>
      </c>
      <c r="AN476" t="s">
        <v>4272</v>
      </c>
      <c r="AO476" t="s">
        <v>9559</v>
      </c>
      <c r="AP476" t="s">
        <v>9560</v>
      </c>
      <c r="AQ476" t="s">
        <v>74</v>
      </c>
      <c r="AR476" t="s">
        <v>9561</v>
      </c>
      <c r="AS476" t="s">
        <v>9562</v>
      </c>
      <c r="AT476" t="s">
        <v>2468</v>
      </c>
      <c r="AU476">
        <v>2018</v>
      </c>
      <c r="AV476">
        <v>34</v>
      </c>
      <c r="AW476">
        <v>1</v>
      </c>
      <c r="AX476" t="s">
        <v>74</v>
      </c>
      <c r="AY476" t="s">
        <v>74</v>
      </c>
      <c r="AZ476" t="s">
        <v>74</v>
      </c>
      <c r="BA476" t="s">
        <v>74</v>
      </c>
      <c r="BB476">
        <v>220</v>
      </c>
      <c r="BC476">
        <v>228</v>
      </c>
      <c r="BD476" t="s">
        <v>74</v>
      </c>
      <c r="BE476" t="s">
        <v>9563</v>
      </c>
      <c r="BF476" t="str">
        <f>HYPERLINK("http://dx.doi.org/10.1111/mms.12441","http://dx.doi.org/10.1111/mms.12441")</f>
        <v>http://dx.doi.org/10.1111/mms.12441</v>
      </c>
      <c r="BG476" t="s">
        <v>74</v>
      </c>
      <c r="BH476" t="s">
        <v>74</v>
      </c>
      <c r="BI476">
        <v>9</v>
      </c>
      <c r="BJ476" t="s">
        <v>9336</v>
      </c>
      <c r="BK476" t="s">
        <v>101</v>
      </c>
      <c r="BL476" t="s">
        <v>9336</v>
      </c>
      <c r="BM476" t="s">
        <v>9564</v>
      </c>
      <c r="BN476" t="s">
        <v>74</v>
      </c>
      <c r="BO476" t="s">
        <v>306</v>
      </c>
      <c r="BP476" t="s">
        <v>74</v>
      </c>
      <c r="BQ476" t="s">
        <v>74</v>
      </c>
      <c r="BR476" t="s">
        <v>105</v>
      </c>
      <c r="BS476" t="s">
        <v>9565</v>
      </c>
      <c r="BT476" t="str">
        <f>HYPERLINK("https%3A%2F%2Fwww.webofscience.com%2Fwos%2Fwoscc%2Ffull-record%2FWOS:000418337200014","View Full Record in Web of Science")</f>
        <v>View Full Record in Web of Science</v>
      </c>
    </row>
    <row r="477" spans="1:72" x14ac:dyDescent="0.15">
      <c r="A477" t="s">
        <v>72</v>
      </c>
      <c r="B477" t="s">
        <v>9566</v>
      </c>
      <c r="C477" t="s">
        <v>74</v>
      </c>
      <c r="D477" t="s">
        <v>74</v>
      </c>
      <c r="E477" t="s">
        <v>74</v>
      </c>
      <c r="F477" t="s">
        <v>9567</v>
      </c>
      <c r="G477" t="s">
        <v>74</v>
      </c>
      <c r="H477" t="s">
        <v>74</v>
      </c>
      <c r="I477" t="s">
        <v>9568</v>
      </c>
      <c r="J477" t="s">
        <v>9569</v>
      </c>
      <c r="K477" t="s">
        <v>74</v>
      </c>
      <c r="L477" t="s">
        <v>74</v>
      </c>
      <c r="M477" t="s">
        <v>78</v>
      </c>
      <c r="N477" t="s">
        <v>79</v>
      </c>
      <c r="O477" t="s">
        <v>74</v>
      </c>
      <c r="P477" t="s">
        <v>74</v>
      </c>
      <c r="Q477" t="s">
        <v>74</v>
      </c>
      <c r="R477" t="s">
        <v>74</v>
      </c>
      <c r="S477" t="s">
        <v>74</v>
      </c>
      <c r="T477" t="s">
        <v>9570</v>
      </c>
      <c r="U477" t="s">
        <v>9571</v>
      </c>
      <c r="V477" t="s">
        <v>9572</v>
      </c>
      <c r="W477" t="s">
        <v>9573</v>
      </c>
      <c r="X477" t="s">
        <v>9574</v>
      </c>
      <c r="Y477" t="s">
        <v>9575</v>
      </c>
      <c r="Z477" t="s">
        <v>9576</v>
      </c>
      <c r="AA477" t="s">
        <v>9577</v>
      </c>
      <c r="AB477" t="s">
        <v>9578</v>
      </c>
      <c r="AC477" t="s">
        <v>9579</v>
      </c>
      <c r="AD477" t="s">
        <v>9580</v>
      </c>
      <c r="AE477" t="s">
        <v>9581</v>
      </c>
      <c r="AF477" t="s">
        <v>74</v>
      </c>
      <c r="AG477">
        <v>72</v>
      </c>
      <c r="AH477">
        <v>6</v>
      </c>
      <c r="AI477">
        <v>7</v>
      </c>
      <c r="AJ477">
        <v>1</v>
      </c>
      <c r="AK477">
        <v>12</v>
      </c>
      <c r="AL477" t="s">
        <v>5110</v>
      </c>
      <c r="AM477" t="s">
        <v>5111</v>
      </c>
      <c r="AN477" t="s">
        <v>5112</v>
      </c>
      <c r="AO477" t="s">
        <v>9582</v>
      </c>
      <c r="AP477" t="s">
        <v>9583</v>
      </c>
      <c r="AQ477" t="s">
        <v>74</v>
      </c>
      <c r="AR477" t="s">
        <v>9584</v>
      </c>
      <c r="AS477" t="s">
        <v>9585</v>
      </c>
      <c r="AT477" t="s">
        <v>2468</v>
      </c>
      <c r="AU477">
        <v>2018</v>
      </c>
      <c r="AV477">
        <v>30</v>
      </c>
      <c r="AW477">
        <v>2</v>
      </c>
      <c r="AX477" t="s">
        <v>74</v>
      </c>
      <c r="AY477" t="s">
        <v>74</v>
      </c>
      <c r="AZ477" t="s">
        <v>74</v>
      </c>
      <c r="BA477" t="s">
        <v>74</v>
      </c>
      <c r="BB477">
        <v>272</v>
      </c>
      <c r="BC477">
        <v>285</v>
      </c>
      <c r="BD477" t="s">
        <v>74</v>
      </c>
      <c r="BE477" t="s">
        <v>9586</v>
      </c>
      <c r="BF477" t="str">
        <f>HYPERLINK("http://dx.doi.org/10.1071/RD17022","http://dx.doi.org/10.1071/RD17022")</f>
        <v>http://dx.doi.org/10.1071/RD17022</v>
      </c>
      <c r="BG477" t="s">
        <v>74</v>
      </c>
      <c r="BH477" t="s">
        <v>74</v>
      </c>
      <c r="BI477">
        <v>14</v>
      </c>
      <c r="BJ477" t="s">
        <v>9587</v>
      </c>
      <c r="BK477" t="s">
        <v>101</v>
      </c>
      <c r="BL477" t="s">
        <v>9587</v>
      </c>
      <c r="BM477" t="s">
        <v>9588</v>
      </c>
      <c r="BN477">
        <v>28679462</v>
      </c>
      <c r="BO477" t="s">
        <v>74</v>
      </c>
      <c r="BP477" t="s">
        <v>74</v>
      </c>
      <c r="BQ477" t="s">
        <v>74</v>
      </c>
      <c r="BR477" t="s">
        <v>105</v>
      </c>
      <c r="BS477" t="s">
        <v>9589</v>
      </c>
      <c r="BT477" t="str">
        <f>HYPERLINK("https%3A%2F%2Fwww.webofscience.com%2Fwos%2Fwoscc%2Ffull-record%2FWOS:000419014800003","View Full Record in Web of Science")</f>
        <v>View Full Record in Web of Science</v>
      </c>
    </row>
    <row r="478" spans="1:72" x14ac:dyDescent="0.15">
      <c r="A478" t="s">
        <v>72</v>
      </c>
      <c r="B478" t="s">
        <v>9590</v>
      </c>
      <c r="C478" t="s">
        <v>74</v>
      </c>
      <c r="D478" t="s">
        <v>74</v>
      </c>
      <c r="E478" t="s">
        <v>74</v>
      </c>
      <c r="F478" t="s">
        <v>9591</v>
      </c>
      <c r="G478" t="s">
        <v>74</v>
      </c>
      <c r="H478" t="s">
        <v>74</v>
      </c>
      <c r="I478" t="s">
        <v>9592</v>
      </c>
      <c r="J478" t="s">
        <v>9593</v>
      </c>
      <c r="K478" t="s">
        <v>74</v>
      </c>
      <c r="L478" t="s">
        <v>74</v>
      </c>
      <c r="M478" t="s">
        <v>78</v>
      </c>
      <c r="N478" t="s">
        <v>79</v>
      </c>
      <c r="O478" t="s">
        <v>74</v>
      </c>
      <c r="P478" t="s">
        <v>74</v>
      </c>
      <c r="Q478" t="s">
        <v>74</v>
      </c>
      <c r="R478" t="s">
        <v>74</v>
      </c>
      <c r="S478" t="s">
        <v>74</v>
      </c>
      <c r="T478" t="s">
        <v>74</v>
      </c>
      <c r="U478" t="s">
        <v>9594</v>
      </c>
      <c r="V478" t="s">
        <v>9595</v>
      </c>
      <c r="W478" t="s">
        <v>9596</v>
      </c>
      <c r="X478" t="s">
        <v>9597</v>
      </c>
      <c r="Y478" t="s">
        <v>9598</v>
      </c>
      <c r="Z478" t="s">
        <v>9599</v>
      </c>
      <c r="AA478" t="s">
        <v>9600</v>
      </c>
      <c r="AB478" t="s">
        <v>9601</v>
      </c>
      <c r="AC478" t="s">
        <v>9602</v>
      </c>
      <c r="AD478" t="s">
        <v>9603</v>
      </c>
      <c r="AE478" t="s">
        <v>9604</v>
      </c>
      <c r="AF478" t="s">
        <v>74</v>
      </c>
      <c r="AG478">
        <v>206</v>
      </c>
      <c r="AH478">
        <v>15</v>
      </c>
      <c r="AI478">
        <v>15</v>
      </c>
      <c r="AJ478">
        <v>0</v>
      </c>
      <c r="AK478">
        <v>14</v>
      </c>
      <c r="AL478" t="s">
        <v>4270</v>
      </c>
      <c r="AM478" t="s">
        <v>4271</v>
      </c>
      <c r="AN478" t="s">
        <v>4272</v>
      </c>
      <c r="AO478" t="s">
        <v>9605</v>
      </c>
      <c r="AP478" t="s">
        <v>9606</v>
      </c>
      <c r="AQ478" t="s">
        <v>74</v>
      </c>
      <c r="AR478" t="s">
        <v>9593</v>
      </c>
      <c r="AS478" t="s">
        <v>9607</v>
      </c>
      <c r="AT478" t="s">
        <v>2468</v>
      </c>
      <c r="AU478">
        <v>2018</v>
      </c>
      <c r="AV478">
        <v>47</v>
      </c>
      <c r="AW478">
        <v>1</v>
      </c>
      <c r="AX478" t="s">
        <v>74</v>
      </c>
      <c r="AY478" t="s">
        <v>74</v>
      </c>
      <c r="AZ478" t="s">
        <v>74</v>
      </c>
      <c r="BA478" t="s">
        <v>74</v>
      </c>
      <c r="BB478">
        <v>271</v>
      </c>
      <c r="BC478">
        <v>296</v>
      </c>
      <c r="BD478" t="s">
        <v>74</v>
      </c>
      <c r="BE478" t="s">
        <v>9608</v>
      </c>
      <c r="BF478" t="str">
        <f>HYPERLINK("http://dx.doi.org/10.1111/bor.12265","http://dx.doi.org/10.1111/bor.12265")</f>
        <v>http://dx.doi.org/10.1111/bor.12265</v>
      </c>
      <c r="BG478" t="s">
        <v>74</v>
      </c>
      <c r="BH478" t="s">
        <v>74</v>
      </c>
      <c r="BI478">
        <v>26</v>
      </c>
      <c r="BJ478" t="s">
        <v>233</v>
      </c>
      <c r="BK478" t="s">
        <v>101</v>
      </c>
      <c r="BL478" t="s">
        <v>234</v>
      </c>
      <c r="BM478" t="s">
        <v>9609</v>
      </c>
      <c r="BN478" t="s">
        <v>74</v>
      </c>
      <c r="BO478" t="s">
        <v>1095</v>
      </c>
      <c r="BP478" t="s">
        <v>74</v>
      </c>
      <c r="BQ478" t="s">
        <v>74</v>
      </c>
      <c r="BR478" t="s">
        <v>105</v>
      </c>
      <c r="BS478" t="s">
        <v>9610</v>
      </c>
      <c r="BT478" t="str">
        <f>HYPERLINK("https%3A%2F%2Fwww.webofscience.com%2Fwos%2Fwoscc%2Ffull-record%2FWOS:000419039500017","View Full Record in Web of Science")</f>
        <v>View Full Record in Web of Science</v>
      </c>
    </row>
    <row r="479" spans="1:72" x14ac:dyDescent="0.15">
      <c r="A479" t="s">
        <v>72</v>
      </c>
      <c r="B479" t="s">
        <v>9611</v>
      </c>
      <c r="C479" t="s">
        <v>74</v>
      </c>
      <c r="D479" t="s">
        <v>74</v>
      </c>
      <c r="E479" t="s">
        <v>74</v>
      </c>
      <c r="F479" t="s">
        <v>9612</v>
      </c>
      <c r="G479" t="s">
        <v>74</v>
      </c>
      <c r="H479" t="s">
        <v>74</v>
      </c>
      <c r="I479" t="s">
        <v>9613</v>
      </c>
      <c r="J479" t="s">
        <v>9593</v>
      </c>
      <c r="K479" t="s">
        <v>74</v>
      </c>
      <c r="L479" t="s">
        <v>74</v>
      </c>
      <c r="M479" t="s">
        <v>78</v>
      </c>
      <c r="N479" t="s">
        <v>79</v>
      </c>
      <c r="O479" t="s">
        <v>74</v>
      </c>
      <c r="P479" t="s">
        <v>74</v>
      </c>
      <c r="Q479" t="s">
        <v>74</v>
      </c>
      <c r="R479" t="s">
        <v>74</v>
      </c>
      <c r="S479" t="s">
        <v>74</v>
      </c>
      <c r="T479" t="s">
        <v>74</v>
      </c>
      <c r="U479" t="s">
        <v>9614</v>
      </c>
      <c r="V479" t="s">
        <v>9615</v>
      </c>
      <c r="W479" t="s">
        <v>9616</v>
      </c>
      <c r="X479" t="s">
        <v>9617</v>
      </c>
      <c r="Y479" t="s">
        <v>9618</v>
      </c>
      <c r="Z479" t="s">
        <v>9619</v>
      </c>
      <c r="AA479" t="s">
        <v>9620</v>
      </c>
      <c r="AB479" t="s">
        <v>9621</v>
      </c>
      <c r="AC479" t="s">
        <v>9622</v>
      </c>
      <c r="AD479" t="s">
        <v>9623</v>
      </c>
      <c r="AE479" t="s">
        <v>9624</v>
      </c>
      <c r="AF479" t="s">
        <v>74</v>
      </c>
      <c r="AG479">
        <v>100</v>
      </c>
      <c r="AH479">
        <v>13</v>
      </c>
      <c r="AI479">
        <v>13</v>
      </c>
      <c r="AJ479">
        <v>1</v>
      </c>
      <c r="AK479">
        <v>6</v>
      </c>
      <c r="AL479" t="s">
        <v>4270</v>
      </c>
      <c r="AM479" t="s">
        <v>4271</v>
      </c>
      <c r="AN479" t="s">
        <v>4272</v>
      </c>
      <c r="AO479" t="s">
        <v>9605</v>
      </c>
      <c r="AP479" t="s">
        <v>9606</v>
      </c>
      <c r="AQ479" t="s">
        <v>74</v>
      </c>
      <c r="AR479" t="s">
        <v>9593</v>
      </c>
      <c r="AS479" t="s">
        <v>9607</v>
      </c>
      <c r="AT479" t="s">
        <v>2468</v>
      </c>
      <c r="AU479">
        <v>2018</v>
      </c>
      <c r="AV479">
        <v>47</v>
      </c>
      <c r="AW479">
        <v>1</v>
      </c>
      <c r="AX479" t="s">
        <v>74</v>
      </c>
      <c r="AY479" t="s">
        <v>74</v>
      </c>
      <c r="AZ479" t="s">
        <v>74</v>
      </c>
      <c r="BA479" t="s">
        <v>74</v>
      </c>
      <c r="BB479">
        <v>347</v>
      </c>
      <c r="BC479">
        <v>366</v>
      </c>
      <c r="BD479" t="s">
        <v>74</v>
      </c>
      <c r="BE479" t="s">
        <v>9625</v>
      </c>
      <c r="BF479" t="str">
        <f>HYPERLINK("http://dx.doi.org/10.1111/bor.12272","http://dx.doi.org/10.1111/bor.12272")</f>
        <v>http://dx.doi.org/10.1111/bor.12272</v>
      </c>
      <c r="BG479" t="s">
        <v>74</v>
      </c>
      <c r="BH479" t="s">
        <v>74</v>
      </c>
      <c r="BI479">
        <v>20</v>
      </c>
      <c r="BJ479" t="s">
        <v>233</v>
      </c>
      <c r="BK479" t="s">
        <v>101</v>
      </c>
      <c r="BL479" t="s">
        <v>234</v>
      </c>
      <c r="BM479" t="s">
        <v>9609</v>
      </c>
      <c r="BN479" t="s">
        <v>74</v>
      </c>
      <c r="BO479" t="s">
        <v>74</v>
      </c>
      <c r="BP479" t="s">
        <v>74</v>
      </c>
      <c r="BQ479" t="s">
        <v>74</v>
      </c>
      <c r="BR479" t="s">
        <v>105</v>
      </c>
      <c r="BS479" t="s">
        <v>9626</v>
      </c>
      <c r="BT479" t="str">
        <f>HYPERLINK("https%3A%2F%2Fwww.webofscience.com%2Fwos%2Fwoscc%2Ffull-record%2FWOS:000419039500021","View Full Record in Web of Science")</f>
        <v>View Full Record in Web of Science</v>
      </c>
    </row>
    <row r="480" spans="1:72" x14ac:dyDescent="0.15">
      <c r="A480" t="s">
        <v>72</v>
      </c>
      <c r="B480" t="s">
        <v>9627</v>
      </c>
      <c r="C480" t="s">
        <v>74</v>
      </c>
      <c r="D480" t="s">
        <v>74</v>
      </c>
      <c r="E480" t="s">
        <v>74</v>
      </c>
      <c r="F480" t="s">
        <v>9628</v>
      </c>
      <c r="G480" t="s">
        <v>74</v>
      </c>
      <c r="H480" t="s">
        <v>74</v>
      </c>
      <c r="I480" t="s">
        <v>9629</v>
      </c>
      <c r="J480" t="s">
        <v>9630</v>
      </c>
      <c r="K480" t="s">
        <v>74</v>
      </c>
      <c r="L480" t="s">
        <v>74</v>
      </c>
      <c r="M480" t="s">
        <v>78</v>
      </c>
      <c r="N480" t="s">
        <v>79</v>
      </c>
      <c r="O480" t="s">
        <v>74</v>
      </c>
      <c r="P480" t="s">
        <v>74</v>
      </c>
      <c r="Q480" t="s">
        <v>74</v>
      </c>
      <c r="R480" t="s">
        <v>74</v>
      </c>
      <c r="S480" t="s">
        <v>74</v>
      </c>
      <c r="T480" t="s">
        <v>74</v>
      </c>
      <c r="U480" t="s">
        <v>9631</v>
      </c>
      <c r="V480" t="s">
        <v>74</v>
      </c>
      <c r="W480" t="s">
        <v>9632</v>
      </c>
      <c r="X480" t="s">
        <v>9633</v>
      </c>
      <c r="Y480" t="s">
        <v>9634</v>
      </c>
      <c r="Z480" t="s">
        <v>9635</v>
      </c>
      <c r="AA480" t="s">
        <v>9636</v>
      </c>
      <c r="AB480" t="s">
        <v>9637</v>
      </c>
      <c r="AC480" t="s">
        <v>9638</v>
      </c>
      <c r="AD480" t="s">
        <v>9639</v>
      </c>
      <c r="AE480" t="s">
        <v>9640</v>
      </c>
      <c r="AF480" t="s">
        <v>74</v>
      </c>
      <c r="AG480">
        <v>65</v>
      </c>
      <c r="AH480">
        <v>20</v>
      </c>
      <c r="AI480">
        <v>20</v>
      </c>
      <c r="AJ480">
        <v>0</v>
      </c>
      <c r="AK480">
        <v>38</v>
      </c>
      <c r="AL480" t="s">
        <v>8752</v>
      </c>
      <c r="AM480" t="s">
        <v>1140</v>
      </c>
      <c r="AN480" t="s">
        <v>8753</v>
      </c>
      <c r="AO480" t="s">
        <v>9641</v>
      </c>
      <c r="AP480" t="s">
        <v>9642</v>
      </c>
      <c r="AQ480" t="s">
        <v>74</v>
      </c>
      <c r="AR480" t="s">
        <v>9643</v>
      </c>
      <c r="AS480" t="s">
        <v>9644</v>
      </c>
      <c r="AT480" t="s">
        <v>4251</v>
      </c>
      <c r="AU480">
        <v>2018</v>
      </c>
      <c r="AV480">
        <v>151</v>
      </c>
      <c r="AW480" t="s">
        <v>74</v>
      </c>
      <c r="AX480" t="s">
        <v>74</v>
      </c>
      <c r="AY480" t="s">
        <v>74</v>
      </c>
      <c r="AZ480" t="s">
        <v>74</v>
      </c>
      <c r="BA480" t="s">
        <v>74</v>
      </c>
      <c r="BB480">
        <v>1</v>
      </c>
      <c r="BC480">
        <v>9</v>
      </c>
      <c r="BD480" t="s">
        <v>74</v>
      </c>
      <c r="BE480" t="s">
        <v>9645</v>
      </c>
      <c r="BF480" t="str">
        <f>HYPERLINK("http://dx.doi.org/10.1016/j.ocecoaman.2017.10.031","http://dx.doi.org/10.1016/j.ocecoaman.2017.10.031")</f>
        <v>http://dx.doi.org/10.1016/j.ocecoaman.2017.10.031</v>
      </c>
      <c r="BG480" t="s">
        <v>74</v>
      </c>
      <c r="BH480" t="s">
        <v>74</v>
      </c>
      <c r="BI480">
        <v>9</v>
      </c>
      <c r="BJ480" t="s">
        <v>9646</v>
      </c>
      <c r="BK480" t="s">
        <v>2471</v>
      </c>
      <c r="BL480" t="s">
        <v>9646</v>
      </c>
      <c r="BM480" t="s">
        <v>9647</v>
      </c>
      <c r="BN480" t="s">
        <v>74</v>
      </c>
      <c r="BO480" t="s">
        <v>74</v>
      </c>
      <c r="BP480" t="s">
        <v>74</v>
      </c>
      <c r="BQ480" t="s">
        <v>74</v>
      </c>
      <c r="BR480" t="s">
        <v>105</v>
      </c>
      <c r="BS480" t="s">
        <v>9648</v>
      </c>
      <c r="BT480" t="str">
        <f>HYPERLINK("https%3A%2F%2Fwww.webofscience.com%2Fwos%2Fwoscc%2Ffull-record%2FWOS:000418973100001","View Full Record in Web of Science")</f>
        <v>View Full Record in Web of Science</v>
      </c>
    </row>
    <row r="481" spans="1:72" x14ac:dyDescent="0.15">
      <c r="A481" t="s">
        <v>72</v>
      </c>
      <c r="B481" t="s">
        <v>9649</v>
      </c>
      <c r="C481" t="s">
        <v>74</v>
      </c>
      <c r="D481" t="s">
        <v>74</v>
      </c>
      <c r="E481" t="s">
        <v>74</v>
      </c>
      <c r="F481" t="s">
        <v>9650</v>
      </c>
      <c r="G481" t="s">
        <v>74</v>
      </c>
      <c r="H481" t="s">
        <v>74</v>
      </c>
      <c r="I481" t="s">
        <v>9651</v>
      </c>
      <c r="J481" t="s">
        <v>9652</v>
      </c>
      <c r="K481" t="s">
        <v>74</v>
      </c>
      <c r="L481" t="s">
        <v>74</v>
      </c>
      <c r="M481" t="s">
        <v>78</v>
      </c>
      <c r="N481" t="s">
        <v>289</v>
      </c>
      <c r="O481" t="s">
        <v>74</v>
      </c>
      <c r="P481" t="s">
        <v>74</v>
      </c>
      <c r="Q481" t="s">
        <v>74</v>
      </c>
      <c r="R481" t="s">
        <v>74</v>
      </c>
      <c r="S481" t="s">
        <v>74</v>
      </c>
      <c r="T481" t="s">
        <v>9653</v>
      </c>
      <c r="U481" t="s">
        <v>9654</v>
      </c>
      <c r="V481" t="s">
        <v>9655</v>
      </c>
      <c r="W481" t="s">
        <v>9656</v>
      </c>
      <c r="X481" t="s">
        <v>9657</v>
      </c>
      <c r="Y481" t="s">
        <v>9658</v>
      </c>
      <c r="Z481" t="s">
        <v>9659</v>
      </c>
      <c r="AA481" t="s">
        <v>9660</v>
      </c>
      <c r="AB481" t="s">
        <v>9661</v>
      </c>
      <c r="AC481" t="s">
        <v>9662</v>
      </c>
      <c r="AD481" t="s">
        <v>9663</v>
      </c>
      <c r="AE481" t="s">
        <v>9664</v>
      </c>
      <c r="AF481" t="s">
        <v>74</v>
      </c>
      <c r="AG481">
        <v>134</v>
      </c>
      <c r="AH481">
        <v>37</v>
      </c>
      <c r="AI481">
        <v>39</v>
      </c>
      <c r="AJ481">
        <v>1</v>
      </c>
      <c r="AK481">
        <v>30</v>
      </c>
      <c r="AL481" t="s">
        <v>1973</v>
      </c>
      <c r="AM481" t="s">
        <v>4347</v>
      </c>
      <c r="AN481" t="s">
        <v>4348</v>
      </c>
      <c r="AO481" t="s">
        <v>9665</v>
      </c>
      <c r="AP481" t="s">
        <v>9666</v>
      </c>
      <c r="AQ481" t="s">
        <v>74</v>
      </c>
      <c r="AR481" t="s">
        <v>9667</v>
      </c>
      <c r="AS481" t="s">
        <v>9668</v>
      </c>
      <c r="AT481" t="s">
        <v>2468</v>
      </c>
      <c r="AU481">
        <v>2018</v>
      </c>
      <c r="AV481">
        <v>39</v>
      </c>
      <c r="AW481">
        <v>1</v>
      </c>
      <c r="AX481" t="s">
        <v>74</v>
      </c>
      <c r="AY481" t="s">
        <v>74</v>
      </c>
      <c r="AZ481" t="s">
        <v>74</v>
      </c>
      <c r="BA481" t="s">
        <v>74</v>
      </c>
      <c r="BB481">
        <v>23</v>
      </c>
      <c r="BC481">
        <v>56</v>
      </c>
      <c r="BD481" t="s">
        <v>74</v>
      </c>
      <c r="BE481" t="s">
        <v>9669</v>
      </c>
      <c r="BF481" t="str">
        <f>HYPERLINK("http://dx.doi.org/10.1007/s10712-017-9423-5","http://dx.doi.org/10.1007/s10712-017-9423-5")</f>
        <v>http://dx.doi.org/10.1007/s10712-017-9423-5</v>
      </c>
      <c r="BG481" t="s">
        <v>74</v>
      </c>
      <c r="BH481" t="s">
        <v>74</v>
      </c>
      <c r="BI481">
        <v>34</v>
      </c>
      <c r="BJ481" t="s">
        <v>1148</v>
      </c>
      <c r="BK481" t="s">
        <v>101</v>
      </c>
      <c r="BL481" t="s">
        <v>1148</v>
      </c>
      <c r="BM481" t="s">
        <v>9670</v>
      </c>
      <c r="BN481" t="s">
        <v>74</v>
      </c>
      <c r="BO481" t="s">
        <v>5571</v>
      </c>
      <c r="BP481" t="s">
        <v>74</v>
      </c>
      <c r="BQ481" t="s">
        <v>74</v>
      </c>
      <c r="BR481" t="s">
        <v>105</v>
      </c>
      <c r="BS481" t="s">
        <v>9671</v>
      </c>
      <c r="BT481" t="str">
        <f>HYPERLINK("https%3A%2F%2Fwww.webofscience.com%2Fwos%2Fwoscc%2Ffull-record%2FWOS:000419172900002","View Full Record in Web of Science")</f>
        <v>View Full Record in Web of Science</v>
      </c>
    </row>
    <row r="482" spans="1:72" x14ac:dyDescent="0.15">
      <c r="A482" t="s">
        <v>72</v>
      </c>
      <c r="B482" t="s">
        <v>9672</v>
      </c>
      <c r="C482" t="s">
        <v>74</v>
      </c>
      <c r="D482" t="s">
        <v>74</v>
      </c>
      <c r="E482" t="s">
        <v>74</v>
      </c>
      <c r="F482" t="s">
        <v>9673</v>
      </c>
      <c r="G482" t="s">
        <v>74</v>
      </c>
      <c r="H482" t="s">
        <v>74</v>
      </c>
      <c r="I482" t="s">
        <v>9674</v>
      </c>
      <c r="J482" t="s">
        <v>9675</v>
      </c>
      <c r="K482" t="s">
        <v>74</v>
      </c>
      <c r="L482" t="s">
        <v>74</v>
      </c>
      <c r="M482" t="s">
        <v>78</v>
      </c>
      <c r="N482" t="s">
        <v>79</v>
      </c>
      <c r="O482" t="s">
        <v>74</v>
      </c>
      <c r="P482" t="s">
        <v>74</v>
      </c>
      <c r="Q482" t="s">
        <v>74</v>
      </c>
      <c r="R482" t="s">
        <v>74</v>
      </c>
      <c r="S482" t="s">
        <v>74</v>
      </c>
      <c r="T482" t="s">
        <v>9676</v>
      </c>
      <c r="U482" t="s">
        <v>9677</v>
      </c>
      <c r="V482" t="s">
        <v>9678</v>
      </c>
      <c r="W482" t="s">
        <v>9679</v>
      </c>
      <c r="X482" t="s">
        <v>9680</v>
      </c>
      <c r="Y482" t="s">
        <v>9681</v>
      </c>
      <c r="Z482" t="s">
        <v>9682</v>
      </c>
      <c r="AA482" t="s">
        <v>9683</v>
      </c>
      <c r="AB482" t="s">
        <v>9684</v>
      </c>
      <c r="AC482" t="s">
        <v>9685</v>
      </c>
      <c r="AD482" t="s">
        <v>9685</v>
      </c>
      <c r="AE482" t="s">
        <v>9686</v>
      </c>
      <c r="AF482" t="s">
        <v>74</v>
      </c>
      <c r="AG482">
        <v>40</v>
      </c>
      <c r="AH482">
        <v>17</v>
      </c>
      <c r="AI482">
        <v>19</v>
      </c>
      <c r="AJ482">
        <v>7</v>
      </c>
      <c r="AK482">
        <v>74</v>
      </c>
      <c r="AL482" t="s">
        <v>1973</v>
      </c>
      <c r="AM482" t="s">
        <v>1797</v>
      </c>
      <c r="AN482" t="s">
        <v>4066</v>
      </c>
      <c r="AO482" t="s">
        <v>9687</v>
      </c>
      <c r="AP482" t="s">
        <v>9688</v>
      </c>
      <c r="AQ482" t="s">
        <v>74</v>
      </c>
      <c r="AR482" t="s">
        <v>9689</v>
      </c>
      <c r="AS482" t="s">
        <v>9690</v>
      </c>
      <c r="AT482" t="s">
        <v>2468</v>
      </c>
      <c r="AU482">
        <v>2018</v>
      </c>
      <c r="AV482">
        <v>11</v>
      </c>
      <c r="AW482">
        <v>1</v>
      </c>
      <c r="AX482" t="s">
        <v>74</v>
      </c>
      <c r="AY482" t="s">
        <v>74</v>
      </c>
      <c r="AZ482" t="s">
        <v>74</v>
      </c>
      <c r="BA482" t="s">
        <v>74</v>
      </c>
      <c r="BB482">
        <v>178</v>
      </c>
      <c r="BC482">
        <v>187</v>
      </c>
      <c r="BD482" t="s">
        <v>74</v>
      </c>
      <c r="BE482" t="s">
        <v>9691</v>
      </c>
      <c r="BF482" t="str">
        <f>HYPERLINK("http://dx.doi.org/10.1007/s12161-017-0988-x","http://dx.doi.org/10.1007/s12161-017-0988-x")</f>
        <v>http://dx.doi.org/10.1007/s12161-017-0988-x</v>
      </c>
      <c r="BG482" t="s">
        <v>74</v>
      </c>
      <c r="BH482" t="s">
        <v>74</v>
      </c>
      <c r="BI482">
        <v>10</v>
      </c>
      <c r="BJ482" t="s">
        <v>4481</v>
      </c>
      <c r="BK482" t="s">
        <v>101</v>
      </c>
      <c r="BL482" t="s">
        <v>4481</v>
      </c>
      <c r="BM482" t="s">
        <v>9692</v>
      </c>
      <c r="BN482" t="s">
        <v>74</v>
      </c>
      <c r="BO482" t="s">
        <v>74</v>
      </c>
      <c r="BP482" t="s">
        <v>74</v>
      </c>
      <c r="BQ482" t="s">
        <v>74</v>
      </c>
      <c r="BR482" t="s">
        <v>105</v>
      </c>
      <c r="BS482" t="s">
        <v>9693</v>
      </c>
      <c r="BT482" t="str">
        <f>HYPERLINK("https%3A%2F%2Fwww.webofscience.com%2Fwos%2Fwoscc%2Ffull-record%2FWOS:000418836200018","View Full Record in Web of Science")</f>
        <v>View Full Record in Web of Science</v>
      </c>
    </row>
    <row r="483" spans="1:72" x14ac:dyDescent="0.15">
      <c r="A483" t="s">
        <v>72</v>
      </c>
      <c r="B483" t="s">
        <v>9694</v>
      </c>
      <c r="C483" t="s">
        <v>74</v>
      </c>
      <c r="D483" t="s">
        <v>74</v>
      </c>
      <c r="E483" t="s">
        <v>74</v>
      </c>
      <c r="F483" t="s">
        <v>9695</v>
      </c>
      <c r="G483" t="s">
        <v>74</v>
      </c>
      <c r="H483" t="s">
        <v>74</v>
      </c>
      <c r="I483" t="s">
        <v>9696</v>
      </c>
      <c r="J483" t="s">
        <v>5552</v>
      </c>
      <c r="K483" t="s">
        <v>74</v>
      </c>
      <c r="L483" t="s">
        <v>74</v>
      </c>
      <c r="M483" t="s">
        <v>78</v>
      </c>
      <c r="N483" t="s">
        <v>79</v>
      </c>
      <c r="O483" t="s">
        <v>74</v>
      </c>
      <c r="P483" t="s">
        <v>74</v>
      </c>
      <c r="Q483" t="s">
        <v>74</v>
      </c>
      <c r="R483" t="s">
        <v>74</v>
      </c>
      <c r="S483" t="s">
        <v>74</v>
      </c>
      <c r="T483" t="s">
        <v>9697</v>
      </c>
      <c r="U483" t="s">
        <v>9698</v>
      </c>
      <c r="V483" t="s">
        <v>9699</v>
      </c>
      <c r="W483" t="s">
        <v>9700</v>
      </c>
      <c r="X483" t="s">
        <v>6157</v>
      </c>
      <c r="Y483" t="s">
        <v>9701</v>
      </c>
      <c r="Z483" t="s">
        <v>9702</v>
      </c>
      <c r="AA483" t="s">
        <v>9703</v>
      </c>
      <c r="AB483" t="s">
        <v>9704</v>
      </c>
      <c r="AC483" t="s">
        <v>74</v>
      </c>
      <c r="AD483" t="s">
        <v>74</v>
      </c>
      <c r="AE483" t="s">
        <v>74</v>
      </c>
      <c r="AF483" t="s">
        <v>74</v>
      </c>
      <c r="AG483">
        <v>62</v>
      </c>
      <c r="AH483">
        <v>3</v>
      </c>
      <c r="AI483">
        <v>4</v>
      </c>
      <c r="AJ483">
        <v>0</v>
      </c>
      <c r="AK483">
        <v>17</v>
      </c>
      <c r="AL483" t="s">
        <v>1973</v>
      </c>
      <c r="AM483" t="s">
        <v>1797</v>
      </c>
      <c r="AN483" t="s">
        <v>5588</v>
      </c>
      <c r="AO483" t="s">
        <v>5565</v>
      </c>
      <c r="AP483" t="s">
        <v>5566</v>
      </c>
      <c r="AQ483" t="s">
        <v>74</v>
      </c>
      <c r="AR483" t="s">
        <v>5567</v>
      </c>
      <c r="AS483" t="s">
        <v>5568</v>
      </c>
      <c r="AT483" t="s">
        <v>2468</v>
      </c>
      <c r="AU483">
        <v>2018</v>
      </c>
      <c r="AV483">
        <v>41</v>
      </c>
      <c r="AW483">
        <v>1</v>
      </c>
      <c r="AX483" t="s">
        <v>74</v>
      </c>
      <c r="AY483" t="s">
        <v>74</v>
      </c>
      <c r="AZ483" t="s">
        <v>74</v>
      </c>
      <c r="BA483" t="s">
        <v>74</v>
      </c>
      <c r="BB483">
        <v>1</v>
      </c>
      <c r="BC483">
        <v>10</v>
      </c>
      <c r="BD483" t="s">
        <v>74</v>
      </c>
      <c r="BE483" t="s">
        <v>9705</v>
      </c>
      <c r="BF483" t="str">
        <f>HYPERLINK("http://dx.doi.org/10.1007/s00300-017-2165-5","http://dx.doi.org/10.1007/s00300-017-2165-5")</f>
        <v>http://dx.doi.org/10.1007/s00300-017-2165-5</v>
      </c>
      <c r="BG483" t="s">
        <v>74</v>
      </c>
      <c r="BH483" t="s">
        <v>74</v>
      </c>
      <c r="BI483">
        <v>10</v>
      </c>
      <c r="BJ483" t="s">
        <v>4277</v>
      </c>
      <c r="BK483" t="s">
        <v>101</v>
      </c>
      <c r="BL483" t="s">
        <v>4278</v>
      </c>
      <c r="BM483" t="s">
        <v>5570</v>
      </c>
      <c r="BN483" t="s">
        <v>74</v>
      </c>
      <c r="BO483" t="s">
        <v>74</v>
      </c>
      <c r="BP483" t="s">
        <v>74</v>
      </c>
      <c r="BQ483" t="s">
        <v>74</v>
      </c>
      <c r="BR483" t="s">
        <v>105</v>
      </c>
      <c r="BS483" t="s">
        <v>9706</v>
      </c>
      <c r="BT483" t="str">
        <f>HYPERLINK("https%3A%2F%2Fwww.webofscience.com%2Fwos%2Fwoscc%2Ffull-record%2FWOS:000418839500001","View Full Record in Web of Science")</f>
        <v>View Full Record in Web of Science</v>
      </c>
    </row>
    <row r="484" spans="1:72" x14ac:dyDescent="0.15">
      <c r="A484" t="s">
        <v>72</v>
      </c>
      <c r="B484" t="s">
        <v>9707</v>
      </c>
      <c r="C484" t="s">
        <v>74</v>
      </c>
      <c r="D484" t="s">
        <v>74</v>
      </c>
      <c r="E484" t="s">
        <v>74</v>
      </c>
      <c r="F484" t="s">
        <v>9708</v>
      </c>
      <c r="G484" t="s">
        <v>74</v>
      </c>
      <c r="H484" t="s">
        <v>74</v>
      </c>
      <c r="I484" t="s">
        <v>9709</v>
      </c>
      <c r="J484" t="s">
        <v>5552</v>
      </c>
      <c r="K484" t="s">
        <v>74</v>
      </c>
      <c r="L484" t="s">
        <v>74</v>
      </c>
      <c r="M484" t="s">
        <v>78</v>
      </c>
      <c r="N484" t="s">
        <v>79</v>
      </c>
      <c r="O484" t="s">
        <v>74</v>
      </c>
      <c r="P484" t="s">
        <v>74</v>
      </c>
      <c r="Q484" t="s">
        <v>74</v>
      </c>
      <c r="R484" t="s">
        <v>74</v>
      </c>
      <c r="S484" t="s">
        <v>74</v>
      </c>
      <c r="T484" t="s">
        <v>9710</v>
      </c>
      <c r="U484" t="s">
        <v>9711</v>
      </c>
      <c r="V484" t="s">
        <v>9712</v>
      </c>
      <c r="W484" t="s">
        <v>9713</v>
      </c>
      <c r="X484" t="s">
        <v>9714</v>
      </c>
      <c r="Y484" t="s">
        <v>9715</v>
      </c>
      <c r="Z484" t="s">
        <v>9716</v>
      </c>
      <c r="AA484" t="s">
        <v>9717</v>
      </c>
      <c r="AB484" t="s">
        <v>9718</v>
      </c>
      <c r="AC484" t="s">
        <v>9719</v>
      </c>
      <c r="AD484" t="s">
        <v>9720</v>
      </c>
      <c r="AE484" t="s">
        <v>9721</v>
      </c>
      <c r="AF484" t="s">
        <v>74</v>
      </c>
      <c r="AG484">
        <v>108</v>
      </c>
      <c r="AH484">
        <v>8</v>
      </c>
      <c r="AI484">
        <v>9</v>
      </c>
      <c r="AJ484">
        <v>0</v>
      </c>
      <c r="AK484">
        <v>31</v>
      </c>
      <c r="AL484" t="s">
        <v>1973</v>
      </c>
      <c r="AM484" t="s">
        <v>1797</v>
      </c>
      <c r="AN484" t="s">
        <v>5588</v>
      </c>
      <c r="AO484" t="s">
        <v>5565</v>
      </c>
      <c r="AP484" t="s">
        <v>5566</v>
      </c>
      <c r="AQ484" t="s">
        <v>74</v>
      </c>
      <c r="AR484" t="s">
        <v>5567</v>
      </c>
      <c r="AS484" t="s">
        <v>5568</v>
      </c>
      <c r="AT484" t="s">
        <v>2468</v>
      </c>
      <c r="AU484">
        <v>2018</v>
      </c>
      <c r="AV484">
        <v>41</v>
      </c>
      <c r="AW484">
        <v>1</v>
      </c>
      <c r="AX484" t="s">
        <v>74</v>
      </c>
      <c r="AY484" t="s">
        <v>74</v>
      </c>
      <c r="AZ484" t="s">
        <v>74</v>
      </c>
      <c r="BA484" t="s">
        <v>74</v>
      </c>
      <c r="BB484">
        <v>25</v>
      </c>
      <c r="BC484">
        <v>40</v>
      </c>
      <c r="BD484" t="s">
        <v>74</v>
      </c>
      <c r="BE484" t="s">
        <v>9722</v>
      </c>
      <c r="BF484" t="str">
        <f>HYPERLINK("http://dx.doi.org/10.1007/s00300-017-2167-3","http://dx.doi.org/10.1007/s00300-017-2167-3")</f>
        <v>http://dx.doi.org/10.1007/s00300-017-2167-3</v>
      </c>
      <c r="BG484" t="s">
        <v>74</v>
      </c>
      <c r="BH484" t="s">
        <v>74</v>
      </c>
      <c r="BI484">
        <v>16</v>
      </c>
      <c r="BJ484" t="s">
        <v>4277</v>
      </c>
      <c r="BK484" t="s">
        <v>101</v>
      </c>
      <c r="BL484" t="s">
        <v>4278</v>
      </c>
      <c r="BM484" t="s">
        <v>5570</v>
      </c>
      <c r="BN484" t="s">
        <v>74</v>
      </c>
      <c r="BO484" t="s">
        <v>432</v>
      </c>
      <c r="BP484" t="s">
        <v>74</v>
      </c>
      <c r="BQ484" t="s">
        <v>74</v>
      </c>
      <c r="BR484" t="s">
        <v>105</v>
      </c>
      <c r="BS484" t="s">
        <v>9723</v>
      </c>
      <c r="BT484" t="str">
        <f>HYPERLINK("https%3A%2F%2Fwww.webofscience.com%2Fwos%2Fwoscc%2Ffull-record%2FWOS:000418839500003","View Full Record in Web of Science")</f>
        <v>View Full Record in Web of Science</v>
      </c>
    </row>
    <row r="485" spans="1:72" x14ac:dyDescent="0.15">
      <c r="A485" t="s">
        <v>72</v>
      </c>
      <c r="B485" t="s">
        <v>9724</v>
      </c>
      <c r="C485" t="s">
        <v>74</v>
      </c>
      <c r="D485" t="s">
        <v>74</v>
      </c>
      <c r="E485" t="s">
        <v>74</v>
      </c>
      <c r="F485" t="s">
        <v>9725</v>
      </c>
      <c r="G485" t="s">
        <v>74</v>
      </c>
      <c r="H485" t="s">
        <v>74</v>
      </c>
      <c r="I485" t="s">
        <v>9726</v>
      </c>
      <c r="J485" t="s">
        <v>5552</v>
      </c>
      <c r="K485" t="s">
        <v>74</v>
      </c>
      <c r="L485" t="s">
        <v>74</v>
      </c>
      <c r="M485" t="s">
        <v>78</v>
      </c>
      <c r="N485" t="s">
        <v>79</v>
      </c>
      <c r="O485" t="s">
        <v>74</v>
      </c>
      <c r="P485" t="s">
        <v>74</v>
      </c>
      <c r="Q485" t="s">
        <v>74</v>
      </c>
      <c r="R485" t="s">
        <v>74</v>
      </c>
      <c r="S485" t="s">
        <v>74</v>
      </c>
      <c r="T485" t="s">
        <v>9727</v>
      </c>
      <c r="U485" t="s">
        <v>9728</v>
      </c>
      <c r="V485" t="s">
        <v>9729</v>
      </c>
      <c r="W485" t="s">
        <v>9730</v>
      </c>
      <c r="X485" t="s">
        <v>9731</v>
      </c>
      <c r="Y485" t="s">
        <v>9732</v>
      </c>
      <c r="Z485" t="s">
        <v>9733</v>
      </c>
      <c r="AA485" t="s">
        <v>74</v>
      </c>
      <c r="AB485" t="s">
        <v>9734</v>
      </c>
      <c r="AC485" t="s">
        <v>9735</v>
      </c>
      <c r="AD485" t="s">
        <v>9736</v>
      </c>
      <c r="AE485" t="s">
        <v>9737</v>
      </c>
      <c r="AF485" t="s">
        <v>74</v>
      </c>
      <c r="AG485">
        <v>25</v>
      </c>
      <c r="AH485">
        <v>7</v>
      </c>
      <c r="AI485">
        <v>8</v>
      </c>
      <c r="AJ485">
        <v>1</v>
      </c>
      <c r="AK485">
        <v>25</v>
      </c>
      <c r="AL485" t="s">
        <v>1973</v>
      </c>
      <c r="AM485" t="s">
        <v>1797</v>
      </c>
      <c r="AN485" t="s">
        <v>5588</v>
      </c>
      <c r="AO485" t="s">
        <v>5565</v>
      </c>
      <c r="AP485" t="s">
        <v>5566</v>
      </c>
      <c r="AQ485" t="s">
        <v>74</v>
      </c>
      <c r="AR485" t="s">
        <v>5567</v>
      </c>
      <c r="AS485" t="s">
        <v>5568</v>
      </c>
      <c r="AT485" t="s">
        <v>2468</v>
      </c>
      <c r="AU485">
        <v>2018</v>
      </c>
      <c r="AV485">
        <v>41</v>
      </c>
      <c r="AW485">
        <v>1</v>
      </c>
      <c r="AX485" t="s">
        <v>74</v>
      </c>
      <c r="AY485" t="s">
        <v>74</v>
      </c>
      <c r="AZ485" t="s">
        <v>74</v>
      </c>
      <c r="BA485" t="s">
        <v>74</v>
      </c>
      <c r="BB485">
        <v>71</v>
      </c>
      <c r="BC485">
        <v>77</v>
      </c>
      <c r="BD485" t="s">
        <v>74</v>
      </c>
      <c r="BE485" t="s">
        <v>9738</v>
      </c>
      <c r="BF485" t="str">
        <f>HYPERLINK("http://dx.doi.org/10.1007/s00300-017-2170-8","http://dx.doi.org/10.1007/s00300-017-2170-8")</f>
        <v>http://dx.doi.org/10.1007/s00300-017-2170-8</v>
      </c>
      <c r="BG485" t="s">
        <v>74</v>
      </c>
      <c r="BH485" t="s">
        <v>74</v>
      </c>
      <c r="BI485">
        <v>7</v>
      </c>
      <c r="BJ485" t="s">
        <v>4277</v>
      </c>
      <c r="BK485" t="s">
        <v>101</v>
      </c>
      <c r="BL485" t="s">
        <v>4278</v>
      </c>
      <c r="BM485" t="s">
        <v>5570</v>
      </c>
      <c r="BN485" t="s">
        <v>74</v>
      </c>
      <c r="BO485" t="s">
        <v>5571</v>
      </c>
      <c r="BP485" t="s">
        <v>74</v>
      </c>
      <c r="BQ485" t="s">
        <v>74</v>
      </c>
      <c r="BR485" t="s">
        <v>105</v>
      </c>
      <c r="BS485" t="s">
        <v>9739</v>
      </c>
      <c r="BT485" t="str">
        <f>HYPERLINK("https%3A%2F%2Fwww.webofscience.com%2Fwos%2Fwoscc%2Ffull-record%2FWOS:000418839500006","View Full Record in Web of Science")</f>
        <v>View Full Record in Web of Science</v>
      </c>
    </row>
    <row r="486" spans="1:72" x14ac:dyDescent="0.15">
      <c r="A486" t="s">
        <v>72</v>
      </c>
      <c r="B486" t="s">
        <v>9740</v>
      </c>
      <c r="C486" t="s">
        <v>74</v>
      </c>
      <c r="D486" t="s">
        <v>74</v>
      </c>
      <c r="E486" t="s">
        <v>74</v>
      </c>
      <c r="F486" t="s">
        <v>9741</v>
      </c>
      <c r="G486" t="s">
        <v>74</v>
      </c>
      <c r="H486" t="s">
        <v>74</v>
      </c>
      <c r="I486" t="s">
        <v>9742</v>
      </c>
      <c r="J486" t="s">
        <v>5552</v>
      </c>
      <c r="K486" t="s">
        <v>74</v>
      </c>
      <c r="L486" t="s">
        <v>74</v>
      </c>
      <c r="M486" t="s">
        <v>78</v>
      </c>
      <c r="N486" t="s">
        <v>79</v>
      </c>
      <c r="O486" t="s">
        <v>74</v>
      </c>
      <c r="P486" t="s">
        <v>74</v>
      </c>
      <c r="Q486" t="s">
        <v>74</v>
      </c>
      <c r="R486" t="s">
        <v>74</v>
      </c>
      <c r="S486" t="s">
        <v>74</v>
      </c>
      <c r="T486" t="s">
        <v>9743</v>
      </c>
      <c r="U486" t="s">
        <v>9744</v>
      </c>
      <c r="V486" t="s">
        <v>9745</v>
      </c>
      <c r="W486" t="s">
        <v>9746</v>
      </c>
      <c r="X486" t="s">
        <v>1577</v>
      </c>
      <c r="Y486" t="s">
        <v>9747</v>
      </c>
      <c r="Z486" t="s">
        <v>9748</v>
      </c>
      <c r="AA486" t="s">
        <v>74</v>
      </c>
      <c r="AB486" t="s">
        <v>74</v>
      </c>
      <c r="AC486" t="s">
        <v>74</v>
      </c>
      <c r="AD486" t="s">
        <v>74</v>
      </c>
      <c r="AE486" t="s">
        <v>74</v>
      </c>
      <c r="AF486" t="s">
        <v>74</v>
      </c>
      <c r="AG486">
        <v>15</v>
      </c>
      <c r="AH486">
        <v>4</v>
      </c>
      <c r="AI486">
        <v>6</v>
      </c>
      <c r="AJ486">
        <v>1</v>
      </c>
      <c r="AK486">
        <v>28</v>
      </c>
      <c r="AL486" t="s">
        <v>1973</v>
      </c>
      <c r="AM486" t="s">
        <v>1797</v>
      </c>
      <c r="AN486" t="s">
        <v>5588</v>
      </c>
      <c r="AO486" t="s">
        <v>5565</v>
      </c>
      <c r="AP486" t="s">
        <v>5566</v>
      </c>
      <c r="AQ486" t="s">
        <v>74</v>
      </c>
      <c r="AR486" t="s">
        <v>5567</v>
      </c>
      <c r="AS486" t="s">
        <v>5568</v>
      </c>
      <c r="AT486" t="s">
        <v>2468</v>
      </c>
      <c r="AU486">
        <v>2018</v>
      </c>
      <c r="AV486">
        <v>41</v>
      </c>
      <c r="AW486">
        <v>1</v>
      </c>
      <c r="AX486" t="s">
        <v>74</v>
      </c>
      <c r="AY486" t="s">
        <v>74</v>
      </c>
      <c r="AZ486" t="s">
        <v>74</v>
      </c>
      <c r="BA486" t="s">
        <v>74</v>
      </c>
      <c r="BB486">
        <v>111</v>
      </c>
      <c r="BC486">
        <v>114</v>
      </c>
      <c r="BD486" t="s">
        <v>74</v>
      </c>
      <c r="BE486" t="s">
        <v>9749</v>
      </c>
      <c r="BF486" t="str">
        <f>HYPERLINK("http://dx.doi.org/10.1007/s00300-017-2174-4","http://dx.doi.org/10.1007/s00300-017-2174-4")</f>
        <v>http://dx.doi.org/10.1007/s00300-017-2174-4</v>
      </c>
      <c r="BG486" t="s">
        <v>74</v>
      </c>
      <c r="BH486" t="s">
        <v>74</v>
      </c>
      <c r="BI486">
        <v>4</v>
      </c>
      <c r="BJ486" t="s">
        <v>4277</v>
      </c>
      <c r="BK486" t="s">
        <v>101</v>
      </c>
      <c r="BL486" t="s">
        <v>4278</v>
      </c>
      <c r="BM486" t="s">
        <v>5570</v>
      </c>
      <c r="BN486" t="s">
        <v>74</v>
      </c>
      <c r="BO486" t="s">
        <v>74</v>
      </c>
      <c r="BP486" t="s">
        <v>74</v>
      </c>
      <c r="BQ486" t="s">
        <v>74</v>
      </c>
      <c r="BR486" t="s">
        <v>105</v>
      </c>
      <c r="BS486" t="s">
        <v>9750</v>
      </c>
      <c r="BT486" t="str">
        <f>HYPERLINK("https%3A%2F%2Fwww.webofscience.com%2Fwos%2Fwoscc%2Ffull-record%2FWOS:000418839500010","View Full Record in Web of Science")</f>
        <v>View Full Record in Web of Science</v>
      </c>
    </row>
    <row r="487" spans="1:72" x14ac:dyDescent="0.15">
      <c r="A487" t="s">
        <v>72</v>
      </c>
      <c r="B487" t="s">
        <v>9751</v>
      </c>
      <c r="C487" t="s">
        <v>74</v>
      </c>
      <c r="D487" t="s">
        <v>74</v>
      </c>
      <c r="E487" t="s">
        <v>74</v>
      </c>
      <c r="F487" t="s">
        <v>9752</v>
      </c>
      <c r="G487" t="s">
        <v>74</v>
      </c>
      <c r="H487" t="s">
        <v>74</v>
      </c>
      <c r="I487" t="s">
        <v>9753</v>
      </c>
      <c r="J487" t="s">
        <v>5552</v>
      </c>
      <c r="K487" t="s">
        <v>74</v>
      </c>
      <c r="L487" t="s">
        <v>74</v>
      </c>
      <c r="M487" t="s">
        <v>78</v>
      </c>
      <c r="N487" t="s">
        <v>79</v>
      </c>
      <c r="O487" t="s">
        <v>74</v>
      </c>
      <c r="P487" t="s">
        <v>74</v>
      </c>
      <c r="Q487" t="s">
        <v>74</v>
      </c>
      <c r="R487" t="s">
        <v>74</v>
      </c>
      <c r="S487" t="s">
        <v>74</v>
      </c>
      <c r="T487" t="s">
        <v>9754</v>
      </c>
      <c r="U487" t="s">
        <v>9755</v>
      </c>
      <c r="V487" t="s">
        <v>9756</v>
      </c>
      <c r="W487" t="s">
        <v>9757</v>
      </c>
      <c r="X487" t="s">
        <v>9758</v>
      </c>
      <c r="Y487" t="s">
        <v>9759</v>
      </c>
      <c r="Z487" t="s">
        <v>9760</v>
      </c>
      <c r="AA487" t="s">
        <v>9761</v>
      </c>
      <c r="AB487" t="s">
        <v>9762</v>
      </c>
      <c r="AC487" t="s">
        <v>74</v>
      </c>
      <c r="AD487" t="s">
        <v>74</v>
      </c>
      <c r="AE487" t="s">
        <v>74</v>
      </c>
      <c r="AF487" t="s">
        <v>74</v>
      </c>
      <c r="AG487">
        <v>29</v>
      </c>
      <c r="AH487">
        <v>0</v>
      </c>
      <c r="AI487">
        <v>1</v>
      </c>
      <c r="AJ487">
        <v>0</v>
      </c>
      <c r="AK487">
        <v>9</v>
      </c>
      <c r="AL487" t="s">
        <v>1973</v>
      </c>
      <c r="AM487" t="s">
        <v>1797</v>
      </c>
      <c r="AN487" t="s">
        <v>5588</v>
      </c>
      <c r="AO487" t="s">
        <v>5565</v>
      </c>
      <c r="AP487" t="s">
        <v>5566</v>
      </c>
      <c r="AQ487" t="s">
        <v>74</v>
      </c>
      <c r="AR487" t="s">
        <v>5567</v>
      </c>
      <c r="AS487" t="s">
        <v>5568</v>
      </c>
      <c r="AT487" t="s">
        <v>2468</v>
      </c>
      <c r="AU487">
        <v>2018</v>
      </c>
      <c r="AV487">
        <v>41</v>
      </c>
      <c r="AW487">
        <v>1</v>
      </c>
      <c r="AX487" t="s">
        <v>74</v>
      </c>
      <c r="AY487" t="s">
        <v>74</v>
      </c>
      <c r="AZ487" t="s">
        <v>74</v>
      </c>
      <c r="BA487" t="s">
        <v>74</v>
      </c>
      <c r="BB487">
        <v>143</v>
      </c>
      <c r="BC487">
        <v>147</v>
      </c>
      <c r="BD487" t="s">
        <v>74</v>
      </c>
      <c r="BE487" t="s">
        <v>9763</v>
      </c>
      <c r="BF487" t="str">
        <f>HYPERLINK("http://dx.doi.org/10.1007/s00300-017-2177-1","http://dx.doi.org/10.1007/s00300-017-2177-1")</f>
        <v>http://dx.doi.org/10.1007/s00300-017-2177-1</v>
      </c>
      <c r="BG487" t="s">
        <v>74</v>
      </c>
      <c r="BH487" t="s">
        <v>74</v>
      </c>
      <c r="BI487">
        <v>5</v>
      </c>
      <c r="BJ487" t="s">
        <v>4277</v>
      </c>
      <c r="BK487" t="s">
        <v>101</v>
      </c>
      <c r="BL487" t="s">
        <v>4278</v>
      </c>
      <c r="BM487" t="s">
        <v>5570</v>
      </c>
      <c r="BN487" t="s">
        <v>74</v>
      </c>
      <c r="BO487" t="s">
        <v>74</v>
      </c>
      <c r="BP487" t="s">
        <v>74</v>
      </c>
      <c r="BQ487" t="s">
        <v>74</v>
      </c>
      <c r="BR487" t="s">
        <v>105</v>
      </c>
      <c r="BS487" t="s">
        <v>9764</v>
      </c>
      <c r="BT487" t="str">
        <f>HYPERLINK("https%3A%2F%2Fwww.webofscience.com%2Fwos%2Fwoscc%2Ffull-record%2FWOS:000418839500013","View Full Record in Web of Science")</f>
        <v>View Full Record in Web of Science</v>
      </c>
    </row>
    <row r="488" spans="1:72" x14ac:dyDescent="0.15">
      <c r="A488" t="s">
        <v>72</v>
      </c>
      <c r="B488" t="s">
        <v>9765</v>
      </c>
      <c r="C488" t="s">
        <v>74</v>
      </c>
      <c r="D488" t="s">
        <v>74</v>
      </c>
      <c r="E488" t="s">
        <v>74</v>
      </c>
      <c r="F488" t="s">
        <v>9766</v>
      </c>
      <c r="G488" t="s">
        <v>74</v>
      </c>
      <c r="H488" t="s">
        <v>74</v>
      </c>
      <c r="I488" t="s">
        <v>9767</v>
      </c>
      <c r="J488" t="s">
        <v>1216</v>
      </c>
      <c r="K488" t="s">
        <v>74</v>
      </c>
      <c r="L488" t="s">
        <v>74</v>
      </c>
      <c r="M488" t="s">
        <v>78</v>
      </c>
      <c r="N488" t="s">
        <v>79</v>
      </c>
      <c r="O488" t="s">
        <v>74</v>
      </c>
      <c r="P488" t="s">
        <v>74</v>
      </c>
      <c r="Q488" t="s">
        <v>74</v>
      </c>
      <c r="R488" t="s">
        <v>74</v>
      </c>
      <c r="S488" t="s">
        <v>74</v>
      </c>
      <c r="T488" t="s">
        <v>9768</v>
      </c>
      <c r="U488" t="s">
        <v>9769</v>
      </c>
      <c r="V488" t="s">
        <v>9770</v>
      </c>
      <c r="W488" t="s">
        <v>9771</v>
      </c>
      <c r="X488" t="s">
        <v>9772</v>
      </c>
      <c r="Y488" t="s">
        <v>9773</v>
      </c>
      <c r="Z488" t="s">
        <v>9774</v>
      </c>
      <c r="AA488" t="s">
        <v>9775</v>
      </c>
      <c r="AB488" t="s">
        <v>9776</v>
      </c>
      <c r="AC488" t="s">
        <v>9777</v>
      </c>
      <c r="AD488" t="s">
        <v>9778</v>
      </c>
      <c r="AE488" t="s">
        <v>9779</v>
      </c>
      <c r="AF488" t="s">
        <v>74</v>
      </c>
      <c r="AG488">
        <v>76</v>
      </c>
      <c r="AH488">
        <v>25</v>
      </c>
      <c r="AI488">
        <v>25</v>
      </c>
      <c r="AJ488">
        <v>6</v>
      </c>
      <c r="AK488">
        <v>69</v>
      </c>
      <c r="AL488" t="s">
        <v>807</v>
      </c>
      <c r="AM488" t="s">
        <v>808</v>
      </c>
      <c r="AN488" t="s">
        <v>809</v>
      </c>
      <c r="AO488" t="s">
        <v>1228</v>
      </c>
      <c r="AP488" t="s">
        <v>1229</v>
      </c>
      <c r="AQ488" t="s">
        <v>74</v>
      </c>
      <c r="AR488" t="s">
        <v>1230</v>
      </c>
      <c r="AS488" t="s">
        <v>1231</v>
      </c>
      <c r="AT488" t="s">
        <v>4251</v>
      </c>
      <c r="AU488">
        <v>2018</v>
      </c>
      <c r="AV488">
        <v>481</v>
      </c>
      <c r="AW488" t="s">
        <v>74</v>
      </c>
      <c r="AX488" t="s">
        <v>74</v>
      </c>
      <c r="AY488" t="s">
        <v>74</v>
      </c>
      <c r="AZ488" t="s">
        <v>74</v>
      </c>
      <c r="BA488" t="s">
        <v>74</v>
      </c>
      <c r="BB488">
        <v>136</v>
      </c>
      <c r="BC488">
        <v>142</v>
      </c>
      <c r="BD488" t="s">
        <v>74</v>
      </c>
      <c r="BE488" t="s">
        <v>9780</v>
      </c>
      <c r="BF488" t="str">
        <f>HYPERLINK("http://dx.doi.org/10.1016/j.epsl.2017.10.027","http://dx.doi.org/10.1016/j.epsl.2017.10.027")</f>
        <v>http://dx.doi.org/10.1016/j.epsl.2017.10.027</v>
      </c>
      <c r="BG488" t="s">
        <v>74</v>
      </c>
      <c r="BH488" t="s">
        <v>74</v>
      </c>
      <c r="BI488">
        <v>7</v>
      </c>
      <c r="BJ488" t="s">
        <v>1148</v>
      </c>
      <c r="BK488" t="s">
        <v>101</v>
      </c>
      <c r="BL488" t="s">
        <v>1148</v>
      </c>
      <c r="BM488" t="s">
        <v>4253</v>
      </c>
      <c r="BN488" t="s">
        <v>74</v>
      </c>
      <c r="BO488" t="s">
        <v>74</v>
      </c>
      <c r="BP488" t="s">
        <v>74</v>
      </c>
      <c r="BQ488" t="s">
        <v>74</v>
      </c>
      <c r="BR488" t="s">
        <v>105</v>
      </c>
      <c r="BS488" t="s">
        <v>9781</v>
      </c>
      <c r="BT488" t="str">
        <f>HYPERLINK("https%3A%2F%2Fwww.webofscience.com%2Fwos%2Fwoscc%2Ffull-record%2FWOS:000418626900014","View Full Record in Web of Science")</f>
        <v>View Full Record in Web of Science</v>
      </c>
    </row>
    <row r="489" spans="1:72" x14ac:dyDescent="0.15">
      <c r="A489" t="s">
        <v>72</v>
      </c>
      <c r="B489" t="s">
        <v>9782</v>
      </c>
      <c r="C489" t="s">
        <v>74</v>
      </c>
      <c r="D489" t="s">
        <v>74</v>
      </c>
      <c r="E489" t="s">
        <v>74</v>
      </c>
      <c r="F489" t="s">
        <v>9783</v>
      </c>
      <c r="G489" t="s">
        <v>74</v>
      </c>
      <c r="H489" t="s">
        <v>74</v>
      </c>
      <c r="I489" t="s">
        <v>9784</v>
      </c>
      <c r="J489" t="s">
        <v>1216</v>
      </c>
      <c r="K489" t="s">
        <v>74</v>
      </c>
      <c r="L489" t="s">
        <v>74</v>
      </c>
      <c r="M489" t="s">
        <v>78</v>
      </c>
      <c r="N489" t="s">
        <v>79</v>
      </c>
      <c r="O489" t="s">
        <v>74</v>
      </c>
      <c r="P489" t="s">
        <v>74</v>
      </c>
      <c r="Q489" t="s">
        <v>74</v>
      </c>
      <c r="R489" t="s">
        <v>74</v>
      </c>
      <c r="S489" t="s">
        <v>74</v>
      </c>
      <c r="T489" t="s">
        <v>9785</v>
      </c>
      <c r="U489" t="s">
        <v>9786</v>
      </c>
      <c r="V489" t="s">
        <v>9787</v>
      </c>
      <c r="W489" t="s">
        <v>9788</v>
      </c>
      <c r="X489" t="s">
        <v>9789</v>
      </c>
      <c r="Y489" t="s">
        <v>9790</v>
      </c>
      <c r="Z489" t="s">
        <v>9791</v>
      </c>
      <c r="AA489" t="s">
        <v>9792</v>
      </c>
      <c r="AB489" t="s">
        <v>9793</v>
      </c>
      <c r="AC489" t="s">
        <v>9794</v>
      </c>
      <c r="AD489" t="s">
        <v>9795</v>
      </c>
      <c r="AE489" t="s">
        <v>9796</v>
      </c>
      <c r="AF489" t="s">
        <v>74</v>
      </c>
      <c r="AG489">
        <v>59</v>
      </c>
      <c r="AH489">
        <v>27</v>
      </c>
      <c r="AI489">
        <v>29</v>
      </c>
      <c r="AJ489">
        <v>0</v>
      </c>
      <c r="AK489">
        <v>18</v>
      </c>
      <c r="AL489" t="s">
        <v>807</v>
      </c>
      <c r="AM489" t="s">
        <v>808</v>
      </c>
      <c r="AN489" t="s">
        <v>809</v>
      </c>
      <c r="AO489" t="s">
        <v>1228</v>
      </c>
      <c r="AP489" t="s">
        <v>1229</v>
      </c>
      <c r="AQ489" t="s">
        <v>74</v>
      </c>
      <c r="AR489" t="s">
        <v>1230</v>
      </c>
      <c r="AS489" t="s">
        <v>1231</v>
      </c>
      <c r="AT489" t="s">
        <v>4251</v>
      </c>
      <c r="AU489">
        <v>2018</v>
      </c>
      <c r="AV489">
        <v>481</v>
      </c>
      <c r="AW489" t="s">
        <v>74</v>
      </c>
      <c r="AX489" t="s">
        <v>74</v>
      </c>
      <c r="AY489" t="s">
        <v>74</v>
      </c>
      <c r="AZ489" t="s">
        <v>74</v>
      </c>
      <c r="BA489" t="s">
        <v>74</v>
      </c>
      <c r="BB489">
        <v>264</v>
      </c>
      <c r="BC489">
        <v>272</v>
      </c>
      <c r="BD489" t="s">
        <v>74</v>
      </c>
      <c r="BE489" t="s">
        <v>9797</v>
      </c>
      <c r="BF489" t="str">
        <f>HYPERLINK("http://dx.doi.org/10.1016/j.epsl.2017.10.046","http://dx.doi.org/10.1016/j.epsl.2017.10.046")</f>
        <v>http://dx.doi.org/10.1016/j.epsl.2017.10.046</v>
      </c>
      <c r="BG489" t="s">
        <v>74</v>
      </c>
      <c r="BH489" t="s">
        <v>74</v>
      </c>
      <c r="BI489">
        <v>9</v>
      </c>
      <c r="BJ489" t="s">
        <v>1148</v>
      </c>
      <c r="BK489" t="s">
        <v>101</v>
      </c>
      <c r="BL489" t="s">
        <v>1148</v>
      </c>
      <c r="BM489" t="s">
        <v>4253</v>
      </c>
      <c r="BN489" t="s">
        <v>74</v>
      </c>
      <c r="BO489" t="s">
        <v>74</v>
      </c>
      <c r="BP489" t="s">
        <v>74</v>
      </c>
      <c r="BQ489" t="s">
        <v>74</v>
      </c>
      <c r="BR489" t="s">
        <v>105</v>
      </c>
      <c r="BS489" t="s">
        <v>9798</v>
      </c>
      <c r="BT489" t="str">
        <f>HYPERLINK("https%3A%2F%2Fwww.webofscience.com%2Fwos%2Fwoscc%2Ffull-record%2FWOS:000418626900027","View Full Record in Web of Science")</f>
        <v>View Full Record in Web of Science</v>
      </c>
    </row>
    <row r="490" spans="1:72" x14ac:dyDescent="0.15">
      <c r="A490" t="s">
        <v>72</v>
      </c>
      <c r="B490" t="s">
        <v>9799</v>
      </c>
      <c r="C490" t="s">
        <v>74</v>
      </c>
      <c r="D490" t="s">
        <v>74</v>
      </c>
      <c r="E490" t="s">
        <v>74</v>
      </c>
      <c r="F490" t="s">
        <v>9800</v>
      </c>
      <c r="G490" t="s">
        <v>74</v>
      </c>
      <c r="H490" t="s">
        <v>74</v>
      </c>
      <c r="I490" t="s">
        <v>9801</v>
      </c>
      <c r="J490" t="s">
        <v>9802</v>
      </c>
      <c r="K490" t="s">
        <v>74</v>
      </c>
      <c r="L490" t="s">
        <v>74</v>
      </c>
      <c r="M490" t="s">
        <v>78</v>
      </c>
      <c r="N490" t="s">
        <v>79</v>
      </c>
      <c r="O490" t="s">
        <v>74</v>
      </c>
      <c r="P490" t="s">
        <v>74</v>
      </c>
      <c r="Q490" t="s">
        <v>74</v>
      </c>
      <c r="R490" t="s">
        <v>74</v>
      </c>
      <c r="S490" t="s">
        <v>74</v>
      </c>
      <c r="T490" t="s">
        <v>9803</v>
      </c>
      <c r="U490" t="s">
        <v>9804</v>
      </c>
      <c r="V490" t="s">
        <v>9805</v>
      </c>
      <c r="W490" t="s">
        <v>9806</v>
      </c>
      <c r="X490" t="s">
        <v>9807</v>
      </c>
      <c r="Y490" t="s">
        <v>9808</v>
      </c>
      <c r="Z490" t="s">
        <v>9809</v>
      </c>
      <c r="AA490" t="s">
        <v>74</v>
      </c>
      <c r="AB490" t="s">
        <v>9810</v>
      </c>
      <c r="AC490" t="s">
        <v>9811</v>
      </c>
      <c r="AD490" t="s">
        <v>9812</v>
      </c>
      <c r="AE490" t="s">
        <v>9813</v>
      </c>
      <c r="AF490" t="s">
        <v>74</v>
      </c>
      <c r="AG490">
        <v>98</v>
      </c>
      <c r="AH490">
        <v>22</v>
      </c>
      <c r="AI490">
        <v>22</v>
      </c>
      <c r="AJ490">
        <v>4</v>
      </c>
      <c r="AK490">
        <v>70</v>
      </c>
      <c r="AL490" t="s">
        <v>807</v>
      </c>
      <c r="AM490" t="s">
        <v>808</v>
      </c>
      <c r="AN490" t="s">
        <v>809</v>
      </c>
      <c r="AO490" t="s">
        <v>9814</v>
      </c>
      <c r="AP490" t="s">
        <v>9815</v>
      </c>
      <c r="AQ490" t="s">
        <v>74</v>
      </c>
      <c r="AR490" t="s">
        <v>9816</v>
      </c>
      <c r="AS490" t="s">
        <v>9817</v>
      </c>
      <c r="AT490" t="s">
        <v>2468</v>
      </c>
      <c r="AU490">
        <v>2018</v>
      </c>
      <c r="AV490">
        <v>498</v>
      </c>
      <c r="AW490" t="s">
        <v>74</v>
      </c>
      <c r="AX490" t="s">
        <v>74</v>
      </c>
      <c r="AY490" t="s">
        <v>74</v>
      </c>
      <c r="AZ490" t="s">
        <v>74</v>
      </c>
      <c r="BA490" t="s">
        <v>74</v>
      </c>
      <c r="BB490">
        <v>46</v>
      </c>
      <c r="BC490">
        <v>60</v>
      </c>
      <c r="BD490" t="s">
        <v>74</v>
      </c>
      <c r="BE490" t="s">
        <v>9818</v>
      </c>
      <c r="BF490" t="str">
        <f>HYPERLINK("http://dx.doi.org/10.1016/j.jembe.2017.11.003","http://dx.doi.org/10.1016/j.jembe.2017.11.003")</f>
        <v>http://dx.doi.org/10.1016/j.jembe.2017.11.003</v>
      </c>
      <c r="BG490" t="s">
        <v>74</v>
      </c>
      <c r="BH490" t="s">
        <v>74</v>
      </c>
      <c r="BI490">
        <v>15</v>
      </c>
      <c r="BJ490" t="s">
        <v>5168</v>
      </c>
      <c r="BK490" t="s">
        <v>101</v>
      </c>
      <c r="BL490" t="s">
        <v>610</v>
      </c>
      <c r="BM490" t="s">
        <v>9819</v>
      </c>
      <c r="BN490" t="s">
        <v>74</v>
      </c>
      <c r="BO490" t="s">
        <v>74</v>
      </c>
      <c r="BP490" t="s">
        <v>74</v>
      </c>
      <c r="BQ490" t="s">
        <v>74</v>
      </c>
      <c r="BR490" t="s">
        <v>105</v>
      </c>
      <c r="BS490" t="s">
        <v>9820</v>
      </c>
      <c r="BT490" t="str">
        <f>HYPERLINK("https%3A%2F%2Fwww.webofscience.com%2Fwos%2Fwoscc%2Ffull-record%2FWOS:000418628800007","View Full Record in Web of Science")</f>
        <v>View Full Record in Web of Science</v>
      </c>
    </row>
    <row r="491" spans="1:72" x14ac:dyDescent="0.15">
      <c r="A491" t="s">
        <v>72</v>
      </c>
      <c r="B491" t="s">
        <v>9821</v>
      </c>
      <c r="C491" t="s">
        <v>74</v>
      </c>
      <c r="D491" t="s">
        <v>74</v>
      </c>
      <c r="E491" t="s">
        <v>74</v>
      </c>
      <c r="F491" t="s">
        <v>9822</v>
      </c>
      <c r="G491" t="s">
        <v>74</v>
      </c>
      <c r="H491" t="s">
        <v>74</v>
      </c>
      <c r="I491" t="s">
        <v>9823</v>
      </c>
      <c r="J491" t="s">
        <v>9824</v>
      </c>
      <c r="K491" t="s">
        <v>74</v>
      </c>
      <c r="L491" t="s">
        <v>74</v>
      </c>
      <c r="M491" t="s">
        <v>78</v>
      </c>
      <c r="N491" t="s">
        <v>79</v>
      </c>
      <c r="O491" t="s">
        <v>74</v>
      </c>
      <c r="P491" t="s">
        <v>74</v>
      </c>
      <c r="Q491" t="s">
        <v>74</v>
      </c>
      <c r="R491" t="s">
        <v>74</v>
      </c>
      <c r="S491" t="s">
        <v>74</v>
      </c>
      <c r="T491" t="s">
        <v>9825</v>
      </c>
      <c r="U491" t="s">
        <v>9826</v>
      </c>
      <c r="V491" t="s">
        <v>9827</v>
      </c>
      <c r="W491" t="s">
        <v>9828</v>
      </c>
      <c r="X491" t="s">
        <v>4784</v>
      </c>
      <c r="Y491" t="s">
        <v>9829</v>
      </c>
      <c r="Z491" t="s">
        <v>9830</v>
      </c>
      <c r="AA491" t="s">
        <v>9831</v>
      </c>
      <c r="AB491" t="s">
        <v>9832</v>
      </c>
      <c r="AC491" t="s">
        <v>9833</v>
      </c>
      <c r="AD491" t="s">
        <v>9834</v>
      </c>
      <c r="AE491" t="s">
        <v>9835</v>
      </c>
      <c r="AF491" t="s">
        <v>74</v>
      </c>
      <c r="AG491">
        <v>60</v>
      </c>
      <c r="AH491">
        <v>23</v>
      </c>
      <c r="AI491">
        <v>24</v>
      </c>
      <c r="AJ491">
        <v>2</v>
      </c>
      <c r="AK491">
        <v>75</v>
      </c>
      <c r="AL491" t="s">
        <v>9836</v>
      </c>
      <c r="AM491" t="s">
        <v>1797</v>
      </c>
      <c r="AN491" t="s">
        <v>9837</v>
      </c>
      <c r="AO491" t="s">
        <v>9838</v>
      </c>
      <c r="AP491" t="s">
        <v>9839</v>
      </c>
      <c r="AQ491" t="s">
        <v>74</v>
      </c>
      <c r="AR491" t="s">
        <v>9840</v>
      </c>
      <c r="AS491" t="s">
        <v>9841</v>
      </c>
      <c r="AT491" t="s">
        <v>2468</v>
      </c>
      <c r="AU491">
        <v>2018</v>
      </c>
      <c r="AV491">
        <v>204</v>
      </c>
      <c r="AW491" t="s">
        <v>74</v>
      </c>
      <c r="AX491" t="s">
        <v>74</v>
      </c>
      <c r="AY491" t="s">
        <v>74</v>
      </c>
      <c r="AZ491" t="s">
        <v>74</v>
      </c>
      <c r="BA491" t="s">
        <v>74</v>
      </c>
      <c r="BB491">
        <v>122</v>
      </c>
      <c r="BC491">
        <v>137</v>
      </c>
      <c r="BD491" t="s">
        <v>74</v>
      </c>
      <c r="BE491" t="s">
        <v>9842</v>
      </c>
      <c r="BF491" t="str">
        <f>HYPERLINK("http://dx.doi.org/10.1016/j.rse.2017.10.036","http://dx.doi.org/10.1016/j.rse.2017.10.036")</f>
        <v>http://dx.doi.org/10.1016/j.rse.2017.10.036</v>
      </c>
      <c r="BG491" t="s">
        <v>74</v>
      </c>
      <c r="BH491" t="s">
        <v>74</v>
      </c>
      <c r="BI491">
        <v>16</v>
      </c>
      <c r="BJ491" t="s">
        <v>9843</v>
      </c>
      <c r="BK491" t="s">
        <v>101</v>
      </c>
      <c r="BL491" t="s">
        <v>9844</v>
      </c>
      <c r="BM491" t="s">
        <v>9845</v>
      </c>
      <c r="BN491" t="s">
        <v>74</v>
      </c>
      <c r="BO491" t="s">
        <v>74</v>
      </c>
      <c r="BP491" t="s">
        <v>74</v>
      </c>
      <c r="BQ491" t="s">
        <v>74</v>
      </c>
      <c r="BR491" t="s">
        <v>105</v>
      </c>
      <c r="BS491" t="s">
        <v>9846</v>
      </c>
      <c r="BT491" t="str">
        <f>HYPERLINK("https%3A%2F%2Fwww.webofscience.com%2Fwos%2Fwoscc%2Ffull-record%2FWOS:000418464400009","View Full Record in Web of Science")</f>
        <v>View Full Record in Web of Science</v>
      </c>
    </row>
    <row r="492" spans="1:72" x14ac:dyDescent="0.15">
      <c r="A492" t="s">
        <v>72</v>
      </c>
      <c r="B492" t="s">
        <v>9847</v>
      </c>
      <c r="C492" t="s">
        <v>74</v>
      </c>
      <c r="D492" t="s">
        <v>74</v>
      </c>
      <c r="E492" t="s">
        <v>74</v>
      </c>
      <c r="F492" t="s">
        <v>9848</v>
      </c>
      <c r="G492" t="s">
        <v>74</v>
      </c>
      <c r="H492" t="s">
        <v>74</v>
      </c>
      <c r="I492" t="s">
        <v>9849</v>
      </c>
      <c r="J492" t="s">
        <v>9824</v>
      </c>
      <c r="K492" t="s">
        <v>74</v>
      </c>
      <c r="L492" t="s">
        <v>74</v>
      </c>
      <c r="M492" t="s">
        <v>78</v>
      </c>
      <c r="N492" t="s">
        <v>79</v>
      </c>
      <c r="O492" t="s">
        <v>74</v>
      </c>
      <c r="P492" t="s">
        <v>74</v>
      </c>
      <c r="Q492" t="s">
        <v>74</v>
      </c>
      <c r="R492" t="s">
        <v>74</v>
      </c>
      <c r="S492" t="s">
        <v>74</v>
      </c>
      <c r="T492" t="s">
        <v>9850</v>
      </c>
      <c r="U492" t="s">
        <v>9851</v>
      </c>
      <c r="V492" t="s">
        <v>9852</v>
      </c>
      <c r="W492" t="s">
        <v>9853</v>
      </c>
      <c r="X492" t="s">
        <v>9854</v>
      </c>
      <c r="Y492" t="s">
        <v>9855</v>
      </c>
      <c r="Z492" t="s">
        <v>9856</v>
      </c>
      <c r="AA492" t="s">
        <v>74</v>
      </c>
      <c r="AB492" t="s">
        <v>9857</v>
      </c>
      <c r="AC492" t="s">
        <v>9858</v>
      </c>
      <c r="AD492" t="s">
        <v>9859</v>
      </c>
      <c r="AE492" t="s">
        <v>9860</v>
      </c>
      <c r="AF492" t="s">
        <v>74</v>
      </c>
      <c r="AG492">
        <v>106</v>
      </c>
      <c r="AH492">
        <v>21</v>
      </c>
      <c r="AI492">
        <v>23</v>
      </c>
      <c r="AJ492">
        <v>3</v>
      </c>
      <c r="AK492">
        <v>30</v>
      </c>
      <c r="AL492" t="s">
        <v>9836</v>
      </c>
      <c r="AM492" t="s">
        <v>1797</v>
      </c>
      <c r="AN492" t="s">
        <v>9861</v>
      </c>
      <c r="AO492" t="s">
        <v>9838</v>
      </c>
      <c r="AP492" t="s">
        <v>9839</v>
      </c>
      <c r="AQ492" t="s">
        <v>74</v>
      </c>
      <c r="AR492" t="s">
        <v>9840</v>
      </c>
      <c r="AS492" t="s">
        <v>9841</v>
      </c>
      <c r="AT492" t="s">
        <v>2468</v>
      </c>
      <c r="AU492">
        <v>2018</v>
      </c>
      <c r="AV492">
        <v>204</v>
      </c>
      <c r="AW492" t="s">
        <v>74</v>
      </c>
      <c r="AX492" t="s">
        <v>74</v>
      </c>
      <c r="AY492" t="s">
        <v>74</v>
      </c>
      <c r="AZ492" t="s">
        <v>74</v>
      </c>
      <c r="BA492" t="s">
        <v>74</v>
      </c>
      <c r="BB492">
        <v>617</v>
      </c>
      <c r="BC492">
        <v>631</v>
      </c>
      <c r="BD492" t="s">
        <v>74</v>
      </c>
      <c r="BE492" t="s">
        <v>9862</v>
      </c>
      <c r="BF492" t="str">
        <f>HYPERLINK("http://dx.doi.org/10.1016/j.rse.2017.09.038","http://dx.doi.org/10.1016/j.rse.2017.09.038")</f>
        <v>http://dx.doi.org/10.1016/j.rse.2017.09.038</v>
      </c>
      <c r="BG492" t="s">
        <v>74</v>
      </c>
      <c r="BH492" t="s">
        <v>74</v>
      </c>
      <c r="BI492">
        <v>15</v>
      </c>
      <c r="BJ492" t="s">
        <v>9843</v>
      </c>
      <c r="BK492" t="s">
        <v>101</v>
      </c>
      <c r="BL492" t="s">
        <v>9844</v>
      </c>
      <c r="BM492" t="s">
        <v>9845</v>
      </c>
      <c r="BN492" t="s">
        <v>74</v>
      </c>
      <c r="BO492" t="s">
        <v>389</v>
      </c>
      <c r="BP492" t="s">
        <v>74</v>
      </c>
      <c r="BQ492" t="s">
        <v>74</v>
      </c>
      <c r="BR492" t="s">
        <v>105</v>
      </c>
      <c r="BS492" t="s">
        <v>9863</v>
      </c>
      <c r="BT492" t="str">
        <f>HYPERLINK("https%3A%2F%2Fwww.webofscience.com%2Fwos%2Fwoscc%2Ffull-record%2FWOS:000418464400045","View Full Record in Web of Science")</f>
        <v>View Full Record in Web of Science</v>
      </c>
    </row>
    <row r="493" spans="1:72" x14ac:dyDescent="0.15">
      <c r="A493" t="s">
        <v>72</v>
      </c>
      <c r="B493" t="s">
        <v>9864</v>
      </c>
      <c r="C493" t="s">
        <v>74</v>
      </c>
      <c r="D493" t="s">
        <v>74</v>
      </c>
      <c r="E493" t="s">
        <v>74</v>
      </c>
      <c r="F493" t="s">
        <v>9865</v>
      </c>
      <c r="G493" t="s">
        <v>74</v>
      </c>
      <c r="H493" t="s">
        <v>74</v>
      </c>
      <c r="I493" t="s">
        <v>9866</v>
      </c>
      <c r="J493" t="s">
        <v>9824</v>
      </c>
      <c r="K493" t="s">
        <v>74</v>
      </c>
      <c r="L493" t="s">
        <v>74</v>
      </c>
      <c r="M493" t="s">
        <v>78</v>
      </c>
      <c r="N493" t="s">
        <v>79</v>
      </c>
      <c r="O493" t="s">
        <v>74</v>
      </c>
      <c r="P493" t="s">
        <v>74</v>
      </c>
      <c r="Q493" t="s">
        <v>74</v>
      </c>
      <c r="R493" t="s">
        <v>74</v>
      </c>
      <c r="S493" t="s">
        <v>74</v>
      </c>
      <c r="T493" t="s">
        <v>9867</v>
      </c>
      <c r="U493" t="s">
        <v>9868</v>
      </c>
      <c r="V493" t="s">
        <v>9869</v>
      </c>
      <c r="W493" t="s">
        <v>9870</v>
      </c>
      <c r="X493" t="s">
        <v>9871</v>
      </c>
      <c r="Y493" t="s">
        <v>9872</v>
      </c>
      <c r="Z493" t="s">
        <v>9873</v>
      </c>
      <c r="AA493" t="s">
        <v>9874</v>
      </c>
      <c r="AB493" t="s">
        <v>9875</v>
      </c>
      <c r="AC493" t="s">
        <v>9876</v>
      </c>
      <c r="AD493" t="s">
        <v>9877</v>
      </c>
      <c r="AE493" t="s">
        <v>9878</v>
      </c>
      <c r="AF493" t="s">
        <v>74</v>
      </c>
      <c r="AG493">
        <v>39</v>
      </c>
      <c r="AH493">
        <v>10</v>
      </c>
      <c r="AI493">
        <v>10</v>
      </c>
      <c r="AJ493">
        <v>1</v>
      </c>
      <c r="AK493">
        <v>25</v>
      </c>
      <c r="AL493" t="s">
        <v>9836</v>
      </c>
      <c r="AM493" t="s">
        <v>1797</v>
      </c>
      <c r="AN493" t="s">
        <v>9837</v>
      </c>
      <c r="AO493" t="s">
        <v>9838</v>
      </c>
      <c r="AP493" t="s">
        <v>9839</v>
      </c>
      <c r="AQ493" t="s">
        <v>74</v>
      </c>
      <c r="AR493" t="s">
        <v>9840</v>
      </c>
      <c r="AS493" t="s">
        <v>9841</v>
      </c>
      <c r="AT493" t="s">
        <v>2468</v>
      </c>
      <c r="AU493">
        <v>2018</v>
      </c>
      <c r="AV493">
        <v>204</v>
      </c>
      <c r="AW493" t="s">
        <v>74</v>
      </c>
      <c r="AX493" t="s">
        <v>74</v>
      </c>
      <c r="AY493" t="s">
        <v>74</v>
      </c>
      <c r="AZ493" t="s">
        <v>74</v>
      </c>
      <c r="BA493" t="s">
        <v>74</v>
      </c>
      <c r="BB493">
        <v>838</v>
      </c>
      <c r="BC493">
        <v>849</v>
      </c>
      <c r="BD493" t="s">
        <v>74</v>
      </c>
      <c r="BE493" t="s">
        <v>9879</v>
      </c>
      <c r="BF493" t="str">
        <f>HYPERLINK("http://dx.doi.org/10.1016/j.rse.2017.09.017","http://dx.doi.org/10.1016/j.rse.2017.09.017")</f>
        <v>http://dx.doi.org/10.1016/j.rse.2017.09.017</v>
      </c>
      <c r="BG493" t="s">
        <v>74</v>
      </c>
      <c r="BH493" t="s">
        <v>74</v>
      </c>
      <c r="BI493">
        <v>12</v>
      </c>
      <c r="BJ493" t="s">
        <v>9843</v>
      </c>
      <c r="BK493" t="s">
        <v>101</v>
      </c>
      <c r="BL493" t="s">
        <v>9844</v>
      </c>
      <c r="BM493" t="s">
        <v>9845</v>
      </c>
      <c r="BN493" t="s">
        <v>74</v>
      </c>
      <c r="BO493" t="s">
        <v>74</v>
      </c>
      <c r="BP493" t="s">
        <v>74</v>
      </c>
      <c r="BQ493" t="s">
        <v>74</v>
      </c>
      <c r="BR493" t="s">
        <v>105</v>
      </c>
      <c r="BS493" t="s">
        <v>9880</v>
      </c>
      <c r="BT493" t="str">
        <f>HYPERLINK("https%3A%2F%2Fwww.webofscience.com%2Fwos%2Fwoscc%2Ffull-record%2FWOS:000418464400061","View Full Record in Web of Science")</f>
        <v>View Full Record in Web of Science</v>
      </c>
    </row>
    <row r="494" spans="1:72" x14ac:dyDescent="0.15">
      <c r="A494" t="s">
        <v>72</v>
      </c>
      <c r="B494" t="s">
        <v>9881</v>
      </c>
      <c r="C494" t="s">
        <v>74</v>
      </c>
      <c r="D494" t="s">
        <v>74</v>
      </c>
      <c r="E494" t="s">
        <v>74</v>
      </c>
      <c r="F494" t="s">
        <v>9882</v>
      </c>
      <c r="G494" t="s">
        <v>74</v>
      </c>
      <c r="H494" t="s">
        <v>74</v>
      </c>
      <c r="I494" t="s">
        <v>9883</v>
      </c>
      <c r="J494" t="s">
        <v>9884</v>
      </c>
      <c r="K494" t="s">
        <v>74</v>
      </c>
      <c r="L494" t="s">
        <v>74</v>
      </c>
      <c r="M494" t="s">
        <v>78</v>
      </c>
      <c r="N494" t="s">
        <v>79</v>
      </c>
      <c r="O494" t="s">
        <v>74</v>
      </c>
      <c r="P494" t="s">
        <v>74</v>
      </c>
      <c r="Q494" t="s">
        <v>74</v>
      </c>
      <c r="R494" t="s">
        <v>74</v>
      </c>
      <c r="S494" t="s">
        <v>74</v>
      </c>
      <c r="T494" t="s">
        <v>9885</v>
      </c>
      <c r="U494" t="s">
        <v>9886</v>
      </c>
      <c r="V494" t="s">
        <v>9887</v>
      </c>
      <c r="W494" t="s">
        <v>9888</v>
      </c>
      <c r="X494" t="s">
        <v>9889</v>
      </c>
      <c r="Y494" t="s">
        <v>9890</v>
      </c>
      <c r="Z494" t="s">
        <v>9891</v>
      </c>
      <c r="AA494" t="s">
        <v>9892</v>
      </c>
      <c r="AB494" t="s">
        <v>74</v>
      </c>
      <c r="AC494" t="s">
        <v>9893</v>
      </c>
      <c r="AD494" t="s">
        <v>9894</v>
      </c>
      <c r="AE494" t="s">
        <v>9895</v>
      </c>
      <c r="AF494" t="s">
        <v>74</v>
      </c>
      <c r="AG494">
        <v>43</v>
      </c>
      <c r="AH494">
        <v>13</v>
      </c>
      <c r="AI494">
        <v>13</v>
      </c>
      <c r="AJ494">
        <v>1</v>
      </c>
      <c r="AK494">
        <v>16</v>
      </c>
      <c r="AL494" t="s">
        <v>1139</v>
      </c>
      <c r="AM494" t="s">
        <v>1140</v>
      </c>
      <c r="AN494" t="s">
        <v>1141</v>
      </c>
      <c r="AO494" t="s">
        <v>9896</v>
      </c>
      <c r="AP494" t="s">
        <v>9897</v>
      </c>
      <c r="AQ494" t="s">
        <v>74</v>
      </c>
      <c r="AR494" t="s">
        <v>9898</v>
      </c>
      <c r="AS494" t="s">
        <v>9899</v>
      </c>
      <c r="AT494" t="s">
        <v>4251</v>
      </c>
      <c r="AU494">
        <v>2018</v>
      </c>
      <c r="AV494">
        <v>192</v>
      </c>
      <c r="AW494" t="s">
        <v>74</v>
      </c>
      <c r="AX494" t="s">
        <v>74</v>
      </c>
      <c r="AY494" t="s">
        <v>74</v>
      </c>
      <c r="AZ494" t="s">
        <v>74</v>
      </c>
      <c r="BA494" t="s">
        <v>74</v>
      </c>
      <c r="BB494">
        <v>270</v>
      </c>
      <c r="BC494">
        <v>277</v>
      </c>
      <c r="BD494" t="s">
        <v>74</v>
      </c>
      <c r="BE494" t="s">
        <v>9900</v>
      </c>
      <c r="BF494" t="str">
        <f>HYPERLINK("http://dx.doi.org/10.1016/j.lfs.2017.11.011","http://dx.doi.org/10.1016/j.lfs.2017.11.011")</f>
        <v>http://dx.doi.org/10.1016/j.lfs.2017.11.011</v>
      </c>
      <c r="BG494" t="s">
        <v>74</v>
      </c>
      <c r="BH494" t="s">
        <v>74</v>
      </c>
      <c r="BI494">
        <v>8</v>
      </c>
      <c r="BJ494" t="s">
        <v>9901</v>
      </c>
      <c r="BK494" t="s">
        <v>101</v>
      </c>
      <c r="BL494" t="s">
        <v>9902</v>
      </c>
      <c r="BM494" t="s">
        <v>9903</v>
      </c>
      <c r="BN494">
        <v>29129771</v>
      </c>
      <c r="BO494" t="s">
        <v>74</v>
      </c>
      <c r="BP494" t="s">
        <v>74</v>
      </c>
      <c r="BQ494" t="s">
        <v>74</v>
      </c>
      <c r="BR494" t="s">
        <v>105</v>
      </c>
      <c r="BS494" t="s">
        <v>9904</v>
      </c>
      <c r="BT494" t="str">
        <f>HYPERLINK("https%3A%2F%2Fwww.webofscience.com%2Fwos%2Fwoscc%2Ffull-record%2FWOS:000418477800035","View Full Record in Web of Science")</f>
        <v>View Full Record in Web of Science</v>
      </c>
    </row>
    <row r="495" spans="1:72" x14ac:dyDescent="0.15">
      <c r="A495" t="s">
        <v>1776</v>
      </c>
      <c r="B495" t="s">
        <v>9905</v>
      </c>
      <c r="C495" t="s">
        <v>74</v>
      </c>
      <c r="D495" t="s">
        <v>74</v>
      </c>
      <c r="E495" t="s">
        <v>1778</v>
      </c>
      <c r="F495" t="s">
        <v>9906</v>
      </c>
      <c r="G495" t="s">
        <v>74</v>
      </c>
      <c r="H495" t="s">
        <v>74</v>
      </c>
      <c r="I495" t="s">
        <v>9907</v>
      </c>
      <c r="J495" t="s">
        <v>9908</v>
      </c>
      <c r="K495" t="s">
        <v>74</v>
      </c>
      <c r="L495" t="s">
        <v>74</v>
      </c>
      <c r="M495" t="s">
        <v>78</v>
      </c>
      <c r="N495" t="s">
        <v>1782</v>
      </c>
      <c r="O495" t="s">
        <v>9909</v>
      </c>
      <c r="P495" t="s">
        <v>9910</v>
      </c>
      <c r="Q495" t="s">
        <v>9911</v>
      </c>
      <c r="R495" t="s">
        <v>74</v>
      </c>
      <c r="S495" t="s">
        <v>74</v>
      </c>
      <c r="T495" t="s">
        <v>74</v>
      </c>
      <c r="U495" t="s">
        <v>9912</v>
      </c>
      <c r="V495" t="s">
        <v>9913</v>
      </c>
      <c r="W495" t="s">
        <v>9914</v>
      </c>
      <c r="X495" t="s">
        <v>9915</v>
      </c>
      <c r="Y495" t="s">
        <v>9916</v>
      </c>
      <c r="Z495" t="s">
        <v>9917</v>
      </c>
      <c r="AA495" t="s">
        <v>74</v>
      </c>
      <c r="AB495" t="s">
        <v>9918</v>
      </c>
      <c r="AC495" t="s">
        <v>9919</v>
      </c>
      <c r="AD495" t="s">
        <v>9920</v>
      </c>
      <c r="AE495" t="s">
        <v>9921</v>
      </c>
      <c r="AF495" t="s">
        <v>74</v>
      </c>
      <c r="AG495">
        <v>22</v>
      </c>
      <c r="AH495">
        <v>0</v>
      </c>
      <c r="AI495">
        <v>0</v>
      </c>
      <c r="AJ495">
        <v>0</v>
      </c>
      <c r="AK495">
        <v>0</v>
      </c>
      <c r="AL495" t="s">
        <v>1778</v>
      </c>
      <c r="AM495" t="s">
        <v>1797</v>
      </c>
      <c r="AN495" t="s">
        <v>1798</v>
      </c>
      <c r="AO495" t="s">
        <v>74</v>
      </c>
      <c r="AP495" t="s">
        <v>74</v>
      </c>
      <c r="AQ495" t="s">
        <v>9922</v>
      </c>
      <c r="AR495" t="s">
        <v>74</v>
      </c>
      <c r="AS495" t="s">
        <v>74</v>
      </c>
      <c r="AT495" t="s">
        <v>74</v>
      </c>
      <c r="AU495">
        <v>2018</v>
      </c>
      <c r="AV495" t="s">
        <v>74</v>
      </c>
      <c r="AW495" t="s">
        <v>74</v>
      </c>
      <c r="AX495" t="s">
        <v>74</v>
      </c>
      <c r="AY495" t="s">
        <v>74</v>
      </c>
      <c r="AZ495" t="s">
        <v>74</v>
      </c>
      <c r="BA495" t="s">
        <v>74</v>
      </c>
      <c r="BB495" t="s">
        <v>74</v>
      </c>
      <c r="BC495" t="s">
        <v>74</v>
      </c>
      <c r="BD495" t="s">
        <v>74</v>
      </c>
      <c r="BE495" t="s">
        <v>74</v>
      </c>
      <c r="BF495" t="s">
        <v>74</v>
      </c>
      <c r="BG495" t="s">
        <v>74</v>
      </c>
      <c r="BH495" t="s">
        <v>74</v>
      </c>
      <c r="BI495">
        <v>4</v>
      </c>
      <c r="BJ495" t="s">
        <v>9923</v>
      </c>
      <c r="BK495" t="s">
        <v>1801</v>
      </c>
      <c r="BL495" t="s">
        <v>9923</v>
      </c>
      <c r="BM495" t="s">
        <v>9924</v>
      </c>
      <c r="BN495" t="s">
        <v>74</v>
      </c>
      <c r="BO495" t="s">
        <v>74</v>
      </c>
      <c r="BP495" t="s">
        <v>74</v>
      </c>
      <c r="BQ495" t="s">
        <v>74</v>
      </c>
      <c r="BR495" t="s">
        <v>105</v>
      </c>
      <c r="BS495" t="s">
        <v>9925</v>
      </c>
      <c r="BT495" t="str">
        <f>HYPERLINK("https%3A%2F%2Fwww.webofscience.com%2Fwos%2Fwoscc%2Ffull-record%2FWOS:000601256000076","View Full Record in Web of Science")</f>
        <v>View Full Record in Web of Science</v>
      </c>
    </row>
    <row r="496" spans="1:72" x14ac:dyDescent="0.15">
      <c r="A496" t="s">
        <v>1776</v>
      </c>
      <c r="B496" t="s">
        <v>9926</v>
      </c>
      <c r="C496" t="s">
        <v>74</v>
      </c>
      <c r="D496" t="s">
        <v>74</v>
      </c>
      <c r="E496" t="s">
        <v>1778</v>
      </c>
      <c r="F496" t="s">
        <v>9927</v>
      </c>
      <c r="G496" t="s">
        <v>74</v>
      </c>
      <c r="H496" t="s">
        <v>74</v>
      </c>
      <c r="I496" t="s">
        <v>9928</v>
      </c>
      <c r="J496" t="s">
        <v>1781</v>
      </c>
      <c r="K496" t="s">
        <v>74</v>
      </c>
      <c r="L496" t="s">
        <v>74</v>
      </c>
      <c r="M496" t="s">
        <v>78</v>
      </c>
      <c r="N496" t="s">
        <v>1782</v>
      </c>
      <c r="O496" t="s">
        <v>1783</v>
      </c>
      <c r="P496" t="s">
        <v>1784</v>
      </c>
      <c r="Q496" t="s">
        <v>1785</v>
      </c>
      <c r="R496" t="s">
        <v>74</v>
      </c>
      <c r="S496" t="s">
        <v>1786</v>
      </c>
      <c r="T496" t="s">
        <v>74</v>
      </c>
      <c r="U496" t="s">
        <v>74</v>
      </c>
      <c r="V496" t="s">
        <v>9929</v>
      </c>
      <c r="W496" t="s">
        <v>9930</v>
      </c>
      <c r="X496" t="s">
        <v>9931</v>
      </c>
      <c r="Y496" t="s">
        <v>9932</v>
      </c>
      <c r="Z496" t="s">
        <v>9933</v>
      </c>
      <c r="AA496" t="s">
        <v>9934</v>
      </c>
      <c r="AB496" t="s">
        <v>9935</v>
      </c>
      <c r="AC496" t="s">
        <v>9936</v>
      </c>
      <c r="AD496" t="s">
        <v>9937</v>
      </c>
      <c r="AE496" t="s">
        <v>9938</v>
      </c>
      <c r="AF496" t="s">
        <v>74</v>
      </c>
      <c r="AG496">
        <v>18</v>
      </c>
      <c r="AH496">
        <v>0</v>
      </c>
      <c r="AI496">
        <v>0</v>
      </c>
      <c r="AJ496">
        <v>0</v>
      </c>
      <c r="AK496">
        <v>0</v>
      </c>
      <c r="AL496" t="s">
        <v>1778</v>
      </c>
      <c r="AM496" t="s">
        <v>1797</v>
      </c>
      <c r="AN496" t="s">
        <v>1798</v>
      </c>
      <c r="AO496" t="s">
        <v>74</v>
      </c>
      <c r="AP496" t="s">
        <v>74</v>
      </c>
      <c r="AQ496" t="s">
        <v>1799</v>
      </c>
      <c r="AR496" t="s">
        <v>74</v>
      </c>
      <c r="AS496" t="s">
        <v>74</v>
      </c>
      <c r="AT496" t="s">
        <v>74</v>
      </c>
      <c r="AU496">
        <v>2018</v>
      </c>
      <c r="AV496" t="s">
        <v>74</v>
      </c>
      <c r="AW496" t="s">
        <v>74</v>
      </c>
      <c r="AX496" t="s">
        <v>74</v>
      </c>
      <c r="AY496" t="s">
        <v>74</v>
      </c>
      <c r="AZ496" t="s">
        <v>74</v>
      </c>
      <c r="BA496" t="s">
        <v>74</v>
      </c>
      <c r="BB496" t="s">
        <v>74</v>
      </c>
      <c r="BC496" t="s">
        <v>74</v>
      </c>
      <c r="BD496" t="s">
        <v>74</v>
      </c>
      <c r="BE496" t="s">
        <v>74</v>
      </c>
      <c r="BF496" t="s">
        <v>74</v>
      </c>
      <c r="BG496" t="s">
        <v>74</v>
      </c>
      <c r="BH496" t="s">
        <v>74</v>
      </c>
      <c r="BI496">
        <v>6</v>
      </c>
      <c r="BJ496" t="s">
        <v>1800</v>
      </c>
      <c r="BK496" t="s">
        <v>1801</v>
      </c>
      <c r="BL496" t="s">
        <v>1802</v>
      </c>
      <c r="BM496" t="s">
        <v>1803</v>
      </c>
      <c r="BN496" t="s">
        <v>74</v>
      </c>
      <c r="BO496" t="s">
        <v>74</v>
      </c>
      <c r="BP496" t="s">
        <v>74</v>
      </c>
      <c r="BQ496" t="s">
        <v>74</v>
      </c>
      <c r="BR496" t="s">
        <v>105</v>
      </c>
      <c r="BS496" t="s">
        <v>9939</v>
      </c>
      <c r="BT496" t="str">
        <f>HYPERLINK("https%3A%2F%2Fwww.webofscience.com%2Fwos%2Fwoscc%2Ffull-record%2FWOS:000492901600084","View Full Record in Web of Science")</f>
        <v>View Full Record in Web of Science</v>
      </c>
    </row>
    <row r="497" spans="1:72" x14ac:dyDescent="0.15">
      <c r="A497" t="s">
        <v>1776</v>
      </c>
      <c r="B497" t="s">
        <v>9940</v>
      </c>
      <c r="C497" t="s">
        <v>74</v>
      </c>
      <c r="D497" t="s">
        <v>9941</v>
      </c>
      <c r="E497" t="s">
        <v>74</v>
      </c>
      <c r="F497" t="s">
        <v>9942</v>
      </c>
      <c r="G497" t="s">
        <v>74</v>
      </c>
      <c r="H497" t="s">
        <v>74</v>
      </c>
      <c r="I497" t="s">
        <v>9943</v>
      </c>
      <c r="J497" t="s">
        <v>9944</v>
      </c>
      <c r="K497" t="s">
        <v>9945</v>
      </c>
      <c r="L497" t="s">
        <v>74</v>
      </c>
      <c r="M497" t="s">
        <v>78</v>
      </c>
      <c r="N497" t="s">
        <v>1782</v>
      </c>
      <c r="O497" t="s">
        <v>9946</v>
      </c>
      <c r="P497" t="s">
        <v>9947</v>
      </c>
      <c r="Q497" t="s">
        <v>9948</v>
      </c>
      <c r="R497" t="s">
        <v>74</v>
      </c>
      <c r="S497" t="s">
        <v>9949</v>
      </c>
      <c r="T497" t="s">
        <v>74</v>
      </c>
      <c r="U497" t="s">
        <v>9950</v>
      </c>
      <c r="V497" t="s">
        <v>9951</v>
      </c>
      <c r="W497" t="s">
        <v>9952</v>
      </c>
      <c r="X497" t="s">
        <v>9953</v>
      </c>
      <c r="Y497" t="s">
        <v>9954</v>
      </c>
      <c r="Z497" t="s">
        <v>9955</v>
      </c>
      <c r="AA497" t="s">
        <v>9956</v>
      </c>
      <c r="AB497" t="s">
        <v>9957</v>
      </c>
      <c r="AC497" t="s">
        <v>9958</v>
      </c>
      <c r="AD497" t="s">
        <v>9959</v>
      </c>
      <c r="AE497" t="s">
        <v>9960</v>
      </c>
      <c r="AF497" t="s">
        <v>74</v>
      </c>
      <c r="AG497">
        <v>7</v>
      </c>
      <c r="AH497">
        <v>0</v>
      </c>
      <c r="AI497">
        <v>0</v>
      </c>
      <c r="AJ497">
        <v>0</v>
      </c>
      <c r="AK497">
        <v>1</v>
      </c>
      <c r="AL497" t="s">
        <v>2148</v>
      </c>
      <c r="AM497" t="s">
        <v>2149</v>
      </c>
      <c r="AN497" t="s">
        <v>2150</v>
      </c>
      <c r="AO497" t="s">
        <v>9961</v>
      </c>
      <c r="AP497" t="s">
        <v>74</v>
      </c>
      <c r="AQ497" t="s">
        <v>74</v>
      </c>
      <c r="AR497" t="s">
        <v>9962</v>
      </c>
      <c r="AS497" t="s">
        <v>74</v>
      </c>
      <c r="AT497" t="s">
        <v>74</v>
      </c>
      <c r="AU497">
        <v>2018</v>
      </c>
      <c r="AV497">
        <v>176</v>
      </c>
      <c r="AW497" t="s">
        <v>74</v>
      </c>
      <c r="AX497" t="s">
        <v>74</v>
      </c>
      <c r="AY497" t="s">
        <v>74</v>
      </c>
      <c r="AZ497" t="s">
        <v>74</v>
      </c>
      <c r="BA497" t="s">
        <v>74</v>
      </c>
      <c r="BB497" t="s">
        <v>74</v>
      </c>
      <c r="BC497" t="s">
        <v>74</v>
      </c>
      <c r="BD497">
        <v>10006</v>
      </c>
      <c r="BE497" t="s">
        <v>9963</v>
      </c>
      <c r="BF497" t="str">
        <f>HYPERLINK("http://dx.doi.org/10.1051/epjconf/201817610006","http://dx.doi.org/10.1051/epjconf/201817610006")</f>
        <v>http://dx.doi.org/10.1051/epjconf/201817610006</v>
      </c>
      <c r="BG497" t="s">
        <v>74</v>
      </c>
      <c r="BH497" t="s">
        <v>74</v>
      </c>
      <c r="BI497">
        <v>4</v>
      </c>
      <c r="BJ497" t="s">
        <v>9964</v>
      </c>
      <c r="BK497" t="s">
        <v>1801</v>
      </c>
      <c r="BL497" t="s">
        <v>9965</v>
      </c>
      <c r="BM497" t="s">
        <v>9966</v>
      </c>
      <c r="BN497" t="s">
        <v>74</v>
      </c>
      <c r="BO497" t="s">
        <v>1725</v>
      </c>
      <c r="BP497" t="s">
        <v>74</v>
      </c>
      <c r="BQ497" t="s">
        <v>74</v>
      </c>
      <c r="BR497" t="s">
        <v>105</v>
      </c>
      <c r="BS497" t="s">
        <v>9967</v>
      </c>
      <c r="BT497" t="str">
        <f>HYPERLINK("https%3A%2F%2Fwww.webofscience.com%2Fwos%2Fwoscc%2Ffull-record%2FWOS:000591360800196","View Full Record in Web of Science")</f>
        <v>View Full Record in Web of Science</v>
      </c>
    </row>
    <row r="498" spans="1:72" x14ac:dyDescent="0.15">
      <c r="A498" t="s">
        <v>1776</v>
      </c>
      <c r="B498" t="s">
        <v>9968</v>
      </c>
      <c r="C498" t="s">
        <v>74</v>
      </c>
      <c r="D498" t="s">
        <v>74</v>
      </c>
      <c r="E498" t="s">
        <v>9969</v>
      </c>
      <c r="F498" t="s">
        <v>9970</v>
      </c>
      <c r="G498" t="s">
        <v>74</v>
      </c>
      <c r="H498" t="s">
        <v>74</v>
      </c>
      <c r="I498" t="s">
        <v>9971</v>
      </c>
      <c r="J498" t="s">
        <v>9972</v>
      </c>
      <c r="K498" t="s">
        <v>74</v>
      </c>
      <c r="L498" t="s">
        <v>74</v>
      </c>
      <c r="M498" t="s">
        <v>78</v>
      </c>
      <c r="N498" t="s">
        <v>1782</v>
      </c>
      <c r="O498" t="s">
        <v>9973</v>
      </c>
      <c r="P498" t="s">
        <v>9974</v>
      </c>
      <c r="Q498" t="s">
        <v>9975</v>
      </c>
      <c r="R498" t="s">
        <v>74</v>
      </c>
      <c r="S498" t="s">
        <v>74</v>
      </c>
      <c r="T498" t="s">
        <v>74</v>
      </c>
      <c r="U498" t="s">
        <v>74</v>
      </c>
      <c r="V498" t="s">
        <v>74</v>
      </c>
      <c r="W498" t="s">
        <v>9976</v>
      </c>
      <c r="X498" t="s">
        <v>9977</v>
      </c>
      <c r="Y498" t="s">
        <v>9978</v>
      </c>
      <c r="Z498" t="s">
        <v>9979</v>
      </c>
      <c r="AA498" t="s">
        <v>74</v>
      </c>
      <c r="AB498" t="s">
        <v>74</v>
      </c>
      <c r="AC498" t="s">
        <v>9980</v>
      </c>
      <c r="AD498" t="s">
        <v>9981</v>
      </c>
      <c r="AE498" t="s">
        <v>9982</v>
      </c>
      <c r="AF498" t="s">
        <v>74</v>
      </c>
      <c r="AG498">
        <v>0</v>
      </c>
      <c r="AH498">
        <v>0</v>
      </c>
      <c r="AI498">
        <v>0</v>
      </c>
      <c r="AJ498">
        <v>1</v>
      </c>
      <c r="AK498">
        <v>1</v>
      </c>
      <c r="AL498" t="s">
        <v>9983</v>
      </c>
      <c r="AM498" t="s">
        <v>1797</v>
      </c>
      <c r="AN498" t="s">
        <v>9984</v>
      </c>
      <c r="AO498" t="s">
        <v>74</v>
      </c>
      <c r="AP498" t="s">
        <v>74</v>
      </c>
      <c r="AQ498" t="s">
        <v>9985</v>
      </c>
      <c r="AR498" t="s">
        <v>74</v>
      </c>
      <c r="AS498" t="s">
        <v>74</v>
      </c>
      <c r="AT498" t="s">
        <v>74</v>
      </c>
      <c r="AU498">
        <v>2018</v>
      </c>
      <c r="AV498" t="s">
        <v>74</v>
      </c>
      <c r="AW498" t="s">
        <v>74</v>
      </c>
      <c r="AX498" t="s">
        <v>74</v>
      </c>
      <c r="AY498" t="s">
        <v>74</v>
      </c>
      <c r="AZ498" t="s">
        <v>74</v>
      </c>
      <c r="BA498" t="s">
        <v>74</v>
      </c>
      <c r="BB498">
        <v>439</v>
      </c>
      <c r="BC498">
        <v>440</v>
      </c>
      <c r="BD498" t="s">
        <v>74</v>
      </c>
      <c r="BE498" t="s">
        <v>9986</v>
      </c>
      <c r="BF498" t="str">
        <f>HYPERLINK("http://dx.doi.org/10.1145/3202918.3205924","http://dx.doi.org/10.1145/3202918.3205924")</f>
        <v>http://dx.doi.org/10.1145/3202918.3205924</v>
      </c>
      <c r="BG498" t="s">
        <v>74</v>
      </c>
      <c r="BH498" t="s">
        <v>74</v>
      </c>
      <c r="BI498">
        <v>2</v>
      </c>
      <c r="BJ498" t="s">
        <v>9987</v>
      </c>
      <c r="BK498" t="s">
        <v>1801</v>
      </c>
      <c r="BL498" t="s">
        <v>9988</v>
      </c>
      <c r="BM498" t="s">
        <v>9989</v>
      </c>
      <c r="BN498" t="s">
        <v>74</v>
      </c>
      <c r="BO498" t="s">
        <v>74</v>
      </c>
      <c r="BP498" t="s">
        <v>74</v>
      </c>
      <c r="BQ498" t="s">
        <v>74</v>
      </c>
      <c r="BR498" t="s">
        <v>105</v>
      </c>
      <c r="BS498" t="s">
        <v>9990</v>
      </c>
      <c r="BT498" t="str">
        <f>HYPERLINK("https%3A%2F%2Fwww.webofscience.com%2Fwos%2Fwoscc%2Ffull-record%2FWOS:000693936000023","View Full Record in Web of Science")</f>
        <v>View Full Record in Web of Science</v>
      </c>
    </row>
    <row r="499" spans="1:72" x14ac:dyDescent="0.15">
      <c r="A499" t="s">
        <v>72</v>
      </c>
      <c r="B499" t="s">
        <v>9991</v>
      </c>
      <c r="C499" t="s">
        <v>74</v>
      </c>
      <c r="D499" t="s">
        <v>74</v>
      </c>
      <c r="E499" t="s">
        <v>74</v>
      </c>
      <c r="F499" t="s">
        <v>9992</v>
      </c>
      <c r="G499" t="s">
        <v>74</v>
      </c>
      <c r="H499" t="s">
        <v>74</v>
      </c>
      <c r="I499" t="s">
        <v>9993</v>
      </c>
      <c r="J499" t="s">
        <v>3234</v>
      </c>
      <c r="K499" t="s">
        <v>74</v>
      </c>
      <c r="L499" t="s">
        <v>74</v>
      </c>
      <c r="M499" t="s">
        <v>78</v>
      </c>
      <c r="N499" t="s">
        <v>79</v>
      </c>
      <c r="O499" t="s">
        <v>74</v>
      </c>
      <c r="P499" t="s">
        <v>74</v>
      </c>
      <c r="Q499" t="s">
        <v>74</v>
      </c>
      <c r="R499" t="s">
        <v>74</v>
      </c>
      <c r="S499" t="s">
        <v>74</v>
      </c>
      <c r="T499" t="s">
        <v>9994</v>
      </c>
      <c r="U499" t="s">
        <v>9995</v>
      </c>
      <c r="V499" t="s">
        <v>9996</v>
      </c>
      <c r="W499" t="s">
        <v>9997</v>
      </c>
      <c r="X499" t="s">
        <v>9998</v>
      </c>
      <c r="Y499" t="s">
        <v>9999</v>
      </c>
      <c r="Z499" t="s">
        <v>10000</v>
      </c>
      <c r="AA499" t="s">
        <v>10001</v>
      </c>
      <c r="AB499" t="s">
        <v>10002</v>
      </c>
      <c r="AC499" t="s">
        <v>10003</v>
      </c>
      <c r="AD499" t="s">
        <v>3321</v>
      </c>
      <c r="AE499" t="s">
        <v>10004</v>
      </c>
      <c r="AF499" t="s">
        <v>74</v>
      </c>
      <c r="AG499">
        <v>41</v>
      </c>
      <c r="AH499">
        <v>4</v>
      </c>
      <c r="AI499">
        <v>6</v>
      </c>
      <c r="AJ499">
        <v>0</v>
      </c>
      <c r="AK499">
        <v>1</v>
      </c>
      <c r="AL499" t="s">
        <v>3247</v>
      </c>
      <c r="AM499" t="s">
        <v>3248</v>
      </c>
      <c r="AN499" t="s">
        <v>3249</v>
      </c>
      <c r="AO499" t="s">
        <v>3250</v>
      </c>
      <c r="AP499" t="s">
        <v>3251</v>
      </c>
      <c r="AQ499" t="s">
        <v>74</v>
      </c>
      <c r="AR499" t="s">
        <v>3252</v>
      </c>
      <c r="AS499" t="s">
        <v>3253</v>
      </c>
      <c r="AT499" t="s">
        <v>74</v>
      </c>
      <c r="AU499">
        <v>2018</v>
      </c>
      <c r="AV499">
        <v>87</v>
      </c>
      <c r="AW499">
        <v>4</v>
      </c>
      <c r="AX499" t="s">
        <v>74</v>
      </c>
      <c r="AY499" t="s">
        <v>74</v>
      </c>
      <c r="AZ499" t="s">
        <v>1146</v>
      </c>
      <c r="BA499" t="s">
        <v>74</v>
      </c>
      <c r="BB499" t="s">
        <v>74</v>
      </c>
      <c r="BC499" t="s">
        <v>74</v>
      </c>
      <c r="BD499">
        <v>3598</v>
      </c>
      <c r="BE499" t="s">
        <v>10005</v>
      </c>
      <c r="BF499" t="str">
        <f>HYPERLINK("http://dx.doi.org/10.5586/asbp.3598","http://dx.doi.org/10.5586/asbp.3598")</f>
        <v>http://dx.doi.org/10.5586/asbp.3598</v>
      </c>
      <c r="BG499" t="s">
        <v>74</v>
      </c>
      <c r="BH499" t="s">
        <v>74</v>
      </c>
      <c r="BI499">
        <v>8</v>
      </c>
      <c r="BJ499" t="s">
        <v>492</v>
      </c>
      <c r="BK499" t="s">
        <v>101</v>
      </c>
      <c r="BL499" t="s">
        <v>492</v>
      </c>
      <c r="BM499" t="s">
        <v>3255</v>
      </c>
      <c r="BN499" t="s">
        <v>74</v>
      </c>
      <c r="BO499" t="s">
        <v>160</v>
      </c>
      <c r="BP499" t="s">
        <v>74</v>
      </c>
      <c r="BQ499" t="s">
        <v>74</v>
      </c>
      <c r="BR499" t="s">
        <v>105</v>
      </c>
      <c r="BS499" t="s">
        <v>10006</v>
      </c>
      <c r="BT499" t="str">
        <f>HYPERLINK("https%3A%2F%2Fwww.webofscience.com%2Fwos%2Fwoscc%2Ffull-record%2FWOS:000455583800004","View Full Record in Web of Science")</f>
        <v>View Full Record in Web of Science</v>
      </c>
    </row>
    <row r="500" spans="1:72" x14ac:dyDescent="0.15">
      <c r="A500" t="s">
        <v>72</v>
      </c>
      <c r="B500" t="s">
        <v>10007</v>
      </c>
      <c r="C500" t="s">
        <v>74</v>
      </c>
      <c r="D500" t="s">
        <v>74</v>
      </c>
      <c r="E500" t="s">
        <v>74</v>
      </c>
      <c r="F500" t="s">
        <v>10008</v>
      </c>
      <c r="G500" t="s">
        <v>74</v>
      </c>
      <c r="H500" t="s">
        <v>74</v>
      </c>
      <c r="I500" t="s">
        <v>10009</v>
      </c>
      <c r="J500" t="s">
        <v>10010</v>
      </c>
      <c r="K500" t="s">
        <v>74</v>
      </c>
      <c r="L500" t="s">
        <v>74</v>
      </c>
      <c r="M500" t="s">
        <v>78</v>
      </c>
      <c r="N500" t="s">
        <v>1644</v>
      </c>
      <c r="O500" t="s">
        <v>74</v>
      </c>
      <c r="P500" t="s">
        <v>74</v>
      </c>
      <c r="Q500" t="s">
        <v>74</v>
      </c>
      <c r="R500" t="s">
        <v>74</v>
      </c>
      <c r="S500" t="s">
        <v>74</v>
      </c>
      <c r="T500" t="s">
        <v>74</v>
      </c>
      <c r="U500" t="s">
        <v>10011</v>
      </c>
      <c r="V500" t="s">
        <v>74</v>
      </c>
      <c r="W500" t="s">
        <v>10012</v>
      </c>
      <c r="X500" t="s">
        <v>10013</v>
      </c>
      <c r="Y500" t="s">
        <v>10014</v>
      </c>
      <c r="Z500" t="s">
        <v>74</v>
      </c>
      <c r="AA500" t="s">
        <v>10015</v>
      </c>
      <c r="AB500" t="s">
        <v>10016</v>
      </c>
      <c r="AC500" t="s">
        <v>10017</v>
      </c>
      <c r="AD500" t="s">
        <v>6479</v>
      </c>
      <c r="AE500" t="s">
        <v>74</v>
      </c>
      <c r="AF500" t="s">
        <v>74</v>
      </c>
      <c r="AG500">
        <v>23</v>
      </c>
      <c r="AH500">
        <v>7</v>
      </c>
      <c r="AI500">
        <v>9</v>
      </c>
      <c r="AJ500">
        <v>1</v>
      </c>
      <c r="AK500">
        <v>22</v>
      </c>
      <c r="AL500" t="s">
        <v>2072</v>
      </c>
      <c r="AM500" t="s">
        <v>2073</v>
      </c>
      <c r="AN500" t="s">
        <v>2074</v>
      </c>
      <c r="AO500" t="s">
        <v>10018</v>
      </c>
      <c r="AP500" t="s">
        <v>10019</v>
      </c>
      <c r="AQ500" t="s">
        <v>74</v>
      </c>
      <c r="AR500" t="s">
        <v>10020</v>
      </c>
      <c r="AS500" t="s">
        <v>10021</v>
      </c>
      <c r="AT500" t="s">
        <v>2468</v>
      </c>
      <c r="AU500">
        <v>2018</v>
      </c>
      <c r="AV500">
        <v>35</v>
      </c>
      <c r="AW500">
        <v>1</v>
      </c>
      <c r="AX500" t="s">
        <v>74</v>
      </c>
      <c r="AY500" t="s">
        <v>74</v>
      </c>
      <c r="AZ500" t="s">
        <v>1146</v>
      </c>
      <c r="BA500" t="s">
        <v>74</v>
      </c>
      <c r="BB500">
        <v>1</v>
      </c>
      <c r="BC500">
        <v>4</v>
      </c>
      <c r="BD500" t="s">
        <v>74</v>
      </c>
      <c r="BE500" t="s">
        <v>10022</v>
      </c>
      <c r="BF500" t="str">
        <f>HYPERLINK("http://dx.doi.org/10.1007/s00376-017-7004-7","http://dx.doi.org/10.1007/s00376-017-7004-7")</f>
        <v>http://dx.doi.org/10.1007/s00376-017-7004-7</v>
      </c>
      <c r="BG500" t="s">
        <v>74</v>
      </c>
      <c r="BH500" t="s">
        <v>74</v>
      </c>
      <c r="BI500">
        <v>4</v>
      </c>
      <c r="BJ500" t="s">
        <v>430</v>
      </c>
      <c r="BK500" t="s">
        <v>101</v>
      </c>
      <c r="BL500" t="s">
        <v>430</v>
      </c>
      <c r="BM500" t="s">
        <v>10023</v>
      </c>
      <c r="BN500" t="s">
        <v>74</v>
      </c>
      <c r="BO500" t="s">
        <v>10024</v>
      </c>
      <c r="BP500" t="s">
        <v>74</v>
      </c>
      <c r="BQ500" t="s">
        <v>74</v>
      </c>
      <c r="BR500" t="s">
        <v>105</v>
      </c>
      <c r="BS500" t="s">
        <v>10025</v>
      </c>
      <c r="BT500" t="str">
        <f>HYPERLINK("https%3A%2F%2Fwww.webofscience.com%2Fwos%2Fwoscc%2Ffull-record%2FWOS:000417257100001","View Full Record in Web of Science")</f>
        <v>View Full Record in Web of Science</v>
      </c>
    </row>
    <row r="501" spans="1:72" x14ac:dyDescent="0.15">
      <c r="A501" t="s">
        <v>1776</v>
      </c>
      <c r="B501" t="s">
        <v>10026</v>
      </c>
      <c r="C501" t="s">
        <v>74</v>
      </c>
      <c r="D501" t="s">
        <v>10027</v>
      </c>
      <c r="E501" t="s">
        <v>74</v>
      </c>
      <c r="F501" t="s">
        <v>10028</v>
      </c>
      <c r="G501" t="s">
        <v>74</v>
      </c>
      <c r="H501" t="s">
        <v>74</v>
      </c>
      <c r="I501" t="s">
        <v>10029</v>
      </c>
      <c r="J501" t="s">
        <v>10030</v>
      </c>
      <c r="K501" t="s">
        <v>10031</v>
      </c>
      <c r="L501" t="s">
        <v>74</v>
      </c>
      <c r="M501" t="s">
        <v>78</v>
      </c>
      <c r="N501" t="s">
        <v>1782</v>
      </c>
      <c r="O501" t="s">
        <v>10032</v>
      </c>
      <c r="P501" t="s">
        <v>10033</v>
      </c>
      <c r="Q501" t="s">
        <v>7976</v>
      </c>
      <c r="R501" t="s">
        <v>74</v>
      </c>
      <c r="S501" t="s">
        <v>74</v>
      </c>
      <c r="T501" t="s">
        <v>10034</v>
      </c>
      <c r="U501" t="s">
        <v>74</v>
      </c>
      <c r="V501" t="s">
        <v>10035</v>
      </c>
      <c r="W501" t="s">
        <v>10036</v>
      </c>
      <c r="X501" t="s">
        <v>10037</v>
      </c>
      <c r="Y501" t="s">
        <v>10038</v>
      </c>
      <c r="Z501" t="s">
        <v>10039</v>
      </c>
      <c r="AA501" t="s">
        <v>74</v>
      </c>
      <c r="AB501" t="s">
        <v>74</v>
      </c>
      <c r="AC501" t="s">
        <v>10040</v>
      </c>
      <c r="AD501" t="s">
        <v>10041</v>
      </c>
      <c r="AE501" t="s">
        <v>10042</v>
      </c>
      <c r="AF501" t="s">
        <v>74</v>
      </c>
      <c r="AG501">
        <v>21</v>
      </c>
      <c r="AH501">
        <v>1</v>
      </c>
      <c r="AI501">
        <v>1</v>
      </c>
      <c r="AJ501">
        <v>0</v>
      </c>
      <c r="AK501">
        <v>0</v>
      </c>
      <c r="AL501" t="s">
        <v>1898</v>
      </c>
      <c r="AM501" t="s">
        <v>1899</v>
      </c>
      <c r="AN501" t="s">
        <v>1900</v>
      </c>
      <c r="AO501" t="s">
        <v>10043</v>
      </c>
      <c r="AP501" t="s">
        <v>10044</v>
      </c>
      <c r="AQ501" t="s">
        <v>10045</v>
      </c>
      <c r="AR501" t="s">
        <v>10046</v>
      </c>
      <c r="AS501" t="s">
        <v>74</v>
      </c>
      <c r="AT501" t="s">
        <v>74</v>
      </c>
      <c r="AU501">
        <v>2018</v>
      </c>
      <c r="AV501">
        <v>11335</v>
      </c>
      <c r="AW501" t="s">
        <v>74</v>
      </c>
      <c r="AX501" t="s">
        <v>74</v>
      </c>
      <c r="AY501" t="s">
        <v>74</v>
      </c>
      <c r="AZ501" t="s">
        <v>74</v>
      </c>
      <c r="BA501" t="s">
        <v>74</v>
      </c>
      <c r="BB501">
        <v>551</v>
      </c>
      <c r="BC501">
        <v>566</v>
      </c>
      <c r="BD501" t="s">
        <v>74</v>
      </c>
      <c r="BE501" t="s">
        <v>10047</v>
      </c>
      <c r="BF501" t="str">
        <f>HYPERLINK("http://dx.doi.org/10.1007/978-3-030-05054-2_42","http://dx.doi.org/10.1007/978-3-030-05054-2_42")</f>
        <v>http://dx.doi.org/10.1007/978-3-030-05054-2_42</v>
      </c>
      <c r="BG501" t="s">
        <v>74</v>
      </c>
      <c r="BH501" t="s">
        <v>74</v>
      </c>
      <c r="BI501">
        <v>16</v>
      </c>
      <c r="BJ501" t="s">
        <v>10048</v>
      </c>
      <c r="BK501" t="s">
        <v>1801</v>
      </c>
      <c r="BL501" t="s">
        <v>9988</v>
      </c>
      <c r="BM501" t="s">
        <v>10049</v>
      </c>
      <c r="BN501" t="s">
        <v>74</v>
      </c>
      <c r="BO501" t="s">
        <v>74</v>
      </c>
      <c r="BP501" t="s">
        <v>74</v>
      </c>
      <c r="BQ501" t="s">
        <v>74</v>
      </c>
      <c r="BR501" t="s">
        <v>105</v>
      </c>
      <c r="BS501" t="s">
        <v>10050</v>
      </c>
      <c r="BT501" t="str">
        <f>HYPERLINK("https%3A%2F%2Fwww.webofscience.com%2Fwos%2Fwoscc%2Ffull-record%2FWOS:000717048400042","View Full Record in Web of Science")</f>
        <v>View Full Record in Web of Science</v>
      </c>
    </row>
    <row r="502" spans="1:72" x14ac:dyDescent="0.15">
      <c r="A502" t="s">
        <v>72</v>
      </c>
      <c r="B502" t="s">
        <v>10051</v>
      </c>
      <c r="C502" t="s">
        <v>74</v>
      </c>
      <c r="D502" t="s">
        <v>74</v>
      </c>
      <c r="E502" t="s">
        <v>74</v>
      </c>
      <c r="F502" t="s">
        <v>10052</v>
      </c>
      <c r="G502" t="s">
        <v>74</v>
      </c>
      <c r="H502" t="s">
        <v>74</v>
      </c>
      <c r="I502" t="s">
        <v>10053</v>
      </c>
      <c r="J502" t="s">
        <v>10054</v>
      </c>
      <c r="K502" t="s">
        <v>74</v>
      </c>
      <c r="L502" t="s">
        <v>74</v>
      </c>
      <c r="M502" t="s">
        <v>78</v>
      </c>
      <c r="N502" t="s">
        <v>79</v>
      </c>
      <c r="O502" t="s">
        <v>74</v>
      </c>
      <c r="P502" t="s">
        <v>74</v>
      </c>
      <c r="Q502" t="s">
        <v>74</v>
      </c>
      <c r="R502" t="s">
        <v>74</v>
      </c>
      <c r="S502" t="s">
        <v>74</v>
      </c>
      <c r="T502" t="s">
        <v>10055</v>
      </c>
      <c r="U502" t="s">
        <v>10056</v>
      </c>
      <c r="V502" t="s">
        <v>10057</v>
      </c>
      <c r="W502" t="s">
        <v>10058</v>
      </c>
      <c r="X502" t="s">
        <v>10059</v>
      </c>
      <c r="Y502" t="s">
        <v>10060</v>
      </c>
      <c r="Z502" t="s">
        <v>10061</v>
      </c>
      <c r="AA502" t="s">
        <v>10062</v>
      </c>
      <c r="AB502" t="s">
        <v>10063</v>
      </c>
      <c r="AC502" t="s">
        <v>10064</v>
      </c>
      <c r="AD502" t="s">
        <v>10065</v>
      </c>
      <c r="AE502" t="s">
        <v>10066</v>
      </c>
      <c r="AF502" t="s">
        <v>74</v>
      </c>
      <c r="AG502">
        <v>43</v>
      </c>
      <c r="AH502">
        <v>10</v>
      </c>
      <c r="AI502">
        <v>10</v>
      </c>
      <c r="AJ502">
        <v>0</v>
      </c>
      <c r="AK502">
        <v>14</v>
      </c>
      <c r="AL502" t="s">
        <v>4791</v>
      </c>
      <c r="AM502" t="s">
        <v>4792</v>
      </c>
      <c r="AN502" t="s">
        <v>4793</v>
      </c>
      <c r="AO502" t="s">
        <v>10067</v>
      </c>
      <c r="AP502" t="s">
        <v>10068</v>
      </c>
      <c r="AQ502" t="s">
        <v>74</v>
      </c>
      <c r="AR502" t="s">
        <v>10069</v>
      </c>
      <c r="AS502" t="s">
        <v>10070</v>
      </c>
      <c r="AT502" t="s">
        <v>74</v>
      </c>
      <c r="AU502">
        <v>2018</v>
      </c>
      <c r="AV502">
        <v>22</v>
      </c>
      <c r="AW502">
        <v>4</v>
      </c>
      <c r="AX502" t="s">
        <v>74</v>
      </c>
      <c r="AY502" t="s">
        <v>74</v>
      </c>
      <c r="AZ502" t="s">
        <v>74</v>
      </c>
      <c r="BA502" t="s">
        <v>74</v>
      </c>
      <c r="BB502">
        <v>383</v>
      </c>
      <c r="BC502">
        <v>409</v>
      </c>
      <c r="BD502" t="s">
        <v>74</v>
      </c>
      <c r="BE502" t="s">
        <v>10071</v>
      </c>
      <c r="BF502" t="str">
        <f>HYPERLINK("http://dx.doi.org/10.1080/13657305.2016.1261962","http://dx.doi.org/10.1080/13657305.2016.1261962")</f>
        <v>http://dx.doi.org/10.1080/13657305.2016.1261962</v>
      </c>
      <c r="BG502" t="s">
        <v>74</v>
      </c>
      <c r="BH502" t="s">
        <v>74</v>
      </c>
      <c r="BI502">
        <v>27</v>
      </c>
      <c r="BJ502" t="s">
        <v>10072</v>
      </c>
      <c r="BK502" t="s">
        <v>101</v>
      </c>
      <c r="BL502" t="s">
        <v>10073</v>
      </c>
      <c r="BM502" t="s">
        <v>10074</v>
      </c>
      <c r="BN502" t="s">
        <v>74</v>
      </c>
      <c r="BO502" t="s">
        <v>74</v>
      </c>
      <c r="BP502" t="s">
        <v>74</v>
      </c>
      <c r="BQ502" t="s">
        <v>74</v>
      </c>
      <c r="BR502" t="s">
        <v>105</v>
      </c>
      <c r="BS502" t="s">
        <v>10075</v>
      </c>
      <c r="BT502" t="str">
        <f>HYPERLINK("https%3A%2F%2Fwww.webofscience.com%2Fwos%2Fwoscc%2Ffull-record%2FWOS:000455713000001","View Full Record in Web of Science")</f>
        <v>View Full Record in Web of Science</v>
      </c>
    </row>
    <row r="503" spans="1:72" x14ac:dyDescent="0.15">
      <c r="A503" t="s">
        <v>72</v>
      </c>
      <c r="B503" t="s">
        <v>10076</v>
      </c>
      <c r="C503" t="s">
        <v>74</v>
      </c>
      <c r="D503" t="s">
        <v>74</v>
      </c>
      <c r="E503" t="s">
        <v>74</v>
      </c>
      <c r="F503" t="s">
        <v>10077</v>
      </c>
      <c r="G503" t="s">
        <v>74</v>
      </c>
      <c r="H503" t="s">
        <v>74</v>
      </c>
      <c r="I503" t="s">
        <v>10078</v>
      </c>
      <c r="J503" t="s">
        <v>6689</v>
      </c>
      <c r="K503" t="s">
        <v>74</v>
      </c>
      <c r="L503" t="s">
        <v>74</v>
      </c>
      <c r="M503" t="s">
        <v>78</v>
      </c>
      <c r="N503" t="s">
        <v>79</v>
      </c>
      <c r="O503" t="s">
        <v>74</v>
      </c>
      <c r="P503" t="s">
        <v>74</v>
      </c>
      <c r="Q503" t="s">
        <v>74</v>
      </c>
      <c r="R503" t="s">
        <v>74</v>
      </c>
      <c r="S503" t="s">
        <v>74</v>
      </c>
      <c r="T503" t="s">
        <v>10079</v>
      </c>
      <c r="U503" t="s">
        <v>10080</v>
      </c>
      <c r="V503" t="s">
        <v>10081</v>
      </c>
      <c r="W503" t="s">
        <v>10082</v>
      </c>
      <c r="X503" t="s">
        <v>10083</v>
      </c>
      <c r="Y503" t="s">
        <v>10084</v>
      </c>
      <c r="Z503" t="s">
        <v>10085</v>
      </c>
      <c r="AA503" t="s">
        <v>10086</v>
      </c>
      <c r="AB503" t="s">
        <v>10087</v>
      </c>
      <c r="AC503" t="s">
        <v>10088</v>
      </c>
      <c r="AD503" t="s">
        <v>10089</v>
      </c>
      <c r="AE503" t="s">
        <v>10090</v>
      </c>
      <c r="AF503" t="s">
        <v>74</v>
      </c>
      <c r="AG503">
        <v>32</v>
      </c>
      <c r="AH503">
        <v>27</v>
      </c>
      <c r="AI503">
        <v>27</v>
      </c>
      <c r="AJ503">
        <v>3</v>
      </c>
      <c r="AK503">
        <v>18</v>
      </c>
      <c r="AL503" t="s">
        <v>512</v>
      </c>
      <c r="AM503" t="s">
        <v>513</v>
      </c>
      <c r="AN503" t="s">
        <v>514</v>
      </c>
      <c r="AO503" t="s">
        <v>6702</v>
      </c>
      <c r="AP503" t="s">
        <v>6703</v>
      </c>
      <c r="AQ503" t="s">
        <v>74</v>
      </c>
      <c r="AR503" t="s">
        <v>6704</v>
      </c>
      <c r="AS503" t="s">
        <v>6705</v>
      </c>
      <c r="AT503" t="s">
        <v>74</v>
      </c>
      <c r="AU503">
        <v>2018</v>
      </c>
      <c r="AV503">
        <v>10</v>
      </c>
      <c r="AW503" t="s">
        <v>74</v>
      </c>
      <c r="AX503" t="s">
        <v>74</v>
      </c>
      <c r="AY503" t="s">
        <v>74</v>
      </c>
      <c r="AZ503" t="s">
        <v>74</v>
      </c>
      <c r="BA503" t="s">
        <v>74</v>
      </c>
      <c r="BB503">
        <v>149</v>
      </c>
      <c r="BC503">
        <v>156</v>
      </c>
      <c r="BD503" t="s">
        <v>74</v>
      </c>
      <c r="BE503" t="s">
        <v>10091</v>
      </c>
      <c r="BF503" t="str">
        <f>HYPERLINK("http://dx.doi.org/10.3354/aei00263","http://dx.doi.org/10.3354/aei00263")</f>
        <v>http://dx.doi.org/10.3354/aei00263</v>
      </c>
      <c r="BG503" t="s">
        <v>74</v>
      </c>
      <c r="BH503" t="s">
        <v>74</v>
      </c>
      <c r="BI503">
        <v>8</v>
      </c>
      <c r="BJ503" t="s">
        <v>6707</v>
      </c>
      <c r="BK503" t="s">
        <v>101</v>
      </c>
      <c r="BL503" t="s">
        <v>6707</v>
      </c>
      <c r="BM503" t="s">
        <v>10092</v>
      </c>
      <c r="BN503" t="s">
        <v>74</v>
      </c>
      <c r="BO503" t="s">
        <v>160</v>
      </c>
      <c r="BP503" t="s">
        <v>74</v>
      </c>
      <c r="BQ503" t="s">
        <v>74</v>
      </c>
      <c r="BR503" t="s">
        <v>105</v>
      </c>
      <c r="BS503" t="s">
        <v>10093</v>
      </c>
      <c r="BT503" t="str">
        <f>HYPERLINK("https%3A%2F%2Fwww.webofscience.com%2Fwos%2Fwoscc%2Ffull-record%2FWOS:000430402900004","View Full Record in Web of Science")</f>
        <v>View Full Record in Web of Science</v>
      </c>
    </row>
    <row r="504" spans="1:72" x14ac:dyDescent="0.15">
      <c r="A504" t="s">
        <v>72</v>
      </c>
      <c r="B504" t="s">
        <v>10094</v>
      </c>
      <c r="C504" t="s">
        <v>74</v>
      </c>
      <c r="D504" t="s">
        <v>74</v>
      </c>
      <c r="E504" t="s">
        <v>74</v>
      </c>
      <c r="F504" t="s">
        <v>10095</v>
      </c>
      <c r="G504" t="s">
        <v>74</v>
      </c>
      <c r="H504" t="s">
        <v>74</v>
      </c>
      <c r="I504" t="s">
        <v>10096</v>
      </c>
      <c r="J504" t="s">
        <v>10097</v>
      </c>
      <c r="K504" t="s">
        <v>74</v>
      </c>
      <c r="L504" t="s">
        <v>74</v>
      </c>
      <c r="M504" t="s">
        <v>78</v>
      </c>
      <c r="N504" t="s">
        <v>79</v>
      </c>
      <c r="O504" t="s">
        <v>74</v>
      </c>
      <c r="P504" t="s">
        <v>74</v>
      </c>
      <c r="Q504" t="s">
        <v>74</v>
      </c>
      <c r="R504" t="s">
        <v>74</v>
      </c>
      <c r="S504" t="s">
        <v>74</v>
      </c>
      <c r="T504" t="s">
        <v>10098</v>
      </c>
      <c r="U504" t="s">
        <v>10099</v>
      </c>
      <c r="V504" t="s">
        <v>10100</v>
      </c>
      <c r="W504" t="s">
        <v>10101</v>
      </c>
      <c r="X504" t="s">
        <v>10102</v>
      </c>
      <c r="Y504" t="s">
        <v>10103</v>
      </c>
      <c r="Z504" t="s">
        <v>10104</v>
      </c>
      <c r="AA504" t="s">
        <v>10105</v>
      </c>
      <c r="AB504" t="s">
        <v>10106</v>
      </c>
      <c r="AC504" t="s">
        <v>10107</v>
      </c>
      <c r="AD504" t="s">
        <v>10108</v>
      </c>
      <c r="AE504" t="s">
        <v>10109</v>
      </c>
      <c r="AF504" t="s">
        <v>74</v>
      </c>
      <c r="AG504">
        <v>53</v>
      </c>
      <c r="AH504">
        <v>14</v>
      </c>
      <c r="AI504">
        <v>17</v>
      </c>
      <c r="AJ504">
        <v>0</v>
      </c>
      <c r="AK504">
        <v>21</v>
      </c>
      <c r="AL504" t="s">
        <v>10110</v>
      </c>
      <c r="AM504" t="s">
        <v>779</v>
      </c>
      <c r="AN504" t="s">
        <v>780</v>
      </c>
      <c r="AO504" t="s">
        <v>10111</v>
      </c>
      <c r="AP504" t="s">
        <v>10112</v>
      </c>
      <c r="AQ504" t="s">
        <v>74</v>
      </c>
      <c r="AR504" t="s">
        <v>10113</v>
      </c>
      <c r="AS504" t="s">
        <v>10114</v>
      </c>
      <c r="AT504" t="s">
        <v>2468</v>
      </c>
      <c r="AU504">
        <v>2018</v>
      </c>
      <c r="AV504">
        <v>155</v>
      </c>
      <c r="AW504">
        <v>1</v>
      </c>
      <c r="AX504" t="s">
        <v>74</v>
      </c>
      <c r="AY504" t="s">
        <v>74</v>
      </c>
      <c r="AZ504" t="s">
        <v>74</v>
      </c>
      <c r="BA504" t="s">
        <v>74</v>
      </c>
      <c r="BB504" t="s">
        <v>74</v>
      </c>
      <c r="BC504" t="s">
        <v>74</v>
      </c>
      <c r="BD504">
        <v>12</v>
      </c>
      <c r="BE504" t="s">
        <v>10115</v>
      </c>
      <c r="BF504" t="str">
        <f>HYPERLINK("http://dx.doi.org/10.3847/1538-3881/aa9b86","http://dx.doi.org/10.3847/1538-3881/aa9b86")</f>
        <v>http://dx.doi.org/10.3847/1538-3881/aa9b86</v>
      </c>
      <c r="BG504" t="s">
        <v>74</v>
      </c>
      <c r="BH504" t="s">
        <v>74</v>
      </c>
      <c r="BI504">
        <v>10</v>
      </c>
      <c r="BJ504" t="s">
        <v>787</v>
      </c>
      <c r="BK504" t="s">
        <v>101</v>
      </c>
      <c r="BL504" t="s">
        <v>787</v>
      </c>
      <c r="BM504" t="s">
        <v>10116</v>
      </c>
      <c r="BN504" t="s">
        <v>74</v>
      </c>
      <c r="BO504" t="s">
        <v>10117</v>
      </c>
      <c r="BP504" t="s">
        <v>74</v>
      </c>
      <c r="BQ504" t="s">
        <v>74</v>
      </c>
      <c r="BR504" t="s">
        <v>105</v>
      </c>
      <c r="BS504" t="s">
        <v>10118</v>
      </c>
      <c r="BT504" t="str">
        <f>HYPERLINK("https%3A%2F%2Fwww.webofscience.com%2Fwos%2Fwoscc%2Ffull-record%2FWOS:000417921400001","View Full Record in Web of Science")</f>
        <v>View Full Record in Web of Science</v>
      </c>
    </row>
    <row r="505" spans="1:72" x14ac:dyDescent="0.15">
      <c r="A505" t="s">
        <v>72</v>
      </c>
      <c r="B505" t="s">
        <v>10119</v>
      </c>
      <c r="C505" t="s">
        <v>74</v>
      </c>
      <c r="D505" t="s">
        <v>74</v>
      </c>
      <c r="E505" t="s">
        <v>74</v>
      </c>
      <c r="F505" t="s">
        <v>10120</v>
      </c>
      <c r="G505" t="s">
        <v>74</v>
      </c>
      <c r="H505" t="s">
        <v>74</v>
      </c>
      <c r="I505" t="s">
        <v>10121</v>
      </c>
      <c r="J505" t="s">
        <v>10122</v>
      </c>
      <c r="K505" t="s">
        <v>74</v>
      </c>
      <c r="L505" t="s">
        <v>74</v>
      </c>
      <c r="M505" t="s">
        <v>78</v>
      </c>
      <c r="N505" t="s">
        <v>79</v>
      </c>
      <c r="O505" t="s">
        <v>74</v>
      </c>
      <c r="P505" t="s">
        <v>74</v>
      </c>
      <c r="Q505" t="s">
        <v>74</v>
      </c>
      <c r="R505" t="s">
        <v>74</v>
      </c>
      <c r="S505" t="s">
        <v>74</v>
      </c>
      <c r="T505" t="s">
        <v>10123</v>
      </c>
      <c r="U505" t="s">
        <v>10124</v>
      </c>
      <c r="V505" t="s">
        <v>10125</v>
      </c>
      <c r="W505" t="s">
        <v>10126</v>
      </c>
      <c r="X505" t="s">
        <v>10127</v>
      </c>
      <c r="Y505" t="s">
        <v>10128</v>
      </c>
      <c r="Z505" t="s">
        <v>10129</v>
      </c>
      <c r="AA505" t="s">
        <v>74</v>
      </c>
      <c r="AB505" t="s">
        <v>74</v>
      </c>
      <c r="AC505" t="s">
        <v>10130</v>
      </c>
      <c r="AD505" t="s">
        <v>10131</v>
      </c>
      <c r="AE505" t="s">
        <v>10132</v>
      </c>
      <c r="AF505" t="s">
        <v>74</v>
      </c>
      <c r="AG505">
        <v>109</v>
      </c>
      <c r="AH505">
        <v>3</v>
      </c>
      <c r="AI505">
        <v>4</v>
      </c>
      <c r="AJ505">
        <v>0</v>
      </c>
      <c r="AK505">
        <v>11</v>
      </c>
      <c r="AL505" t="s">
        <v>10133</v>
      </c>
      <c r="AM505" t="s">
        <v>10134</v>
      </c>
      <c r="AN505" t="s">
        <v>10135</v>
      </c>
      <c r="AO505" t="s">
        <v>10136</v>
      </c>
      <c r="AP505" t="s">
        <v>10137</v>
      </c>
      <c r="AQ505" t="s">
        <v>74</v>
      </c>
      <c r="AR505" t="s">
        <v>10138</v>
      </c>
      <c r="AS505" t="s">
        <v>10139</v>
      </c>
      <c r="AT505" t="s">
        <v>74</v>
      </c>
      <c r="AU505">
        <v>2018</v>
      </c>
      <c r="AV505">
        <v>148</v>
      </c>
      <c r="AW505">
        <v>1</v>
      </c>
      <c r="AX505" t="s">
        <v>74</v>
      </c>
      <c r="AY505" t="s">
        <v>74</v>
      </c>
      <c r="AZ505" t="s">
        <v>74</v>
      </c>
      <c r="BA505" t="s">
        <v>74</v>
      </c>
      <c r="BB505">
        <v>31</v>
      </c>
      <c r="BC505">
        <v>82</v>
      </c>
      <c r="BD505" t="s">
        <v>74</v>
      </c>
      <c r="BE505" t="s">
        <v>10140</v>
      </c>
      <c r="BF505" t="str">
        <f>HYPERLINK("http://dx.doi.org/10.26496/bjz.2018.18","http://dx.doi.org/10.26496/bjz.2018.18")</f>
        <v>http://dx.doi.org/10.26496/bjz.2018.18</v>
      </c>
      <c r="BG505" t="s">
        <v>74</v>
      </c>
      <c r="BH505" t="s">
        <v>74</v>
      </c>
      <c r="BI505">
        <v>52</v>
      </c>
      <c r="BJ505" t="s">
        <v>655</v>
      </c>
      <c r="BK505" t="s">
        <v>101</v>
      </c>
      <c r="BL505" t="s">
        <v>655</v>
      </c>
      <c r="BM505" t="s">
        <v>10141</v>
      </c>
      <c r="BN505" t="s">
        <v>74</v>
      </c>
      <c r="BO505" t="s">
        <v>494</v>
      </c>
      <c r="BP505" t="s">
        <v>74</v>
      </c>
      <c r="BQ505" t="s">
        <v>74</v>
      </c>
      <c r="BR505" t="s">
        <v>105</v>
      </c>
      <c r="BS505" t="s">
        <v>10142</v>
      </c>
      <c r="BT505" t="str">
        <f>HYPERLINK("https%3A%2F%2Fwww.webofscience.com%2Fwos%2Fwoscc%2Ffull-record%2FWOS:000437808200004","View Full Record in Web of Science")</f>
        <v>View Full Record in Web of Science</v>
      </c>
    </row>
    <row r="506" spans="1:72" x14ac:dyDescent="0.15">
      <c r="A506" t="s">
        <v>72</v>
      </c>
      <c r="B506" t="s">
        <v>10143</v>
      </c>
      <c r="C506" t="s">
        <v>74</v>
      </c>
      <c r="D506" t="s">
        <v>74</v>
      </c>
      <c r="E506" t="s">
        <v>74</v>
      </c>
      <c r="F506" t="s">
        <v>10144</v>
      </c>
      <c r="G506" t="s">
        <v>74</v>
      </c>
      <c r="H506" t="s">
        <v>74</v>
      </c>
      <c r="I506" t="s">
        <v>10145</v>
      </c>
      <c r="J506" t="s">
        <v>10146</v>
      </c>
      <c r="K506" t="s">
        <v>74</v>
      </c>
      <c r="L506" t="s">
        <v>74</v>
      </c>
      <c r="M506" t="s">
        <v>78</v>
      </c>
      <c r="N506" t="s">
        <v>79</v>
      </c>
      <c r="O506" t="s">
        <v>74</v>
      </c>
      <c r="P506" t="s">
        <v>74</v>
      </c>
      <c r="Q506" t="s">
        <v>74</v>
      </c>
      <c r="R506" t="s">
        <v>74</v>
      </c>
      <c r="S506" t="s">
        <v>74</v>
      </c>
      <c r="T506" t="s">
        <v>10147</v>
      </c>
      <c r="U506" t="s">
        <v>10148</v>
      </c>
      <c r="V506" t="s">
        <v>10149</v>
      </c>
      <c r="W506" t="s">
        <v>10150</v>
      </c>
      <c r="X506" t="s">
        <v>10151</v>
      </c>
      <c r="Y506" t="s">
        <v>10152</v>
      </c>
      <c r="Z506" t="s">
        <v>10153</v>
      </c>
      <c r="AA506" t="s">
        <v>10154</v>
      </c>
      <c r="AB506" t="s">
        <v>10155</v>
      </c>
      <c r="AC506" t="s">
        <v>10156</v>
      </c>
      <c r="AD506" t="s">
        <v>10157</v>
      </c>
      <c r="AE506" t="s">
        <v>10158</v>
      </c>
      <c r="AF506" t="s">
        <v>74</v>
      </c>
      <c r="AG506">
        <v>47</v>
      </c>
      <c r="AH506">
        <v>5</v>
      </c>
      <c r="AI506">
        <v>5</v>
      </c>
      <c r="AJ506">
        <v>2</v>
      </c>
      <c r="AK506">
        <v>20</v>
      </c>
      <c r="AL506" t="s">
        <v>9234</v>
      </c>
      <c r="AM506" t="s">
        <v>9235</v>
      </c>
      <c r="AN506" t="s">
        <v>9236</v>
      </c>
      <c r="AO506" t="s">
        <v>10159</v>
      </c>
      <c r="AP506" t="s">
        <v>10160</v>
      </c>
      <c r="AQ506" t="s">
        <v>74</v>
      </c>
      <c r="AR506" t="s">
        <v>10161</v>
      </c>
      <c r="AS506" t="s">
        <v>10162</v>
      </c>
      <c r="AT506" t="s">
        <v>2468</v>
      </c>
      <c r="AU506">
        <v>2018</v>
      </c>
      <c r="AV506">
        <v>41</v>
      </c>
      <c r="AW506">
        <v>1</v>
      </c>
      <c r="AX506" t="s">
        <v>74</v>
      </c>
      <c r="AY506" t="s">
        <v>74</v>
      </c>
      <c r="AZ506" t="s">
        <v>74</v>
      </c>
      <c r="BA506" t="s">
        <v>74</v>
      </c>
      <c r="BB506">
        <v>51</v>
      </c>
      <c r="BC506">
        <v>60</v>
      </c>
      <c r="BD506" t="s">
        <v>74</v>
      </c>
      <c r="BE506" t="s">
        <v>10163</v>
      </c>
      <c r="BF506" t="str">
        <f>HYPERLINK("http://dx.doi.org/10.1002/ceat.201700117","http://dx.doi.org/10.1002/ceat.201700117")</f>
        <v>http://dx.doi.org/10.1002/ceat.201700117</v>
      </c>
      <c r="BG506" t="s">
        <v>74</v>
      </c>
      <c r="BH506" t="s">
        <v>74</v>
      </c>
      <c r="BI506">
        <v>10</v>
      </c>
      <c r="BJ506" t="s">
        <v>10164</v>
      </c>
      <c r="BK506" t="s">
        <v>101</v>
      </c>
      <c r="BL506" t="s">
        <v>2155</v>
      </c>
      <c r="BM506" t="s">
        <v>10165</v>
      </c>
      <c r="BN506" t="s">
        <v>74</v>
      </c>
      <c r="BO506" t="s">
        <v>5571</v>
      </c>
      <c r="BP506" t="s">
        <v>74</v>
      </c>
      <c r="BQ506" t="s">
        <v>74</v>
      </c>
      <c r="BR506" t="s">
        <v>105</v>
      </c>
      <c r="BS506" t="s">
        <v>10166</v>
      </c>
      <c r="BT506" t="str">
        <f>HYPERLINK("https%3A%2F%2Fwww.webofscience.com%2Fwos%2Fwoscc%2Ffull-record%2FWOS:000418390800007","View Full Record in Web of Science")</f>
        <v>View Full Record in Web of Science</v>
      </c>
    </row>
    <row r="507" spans="1:72" x14ac:dyDescent="0.15">
      <c r="A507" t="s">
        <v>1831</v>
      </c>
      <c r="B507" t="s">
        <v>10167</v>
      </c>
      <c r="C507" t="s">
        <v>10168</v>
      </c>
      <c r="D507" t="s">
        <v>74</v>
      </c>
      <c r="E507" t="s">
        <v>74</v>
      </c>
      <c r="F507" t="s">
        <v>10169</v>
      </c>
      <c r="G507" t="s">
        <v>10168</v>
      </c>
      <c r="H507" t="s">
        <v>74</v>
      </c>
      <c r="I507" t="s">
        <v>10170</v>
      </c>
      <c r="J507" t="s">
        <v>10171</v>
      </c>
      <c r="K507" t="s">
        <v>10172</v>
      </c>
      <c r="L507" t="s">
        <v>74</v>
      </c>
      <c r="M507" t="s">
        <v>78</v>
      </c>
      <c r="N507" t="s">
        <v>1862</v>
      </c>
      <c r="O507" t="s">
        <v>74</v>
      </c>
      <c r="P507" t="s">
        <v>74</v>
      </c>
      <c r="Q507" t="s">
        <v>74</v>
      </c>
      <c r="R507" t="s">
        <v>74</v>
      </c>
      <c r="S507" t="s">
        <v>74</v>
      </c>
      <c r="T507" t="s">
        <v>10173</v>
      </c>
      <c r="U507" t="s">
        <v>74</v>
      </c>
      <c r="V507" t="s">
        <v>10174</v>
      </c>
      <c r="W507" t="s">
        <v>10175</v>
      </c>
      <c r="X507" t="s">
        <v>10176</v>
      </c>
      <c r="Y507" t="s">
        <v>10177</v>
      </c>
      <c r="Z507" t="s">
        <v>74</v>
      </c>
      <c r="AA507" t="s">
        <v>74</v>
      </c>
      <c r="AB507" t="s">
        <v>74</v>
      </c>
      <c r="AC507" t="s">
        <v>74</v>
      </c>
      <c r="AD507" t="s">
        <v>74</v>
      </c>
      <c r="AE507" t="s">
        <v>74</v>
      </c>
      <c r="AF507" t="s">
        <v>74</v>
      </c>
      <c r="AG507">
        <v>0</v>
      </c>
      <c r="AH507">
        <v>2</v>
      </c>
      <c r="AI507">
        <v>2</v>
      </c>
      <c r="AJ507">
        <v>0</v>
      </c>
      <c r="AK507">
        <v>0</v>
      </c>
      <c r="AL507" t="s">
        <v>10178</v>
      </c>
      <c r="AM507" t="s">
        <v>10179</v>
      </c>
      <c r="AN507" t="s">
        <v>10180</v>
      </c>
      <c r="AO507" t="s">
        <v>10181</v>
      </c>
      <c r="AP507" t="s">
        <v>74</v>
      </c>
      <c r="AQ507" t="s">
        <v>10182</v>
      </c>
      <c r="AR507" t="s">
        <v>10183</v>
      </c>
      <c r="AS507" t="s">
        <v>74</v>
      </c>
      <c r="AT507" t="s">
        <v>74</v>
      </c>
      <c r="AU507">
        <v>2018</v>
      </c>
      <c r="AV507" t="s">
        <v>74</v>
      </c>
      <c r="AW507" t="s">
        <v>74</v>
      </c>
      <c r="AX507" t="s">
        <v>74</v>
      </c>
      <c r="AY507" t="s">
        <v>74</v>
      </c>
      <c r="AZ507" t="s">
        <v>74</v>
      </c>
      <c r="BA507" t="s">
        <v>74</v>
      </c>
      <c r="BB507">
        <v>51</v>
      </c>
      <c r="BC507">
        <v>73</v>
      </c>
      <c r="BD507" t="s">
        <v>74</v>
      </c>
      <c r="BE507" t="s">
        <v>10184</v>
      </c>
      <c r="BF507" t="str">
        <f>HYPERLINK("http://dx.doi.org/10.5117/9789462983014/CH02","http://dx.doi.org/10.5117/9789462983014/CH02")</f>
        <v>http://dx.doi.org/10.5117/9789462983014/CH02</v>
      </c>
      <c r="BG507" t="s">
        <v>10185</v>
      </c>
      <c r="BH507" t="s">
        <v>74</v>
      </c>
      <c r="BI507">
        <v>23</v>
      </c>
      <c r="BJ507" t="s">
        <v>10186</v>
      </c>
      <c r="BK507" t="s">
        <v>2102</v>
      </c>
      <c r="BL507" t="s">
        <v>10187</v>
      </c>
      <c r="BM507" t="s">
        <v>10188</v>
      </c>
      <c r="BN507" t="s">
        <v>74</v>
      </c>
      <c r="BO507" t="s">
        <v>74</v>
      </c>
      <c r="BP507" t="s">
        <v>74</v>
      </c>
      <c r="BQ507" t="s">
        <v>74</v>
      </c>
      <c r="BR507" t="s">
        <v>105</v>
      </c>
      <c r="BS507" t="s">
        <v>10189</v>
      </c>
      <c r="BT507" t="str">
        <f>HYPERLINK("https%3A%2F%2Fwww.webofscience.com%2Fwos%2Fwoscc%2Ffull-record%2FWOS:000517287300004","View Full Record in Web of Science")</f>
        <v>View Full Record in Web of Science</v>
      </c>
    </row>
    <row r="508" spans="1:72" x14ac:dyDescent="0.15">
      <c r="A508" t="s">
        <v>72</v>
      </c>
      <c r="B508" t="s">
        <v>10190</v>
      </c>
      <c r="C508" t="s">
        <v>74</v>
      </c>
      <c r="D508" t="s">
        <v>74</v>
      </c>
      <c r="E508" t="s">
        <v>74</v>
      </c>
      <c r="F508" t="s">
        <v>10191</v>
      </c>
      <c r="G508" t="s">
        <v>74</v>
      </c>
      <c r="H508" t="s">
        <v>74</v>
      </c>
      <c r="I508" t="s">
        <v>10192</v>
      </c>
      <c r="J508" t="s">
        <v>10193</v>
      </c>
      <c r="K508" t="s">
        <v>74</v>
      </c>
      <c r="L508" t="s">
        <v>74</v>
      </c>
      <c r="M508" t="s">
        <v>78</v>
      </c>
      <c r="N508" t="s">
        <v>289</v>
      </c>
      <c r="O508" t="s">
        <v>74</v>
      </c>
      <c r="P508" t="s">
        <v>74</v>
      </c>
      <c r="Q508" t="s">
        <v>74</v>
      </c>
      <c r="R508" t="s">
        <v>74</v>
      </c>
      <c r="S508" t="s">
        <v>74</v>
      </c>
      <c r="T508" t="s">
        <v>10194</v>
      </c>
      <c r="U508" t="s">
        <v>10195</v>
      </c>
      <c r="V508" t="s">
        <v>10196</v>
      </c>
      <c r="W508" t="s">
        <v>10197</v>
      </c>
      <c r="X508" t="s">
        <v>10198</v>
      </c>
      <c r="Y508" t="s">
        <v>10199</v>
      </c>
      <c r="Z508" t="s">
        <v>10200</v>
      </c>
      <c r="AA508" t="s">
        <v>10201</v>
      </c>
      <c r="AB508" t="s">
        <v>10202</v>
      </c>
      <c r="AC508" t="s">
        <v>74</v>
      </c>
      <c r="AD508" t="s">
        <v>74</v>
      </c>
      <c r="AE508" t="s">
        <v>74</v>
      </c>
      <c r="AF508" t="s">
        <v>74</v>
      </c>
      <c r="AG508">
        <v>131</v>
      </c>
      <c r="AH508">
        <v>78</v>
      </c>
      <c r="AI508">
        <v>82</v>
      </c>
      <c r="AJ508">
        <v>8</v>
      </c>
      <c r="AK508">
        <v>139</v>
      </c>
      <c r="AL508" t="s">
        <v>1700</v>
      </c>
      <c r="AM508" t="s">
        <v>1701</v>
      </c>
      <c r="AN508" t="s">
        <v>1702</v>
      </c>
      <c r="AO508" t="s">
        <v>10203</v>
      </c>
      <c r="AP508" t="s">
        <v>10204</v>
      </c>
      <c r="AQ508" t="s">
        <v>74</v>
      </c>
      <c r="AR508" t="s">
        <v>10205</v>
      </c>
      <c r="AS508" t="s">
        <v>10206</v>
      </c>
      <c r="AT508" t="s">
        <v>74</v>
      </c>
      <c r="AU508">
        <v>2018</v>
      </c>
      <c r="AV508">
        <v>38</v>
      </c>
      <c r="AW508">
        <v>4</v>
      </c>
      <c r="AX508" t="s">
        <v>74</v>
      </c>
      <c r="AY508" t="s">
        <v>74</v>
      </c>
      <c r="AZ508" t="s">
        <v>74</v>
      </c>
      <c r="BA508" t="s">
        <v>74</v>
      </c>
      <c r="BB508">
        <v>600</v>
      </c>
      <c r="BC508">
        <v>619</v>
      </c>
      <c r="BD508" t="s">
        <v>74</v>
      </c>
      <c r="BE508" t="s">
        <v>10207</v>
      </c>
      <c r="BF508" t="str">
        <f>HYPERLINK("http://dx.doi.org/10.1080/07388551.2017.1379468","http://dx.doi.org/10.1080/07388551.2017.1379468")</f>
        <v>http://dx.doi.org/10.1080/07388551.2017.1379468</v>
      </c>
      <c r="BG508" t="s">
        <v>74</v>
      </c>
      <c r="BH508" t="s">
        <v>74</v>
      </c>
      <c r="BI508">
        <v>20</v>
      </c>
      <c r="BJ508" t="s">
        <v>815</v>
      </c>
      <c r="BK508" t="s">
        <v>101</v>
      </c>
      <c r="BL508" t="s">
        <v>815</v>
      </c>
      <c r="BM508" t="s">
        <v>10208</v>
      </c>
      <c r="BN508">
        <v>29228814</v>
      </c>
      <c r="BO508" t="s">
        <v>432</v>
      </c>
      <c r="BP508" t="s">
        <v>74</v>
      </c>
      <c r="BQ508" t="s">
        <v>74</v>
      </c>
      <c r="BR508" t="s">
        <v>105</v>
      </c>
      <c r="BS508" t="s">
        <v>10209</v>
      </c>
      <c r="BT508" t="str">
        <f>HYPERLINK("https%3A%2F%2Fwww.webofscience.com%2Fwos%2Fwoscc%2Ffull-record%2FWOS:000428292300009","View Full Record in Web of Science")</f>
        <v>View Full Record in Web of Science</v>
      </c>
    </row>
    <row r="509" spans="1:72" x14ac:dyDescent="0.15">
      <c r="A509" t="s">
        <v>2085</v>
      </c>
      <c r="B509" t="s">
        <v>10210</v>
      </c>
      <c r="C509" t="s">
        <v>74</v>
      </c>
      <c r="D509" t="s">
        <v>10211</v>
      </c>
      <c r="E509" t="s">
        <v>74</v>
      </c>
      <c r="F509" t="s">
        <v>10212</v>
      </c>
      <c r="G509" t="s">
        <v>74</v>
      </c>
      <c r="H509" t="s">
        <v>74</v>
      </c>
      <c r="I509" t="s">
        <v>10213</v>
      </c>
      <c r="J509" t="s">
        <v>10214</v>
      </c>
      <c r="K509" t="s">
        <v>74</v>
      </c>
      <c r="L509" t="s">
        <v>74</v>
      </c>
      <c r="M509" t="s">
        <v>78</v>
      </c>
      <c r="N509" t="s">
        <v>1862</v>
      </c>
      <c r="O509" t="s">
        <v>74</v>
      </c>
      <c r="P509" t="s">
        <v>74</v>
      </c>
      <c r="Q509" t="s">
        <v>74</v>
      </c>
      <c r="R509" t="s">
        <v>74</v>
      </c>
      <c r="S509" t="s">
        <v>74</v>
      </c>
      <c r="T509" t="s">
        <v>74</v>
      </c>
      <c r="U509" t="s">
        <v>10215</v>
      </c>
      <c r="V509" t="s">
        <v>74</v>
      </c>
      <c r="W509" t="s">
        <v>10216</v>
      </c>
      <c r="X509" t="s">
        <v>10217</v>
      </c>
      <c r="Y509" t="s">
        <v>10218</v>
      </c>
      <c r="Z509" t="s">
        <v>74</v>
      </c>
      <c r="AA509" t="s">
        <v>10219</v>
      </c>
      <c r="AB509" t="s">
        <v>10220</v>
      </c>
      <c r="AC509" t="s">
        <v>74</v>
      </c>
      <c r="AD509" t="s">
        <v>74</v>
      </c>
      <c r="AE509" t="s">
        <v>74</v>
      </c>
      <c r="AF509" t="s">
        <v>74</v>
      </c>
      <c r="AG509">
        <v>10</v>
      </c>
      <c r="AH509">
        <v>10</v>
      </c>
      <c r="AI509">
        <v>11</v>
      </c>
      <c r="AJ509">
        <v>0</v>
      </c>
      <c r="AK509">
        <v>1</v>
      </c>
      <c r="AL509" t="s">
        <v>10221</v>
      </c>
      <c r="AM509" t="s">
        <v>92</v>
      </c>
      <c r="AN509" t="s">
        <v>10222</v>
      </c>
      <c r="AO509" t="s">
        <v>74</v>
      </c>
      <c r="AP509" t="s">
        <v>74</v>
      </c>
      <c r="AQ509" t="s">
        <v>10223</v>
      </c>
      <c r="AR509" t="s">
        <v>74</v>
      </c>
      <c r="AS509" t="s">
        <v>74</v>
      </c>
      <c r="AT509" t="s">
        <v>74</v>
      </c>
      <c r="AU509">
        <v>2018</v>
      </c>
      <c r="AV509" t="s">
        <v>74</v>
      </c>
      <c r="AW509" t="s">
        <v>74</v>
      </c>
      <c r="AX509" t="s">
        <v>74</v>
      </c>
      <c r="AY509" t="s">
        <v>74</v>
      </c>
      <c r="AZ509" t="s">
        <v>74</v>
      </c>
      <c r="BA509" t="s">
        <v>74</v>
      </c>
      <c r="BB509">
        <v>25</v>
      </c>
      <c r="BC509">
        <v>27</v>
      </c>
      <c r="BD509" t="s">
        <v>74</v>
      </c>
      <c r="BE509" t="s">
        <v>74</v>
      </c>
      <c r="BF509" t="s">
        <v>74</v>
      </c>
      <c r="BG509" t="s">
        <v>10224</v>
      </c>
      <c r="BH509" t="s">
        <v>74</v>
      </c>
      <c r="BI509">
        <v>3</v>
      </c>
      <c r="BJ509" t="s">
        <v>655</v>
      </c>
      <c r="BK509" t="s">
        <v>1856</v>
      </c>
      <c r="BL509" t="s">
        <v>655</v>
      </c>
      <c r="BM509" t="s">
        <v>10225</v>
      </c>
      <c r="BN509" t="s">
        <v>74</v>
      </c>
      <c r="BO509" t="s">
        <v>74</v>
      </c>
      <c r="BP509" t="s">
        <v>74</v>
      </c>
      <c r="BQ509" t="s">
        <v>74</v>
      </c>
      <c r="BR509" t="s">
        <v>105</v>
      </c>
      <c r="BS509" t="s">
        <v>10226</v>
      </c>
      <c r="BT509" t="str">
        <f>HYPERLINK("https%3A%2F%2Fwww.webofscience.com%2Fwos%2Fwoscc%2Ffull-record%2FWOS:000537008800009","View Full Record in Web of Science")</f>
        <v>View Full Record in Web of Science</v>
      </c>
    </row>
    <row r="510" spans="1:72" x14ac:dyDescent="0.15">
      <c r="A510" t="s">
        <v>2085</v>
      </c>
      <c r="B510" t="s">
        <v>10227</v>
      </c>
      <c r="C510" t="s">
        <v>74</v>
      </c>
      <c r="D510" t="s">
        <v>10211</v>
      </c>
      <c r="E510" t="s">
        <v>74</v>
      </c>
      <c r="F510" t="s">
        <v>10228</v>
      </c>
      <c r="G510" t="s">
        <v>74</v>
      </c>
      <c r="H510" t="s">
        <v>74</v>
      </c>
      <c r="I510" t="s">
        <v>10229</v>
      </c>
      <c r="J510" t="s">
        <v>10214</v>
      </c>
      <c r="K510" t="s">
        <v>74</v>
      </c>
      <c r="L510" t="s">
        <v>74</v>
      </c>
      <c r="M510" t="s">
        <v>78</v>
      </c>
      <c r="N510" t="s">
        <v>1862</v>
      </c>
      <c r="O510" t="s">
        <v>74</v>
      </c>
      <c r="P510" t="s">
        <v>74</v>
      </c>
      <c r="Q510" t="s">
        <v>74</v>
      </c>
      <c r="R510" t="s">
        <v>74</v>
      </c>
      <c r="S510" t="s">
        <v>74</v>
      </c>
      <c r="T510" t="s">
        <v>74</v>
      </c>
      <c r="U510" t="s">
        <v>10230</v>
      </c>
      <c r="V510" t="s">
        <v>74</v>
      </c>
      <c r="W510" t="s">
        <v>10231</v>
      </c>
      <c r="X510" t="s">
        <v>10232</v>
      </c>
      <c r="Y510" t="s">
        <v>10233</v>
      </c>
      <c r="Z510" t="s">
        <v>74</v>
      </c>
      <c r="AA510" t="s">
        <v>74</v>
      </c>
      <c r="AB510" t="s">
        <v>74</v>
      </c>
      <c r="AC510" t="s">
        <v>74</v>
      </c>
      <c r="AD510" t="s">
        <v>74</v>
      </c>
      <c r="AE510" t="s">
        <v>74</v>
      </c>
      <c r="AF510" t="s">
        <v>74</v>
      </c>
      <c r="AG510">
        <v>20</v>
      </c>
      <c r="AH510">
        <v>7</v>
      </c>
      <c r="AI510">
        <v>8</v>
      </c>
      <c r="AJ510">
        <v>0</v>
      </c>
      <c r="AK510">
        <v>6</v>
      </c>
      <c r="AL510" t="s">
        <v>10221</v>
      </c>
      <c r="AM510" t="s">
        <v>92</v>
      </c>
      <c r="AN510" t="s">
        <v>10222</v>
      </c>
      <c r="AO510" t="s">
        <v>74</v>
      </c>
      <c r="AP510" t="s">
        <v>74</v>
      </c>
      <c r="AQ510" t="s">
        <v>10223</v>
      </c>
      <c r="AR510" t="s">
        <v>74</v>
      </c>
      <c r="AS510" t="s">
        <v>74</v>
      </c>
      <c r="AT510" t="s">
        <v>74</v>
      </c>
      <c r="AU510">
        <v>2018</v>
      </c>
      <c r="AV510" t="s">
        <v>74</v>
      </c>
      <c r="AW510" t="s">
        <v>74</v>
      </c>
      <c r="AX510" t="s">
        <v>74</v>
      </c>
      <c r="AY510" t="s">
        <v>74</v>
      </c>
      <c r="AZ510" t="s">
        <v>74</v>
      </c>
      <c r="BA510" t="s">
        <v>74</v>
      </c>
      <c r="BB510">
        <v>27</v>
      </c>
      <c r="BC510">
        <v>32</v>
      </c>
      <c r="BD510" t="s">
        <v>74</v>
      </c>
      <c r="BE510" t="s">
        <v>74</v>
      </c>
      <c r="BF510" t="s">
        <v>74</v>
      </c>
      <c r="BG510" t="s">
        <v>10224</v>
      </c>
      <c r="BH510" t="s">
        <v>74</v>
      </c>
      <c r="BI510">
        <v>6</v>
      </c>
      <c r="BJ510" t="s">
        <v>655</v>
      </c>
      <c r="BK510" t="s">
        <v>1856</v>
      </c>
      <c r="BL510" t="s">
        <v>655</v>
      </c>
      <c r="BM510" t="s">
        <v>10225</v>
      </c>
      <c r="BN510" t="s">
        <v>74</v>
      </c>
      <c r="BO510" t="s">
        <v>74</v>
      </c>
      <c r="BP510" t="s">
        <v>74</v>
      </c>
      <c r="BQ510" t="s">
        <v>74</v>
      </c>
      <c r="BR510" t="s">
        <v>105</v>
      </c>
      <c r="BS510" t="s">
        <v>10234</v>
      </c>
      <c r="BT510" t="str">
        <f>HYPERLINK("https%3A%2F%2Fwww.webofscience.com%2Fwos%2Fwoscc%2Ffull-record%2FWOS:000537008800010","View Full Record in Web of Science")</f>
        <v>View Full Record in Web of Science</v>
      </c>
    </row>
    <row r="511" spans="1:72" x14ac:dyDescent="0.15">
      <c r="A511" t="s">
        <v>2085</v>
      </c>
      <c r="B511" t="s">
        <v>10235</v>
      </c>
      <c r="C511" t="s">
        <v>74</v>
      </c>
      <c r="D511" t="s">
        <v>10211</v>
      </c>
      <c r="E511" t="s">
        <v>74</v>
      </c>
      <c r="F511" t="s">
        <v>10236</v>
      </c>
      <c r="G511" t="s">
        <v>74</v>
      </c>
      <c r="H511" t="s">
        <v>74</v>
      </c>
      <c r="I511" t="s">
        <v>10237</v>
      </c>
      <c r="J511" t="s">
        <v>10214</v>
      </c>
      <c r="K511" t="s">
        <v>74</v>
      </c>
      <c r="L511" t="s">
        <v>74</v>
      </c>
      <c r="M511" t="s">
        <v>78</v>
      </c>
      <c r="N511" t="s">
        <v>1862</v>
      </c>
      <c r="O511" t="s">
        <v>74</v>
      </c>
      <c r="P511" t="s">
        <v>74</v>
      </c>
      <c r="Q511" t="s">
        <v>74</v>
      </c>
      <c r="R511" t="s">
        <v>74</v>
      </c>
      <c r="S511" t="s">
        <v>74</v>
      </c>
      <c r="T511" t="s">
        <v>74</v>
      </c>
      <c r="U511" t="s">
        <v>74</v>
      </c>
      <c r="V511" t="s">
        <v>74</v>
      </c>
      <c r="W511" t="s">
        <v>10238</v>
      </c>
      <c r="X511" t="s">
        <v>2299</v>
      </c>
      <c r="Y511" t="s">
        <v>10218</v>
      </c>
      <c r="Z511" t="s">
        <v>74</v>
      </c>
      <c r="AA511" t="s">
        <v>10239</v>
      </c>
      <c r="AB511" t="s">
        <v>74</v>
      </c>
      <c r="AC511" t="s">
        <v>74</v>
      </c>
      <c r="AD511" t="s">
        <v>74</v>
      </c>
      <c r="AE511" t="s">
        <v>74</v>
      </c>
      <c r="AF511" t="s">
        <v>74</v>
      </c>
      <c r="AG511">
        <v>14</v>
      </c>
      <c r="AH511">
        <v>7</v>
      </c>
      <c r="AI511">
        <v>7</v>
      </c>
      <c r="AJ511">
        <v>0</v>
      </c>
      <c r="AK511">
        <v>1</v>
      </c>
      <c r="AL511" t="s">
        <v>10221</v>
      </c>
      <c r="AM511" t="s">
        <v>92</v>
      </c>
      <c r="AN511" t="s">
        <v>10222</v>
      </c>
      <c r="AO511" t="s">
        <v>74</v>
      </c>
      <c r="AP511" t="s">
        <v>74</v>
      </c>
      <c r="AQ511" t="s">
        <v>10223</v>
      </c>
      <c r="AR511" t="s">
        <v>74</v>
      </c>
      <c r="AS511" t="s">
        <v>74</v>
      </c>
      <c r="AT511" t="s">
        <v>74</v>
      </c>
      <c r="AU511">
        <v>2018</v>
      </c>
      <c r="AV511" t="s">
        <v>74</v>
      </c>
      <c r="AW511" t="s">
        <v>74</v>
      </c>
      <c r="AX511" t="s">
        <v>74</v>
      </c>
      <c r="AY511" t="s">
        <v>74</v>
      </c>
      <c r="AZ511" t="s">
        <v>74</v>
      </c>
      <c r="BA511" t="s">
        <v>74</v>
      </c>
      <c r="BB511">
        <v>259</v>
      </c>
      <c r="BC511">
        <v>262</v>
      </c>
      <c r="BD511" t="s">
        <v>74</v>
      </c>
      <c r="BE511" t="s">
        <v>74</v>
      </c>
      <c r="BF511" t="s">
        <v>74</v>
      </c>
      <c r="BG511" t="s">
        <v>10224</v>
      </c>
      <c r="BH511" t="s">
        <v>74</v>
      </c>
      <c r="BI511">
        <v>4</v>
      </c>
      <c r="BJ511" t="s">
        <v>655</v>
      </c>
      <c r="BK511" t="s">
        <v>1856</v>
      </c>
      <c r="BL511" t="s">
        <v>655</v>
      </c>
      <c r="BM511" t="s">
        <v>10225</v>
      </c>
      <c r="BN511" t="s">
        <v>74</v>
      </c>
      <c r="BO511" t="s">
        <v>74</v>
      </c>
      <c r="BP511" t="s">
        <v>74</v>
      </c>
      <c r="BQ511" t="s">
        <v>74</v>
      </c>
      <c r="BR511" t="s">
        <v>105</v>
      </c>
      <c r="BS511" t="s">
        <v>10240</v>
      </c>
      <c r="BT511" t="str">
        <f>HYPERLINK("https%3A%2F%2Fwww.webofscience.com%2Fwos%2Fwoscc%2Ffull-record%2FWOS:000537008800072","View Full Record in Web of Science")</f>
        <v>View Full Record in Web of Science</v>
      </c>
    </row>
    <row r="512" spans="1:72" x14ac:dyDescent="0.15">
      <c r="A512" t="s">
        <v>2085</v>
      </c>
      <c r="B512" t="s">
        <v>10241</v>
      </c>
      <c r="C512" t="s">
        <v>74</v>
      </c>
      <c r="D512" t="s">
        <v>10211</v>
      </c>
      <c r="E512" t="s">
        <v>74</v>
      </c>
      <c r="F512" t="s">
        <v>10242</v>
      </c>
      <c r="G512" t="s">
        <v>74</v>
      </c>
      <c r="H512" t="s">
        <v>74</v>
      </c>
      <c r="I512" t="s">
        <v>10243</v>
      </c>
      <c r="J512" t="s">
        <v>10214</v>
      </c>
      <c r="K512" t="s">
        <v>74</v>
      </c>
      <c r="L512" t="s">
        <v>74</v>
      </c>
      <c r="M512" t="s">
        <v>78</v>
      </c>
      <c r="N512" t="s">
        <v>1862</v>
      </c>
      <c r="O512" t="s">
        <v>74</v>
      </c>
      <c r="P512" t="s">
        <v>74</v>
      </c>
      <c r="Q512" t="s">
        <v>74</v>
      </c>
      <c r="R512" t="s">
        <v>74</v>
      </c>
      <c r="S512" t="s">
        <v>74</v>
      </c>
      <c r="T512" t="s">
        <v>74</v>
      </c>
      <c r="U512" t="s">
        <v>10244</v>
      </c>
      <c r="V512" t="s">
        <v>74</v>
      </c>
      <c r="W512" t="s">
        <v>10245</v>
      </c>
      <c r="X512" t="s">
        <v>3770</v>
      </c>
      <c r="Y512" t="s">
        <v>10246</v>
      </c>
      <c r="Z512" t="s">
        <v>74</v>
      </c>
      <c r="AA512" t="s">
        <v>74</v>
      </c>
      <c r="AB512" t="s">
        <v>74</v>
      </c>
      <c r="AC512" t="s">
        <v>74</v>
      </c>
      <c r="AD512" t="s">
        <v>74</v>
      </c>
      <c r="AE512" t="s">
        <v>74</v>
      </c>
      <c r="AF512" t="s">
        <v>74</v>
      </c>
      <c r="AG512">
        <v>62</v>
      </c>
      <c r="AH512">
        <v>2</v>
      </c>
      <c r="AI512">
        <v>4</v>
      </c>
      <c r="AJ512">
        <v>1</v>
      </c>
      <c r="AK512">
        <v>2</v>
      </c>
      <c r="AL512" t="s">
        <v>10221</v>
      </c>
      <c r="AM512" t="s">
        <v>92</v>
      </c>
      <c r="AN512" t="s">
        <v>10222</v>
      </c>
      <c r="AO512" t="s">
        <v>74</v>
      </c>
      <c r="AP512" t="s">
        <v>74</v>
      </c>
      <c r="AQ512" t="s">
        <v>10223</v>
      </c>
      <c r="AR512" t="s">
        <v>74</v>
      </c>
      <c r="AS512" t="s">
        <v>74</v>
      </c>
      <c r="AT512" t="s">
        <v>74</v>
      </c>
      <c r="AU512">
        <v>2018</v>
      </c>
      <c r="AV512" t="s">
        <v>74</v>
      </c>
      <c r="AW512" t="s">
        <v>74</v>
      </c>
      <c r="AX512" t="s">
        <v>74</v>
      </c>
      <c r="AY512" t="s">
        <v>74</v>
      </c>
      <c r="AZ512" t="s">
        <v>74</v>
      </c>
      <c r="BA512" t="s">
        <v>74</v>
      </c>
      <c r="BB512">
        <v>722</v>
      </c>
      <c r="BC512">
        <v>726</v>
      </c>
      <c r="BD512" t="s">
        <v>74</v>
      </c>
      <c r="BE512" t="s">
        <v>74</v>
      </c>
      <c r="BF512" t="s">
        <v>74</v>
      </c>
      <c r="BG512" t="s">
        <v>10224</v>
      </c>
      <c r="BH512" t="s">
        <v>74</v>
      </c>
      <c r="BI512">
        <v>5</v>
      </c>
      <c r="BJ512" t="s">
        <v>655</v>
      </c>
      <c r="BK512" t="s">
        <v>1856</v>
      </c>
      <c r="BL512" t="s">
        <v>655</v>
      </c>
      <c r="BM512" t="s">
        <v>10225</v>
      </c>
      <c r="BN512" t="s">
        <v>74</v>
      </c>
      <c r="BO512" t="s">
        <v>74</v>
      </c>
      <c r="BP512" t="s">
        <v>74</v>
      </c>
      <c r="BQ512" t="s">
        <v>74</v>
      </c>
      <c r="BR512" t="s">
        <v>105</v>
      </c>
      <c r="BS512" t="s">
        <v>10247</v>
      </c>
      <c r="BT512" t="str">
        <f>HYPERLINK("https%3A%2F%2Fwww.webofscience.com%2Fwos%2Fwoscc%2Ffull-record%2FWOS:000537008800173","View Full Record in Web of Science")</f>
        <v>View Full Record in Web of Science</v>
      </c>
    </row>
    <row r="513" spans="1:72" x14ac:dyDescent="0.15">
      <c r="A513" t="s">
        <v>1831</v>
      </c>
      <c r="B513" t="s">
        <v>10248</v>
      </c>
      <c r="C513" t="s">
        <v>10248</v>
      </c>
      <c r="D513" t="s">
        <v>74</v>
      </c>
      <c r="E513" t="s">
        <v>74</v>
      </c>
      <c r="F513" t="s">
        <v>10249</v>
      </c>
      <c r="G513" t="s">
        <v>10248</v>
      </c>
      <c r="H513" t="s">
        <v>74</v>
      </c>
      <c r="I513" t="s">
        <v>10250</v>
      </c>
      <c r="J513" t="s">
        <v>10251</v>
      </c>
      <c r="K513" t="s">
        <v>10252</v>
      </c>
      <c r="L513" t="s">
        <v>74</v>
      </c>
      <c r="M513" t="s">
        <v>78</v>
      </c>
      <c r="N513" t="s">
        <v>1862</v>
      </c>
      <c r="O513" t="s">
        <v>74</v>
      </c>
      <c r="P513" t="s">
        <v>74</v>
      </c>
      <c r="Q513" t="s">
        <v>74</v>
      </c>
      <c r="R513" t="s">
        <v>74</v>
      </c>
      <c r="S513" t="s">
        <v>74</v>
      </c>
      <c r="T513" t="s">
        <v>74</v>
      </c>
      <c r="U513" t="s">
        <v>10253</v>
      </c>
      <c r="V513" t="s">
        <v>74</v>
      </c>
      <c r="W513" t="s">
        <v>74</v>
      </c>
      <c r="X513" t="s">
        <v>74</v>
      </c>
      <c r="Y513" t="s">
        <v>74</v>
      </c>
      <c r="Z513" t="s">
        <v>74</v>
      </c>
      <c r="AA513" t="s">
        <v>10254</v>
      </c>
      <c r="AB513" t="s">
        <v>74</v>
      </c>
      <c r="AC513" t="s">
        <v>74</v>
      </c>
      <c r="AD513" t="s">
        <v>74</v>
      </c>
      <c r="AE513" t="s">
        <v>74</v>
      </c>
      <c r="AF513" t="s">
        <v>74</v>
      </c>
      <c r="AG513">
        <v>224</v>
      </c>
      <c r="AH513">
        <v>11</v>
      </c>
      <c r="AI513">
        <v>11</v>
      </c>
      <c r="AJ513">
        <v>1</v>
      </c>
      <c r="AK513">
        <v>3</v>
      </c>
      <c r="AL513" t="s">
        <v>1973</v>
      </c>
      <c r="AM513" t="s">
        <v>1797</v>
      </c>
      <c r="AN513" t="s">
        <v>1974</v>
      </c>
      <c r="AO513" t="s">
        <v>10255</v>
      </c>
      <c r="AP513" t="s">
        <v>74</v>
      </c>
      <c r="AQ513" t="s">
        <v>10256</v>
      </c>
      <c r="AR513" t="s">
        <v>10257</v>
      </c>
      <c r="AS513" t="s">
        <v>74</v>
      </c>
      <c r="AT513" t="s">
        <v>74</v>
      </c>
      <c r="AU513">
        <v>2018</v>
      </c>
      <c r="AV513" t="s">
        <v>74</v>
      </c>
      <c r="AW513" t="s">
        <v>74</v>
      </c>
      <c r="AX513" t="s">
        <v>74</v>
      </c>
      <c r="AY513" t="s">
        <v>74</v>
      </c>
      <c r="AZ513" t="s">
        <v>74</v>
      </c>
      <c r="BA513" t="s">
        <v>74</v>
      </c>
      <c r="BB513" t="s">
        <v>74</v>
      </c>
      <c r="BC513" t="s">
        <v>74</v>
      </c>
      <c r="BD513" t="s">
        <v>74</v>
      </c>
      <c r="BE513" t="s">
        <v>10258</v>
      </c>
      <c r="BF513" t="str">
        <f>HYPERLINK("http://dx.doi.org/10.1007/978-3-662-55308-4","http://dx.doi.org/10.1007/978-3-662-55308-4")</f>
        <v>http://dx.doi.org/10.1007/978-3-662-55308-4</v>
      </c>
      <c r="BG513" t="s">
        <v>10259</v>
      </c>
      <c r="BH513" t="s">
        <v>74</v>
      </c>
      <c r="BI513">
        <v>9</v>
      </c>
      <c r="BJ513" t="s">
        <v>10260</v>
      </c>
      <c r="BK513" t="s">
        <v>1856</v>
      </c>
      <c r="BL513" t="s">
        <v>10261</v>
      </c>
      <c r="BM513" t="s">
        <v>10262</v>
      </c>
      <c r="BN513" t="s">
        <v>74</v>
      </c>
      <c r="BO513" t="s">
        <v>432</v>
      </c>
      <c r="BP513" t="s">
        <v>74</v>
      </c>
      <c r="BQ513" t="s">
        <v>74</v>
      </c>
      <c r="BR513" t="s">
        <v>105</v>
      </c>
      <c r="BS513" t="s">
        <v>10263</v>
      </c>
      <c r="BT513" t="str">
        <f>HYPERLINK("https%3A%2F%2Fwww.webofscience.com%2Fwos%2Fwoscc%2Ffull-record%2FWOS:000445864800007","View Full Record in Web of Science")</f>
        <v>View Full Record in Web of Science</v>
      </c>
    </row>
    <row r="514" spans="1:72" x14ac:dyDescent="0.15">
      <c r="A514" t="s">
        <v>72</v>
      </c>
      <c r="B514" t="s">
        <v>7677</v>
      </c>
      <c r="C514" t="s">
        <v>74</v>
      </c>
      <c r="D514" t="s">
        <v>74</v>
      </c>
      <c r="E514" t="s">
        <v>74</v>
      </c>
      <c r="F514" t="s">
        <v>7678</v>
      </c>
      <c r="G514" t="s">
        <v>74</v>
      </c>
      <c r="H514" t="s">
        <v>74</v>
      </c>
      <c r="I514" t="s">
        <v>10264</v>
      </c>
      <c r="J514" t="s">
        <v>7680</v>
      </c>
      <c r="K514" t="s">
        <v>74</v>
      </c>
      <c r="L514" t="s">
        <v>74</v>
      </c>
      <c r="M514" t="s">
        <v>78</v>
      </c>
      <c r="N514" t="s">
        <v>79</v>
      </c>
      <c r="O514" t="s">
        <v>74</v>
      </c>
      <c r="P514" t="s">
        <v>74</v>
      </c>
      <c r="Q514" t="s">
        <v>74</v>
      </c>
      <c r="R514" t="s">
        <v>74</v>
      </c>
      <c r="S514" t="s">
        <v>74</v>
      </c>
      <c r="T514" t="s">
        <v>10265</v>
      </c>
      <c r="U514" t="s">
        <v>10266</v>
      </c>
      <c r="V514" t="s">
        <v>10267</v>
      </c>
      <c r="W514" t="s">
        <v>10268</v>
      </c>
      <c r="X514" t="s">
        <v>10269</v>
      </c>
      <c r="Y514" t="s">
        <v>10270</v>
      </c>
      <c r="Z514" t="s">
        <v>10271</v>
      </c>
      <c r="AA514" t="s">
        <v>74</v>
      </c>
      <c r="AB514" t="s">
        <v>10272</v>
      </c>
      <c r="AC514" t="s">
        <v>74</v>
      </c>
      <c r="AD514" t="s">
        <v>74</v>
      </c>
      <c r="AE514" t="s">
        <v>74</v>
      </c>
      <c r="AF514" t="s">
        <v>74</v>
      </c>
      <c r="AG514">
        <v>49</v>
      </c>
      <c r="AH514">
        <v>21</v>
      </c>
      <c r="AI514">
        <v>21</v>
      </c>
      <c r="AJ514">
        <v>0</v>
      </c>
      <c r="AK514">
        <v>18</v>
      </c>
      <c r="AL514" t="s">
        <v>1700</v>
      </c>
      <c r="AM514" t="s">
        <v>1701</v>
      </c>
      <c r="AN514" t="s">
        <v>1702</v>
      </c>
      <c r="AO514" t="s">
        <v>7682</v>
      </c>
      <c r="AP514" t="s">
        <v>7683</v>
      </c>
      <c r="AQ514" t="s">
        <v>74</v>
      </c>
      <c r="AR514" t="s">
        <v>7684</v>
      </c>
      <c r="AS514" t="s">
        <v>7685</v>
      </c>
      <c r="AT514" t="s">
        <v>74</v>
      </c>
      <c r="AU514">
        <v>2018</v>
      </c>
      <c r="AV514">
        <v>53</v>
      </c>
      <c r="AW514">
        <v>2</v>
      </c>
      <c r="AX514" t="s">
        <v>74</v>
      </c>
      <c r="AY514" t="s">
        <v>74</v>
      </c>
      <c r="AZ514" t="s">
        <v>74</v>
      </c>
      <c r="BA514" t="s">
        <v>74</v>
      </c>
      <c r="BB514">
        <v>115</v>
      </c>
      <c r="BC514">
        <v>121</v>
      </c>
      <c r="BD514" t="s">
        <v>74</v>
      </c>
      <c r="BE514" t="s">
        <v>10273</v>
      </c>
      <c r="BF514" t="str">
        <f>HYPERLINK("http://dx.doi.org/10.1080/09670262.2018.1442587","http://dx.doi.org/10.1080/09670262.2018.1442587")</f>
        <v>http://dx.doi.org/10.1080/09670262.2018.1442587</v>
      </c>
      <c r="BG514" t="s">
        <v>74</v>
      </c>
      <c r="BH514" t="s">
        <v>74</v>
      </c>
      <c r="BI514">
        <v>7</v>
      </c>
      <c r="BJ514" t="s">
        <v>7687</v>
      </c>
      <c r="BK514" t="s">
        <v>101</v>
      </c>
      <c r="BL514" t="s">
        <v>7687</v>
      </c>
      <c r="BM514" t="s">
        <v>7688</v>
      </c>
      <c r="BN514" t="s">
        <v>74</v>
      </c>
      <c r="BO514" t="s">
        <v>74</v>
      </c>
      <c r="BP514" t="s">
        <v>74</v>
      </c>
      <c r="BQ514" t="s">
        <v>74</v>
      </c>
      <c r="BR514" t="s">
        <v>105</v>
      </c>
      <c r="BS514" t="s">
        <v>10274</v>
      </c>
      <c r="BT514" t="str">
        <f>HYPERLINK("https%3A%2F%2Fwww.webofscience.com%2Fwos%2Fwoscc%2Ffull-record%2FWOS:000431546100001","View Full Record in Web of Science")</f>
        <v>View Full Record in Web of Science</v>
      </c>
    </row>
    <row r="515" spans="1:72" x14ac:dyDescent="0.15">
      <c r="A515" t="s">
        <v>72</v>
      </c>
      <c r="B515" t="s">
        <v>10275</v>
      </c>
      <c r="C515" t="s">
        <v>74</v>
      </c>
      <c r="D515" t="s">
        <v>74</v>
      </c>
      <c r="E515" t="s">
        <v>74</v>
      </c>
      <c r="F515" t="s">
        <v>10276</v>
      </c>
      <c r="G515" t="s">
        <v>74</v>
      </c>
      <c r="H515" t="s">
        <v>74</v>
      </c>
      <c r="I515" t="s">
        <v>10277</v>
      </c>
      <c r="J515" t="s">
        <v>7680</v>
      </c>
      <c r="K515" t="s">
        <v>74</v>
      </c>
      <c r="L515" t="s">
        <v>74</v>
      </c>
      <c r="M515" t="s">
        <v>78</v>
      </c>
      <c r="N515" t="s">
        <v>79</v>
      </c>
      <c r="O515" t="s">
        <v>74</v>
      </c>
      <c r="P515" t="s">
        <v>74</v>
      </c>
      <c r="Q515" t="s">
        <v>74</v>
      </c>
      <c r="R515" t="s">
        <v>74</v>
      </c>
      <c r="S515" t="s">
        <v>74</v>
      </c>
      <c r="T515" t="s">
        <v>10278</v>
      </c>
      <c r="U515" t="s">
        <v>10279</v>
      </c>
      <c r="V515" t="s">
        <v>10280</v>
      </c>
      <c r="W515" t="s">
        <v>10281</v>
      </c>
      <c r="X515" t="s">
        <v>10282</v>
      </c>
      <c r="Y515" t="s">
        <v>10283</v>
      </c>
      <c r="Z515" t="s">
        <v>10284</v>
      </c>
      <c r="AA515" t="s">
        <v>10285</v>
      </c>
      <c r="AB515" t="s">
        <v>10286</v>
      </c>
      <c r="AC515" t="s">
        <v>10287</v>
      </c>
      <c r="AD515" t="s">
        <v>10288</v>
      </c>
      <c r="AE515" t="s">
        <v>10289</v>
      </c>
      <c r="AF515" t="s">
        <v>74</v>
      </c>
      <c r="AG515">
        <v>84</v>
      </c>
      <c r="AH515">
        <v>19</v>
      </c>
      <c r="AI515">
        <v>19</v>
      </c>
      <c r="AJ515">
        <v>0</v>
      </c>
      <c r="AK515">
        <v>9</v>
      </c>
      <c r="AL515" t="s">
        <v>1700</v>
      </c>
      <c r="AM515" t="s">
        <v>1701</v>
      </c>
      <c r="AN515" t="s">
        <v>1702</v>
      </c>
      <c r="AO515" t="s">
        <v>7682</v>
      </c>
      <c r="AP515" t="s">
        <v>7683</v>
      </c>
      <c r="AQ515" t="s">
        <v>74</v>
      </c>
      <c r="AR515" t="s">
        <v>7684</v>
      </c>
      <c r="AS515" t="s">
        <v>7685</v>
      </c>
      <c r="AT515" t="s">
        <v>74</v>
      </c>
      <c r="AU515">
        <v>2018</v>
      </c>
      <c r="AV515">
        <v>53</v>
      </c>
      <c r="AW515">
        <v>4</v>
      </c>
      <c r="AX515" t="s">
        <v>74</v>
      </c>
      <c r="AY515" t="s">
        <v>74</v>
      </c>
      <c r="AZ515" t="s">
        <v>74</v>
      </c>
      <c r="BA515" t="s">
        <v>74</v>
      </c>
      <c r="BB515">
        <v>492</v>
      </c>
      <c r="BC515">
        <v>508</v>
      </c>
      <c r="BD515" t="s">
        <v>74</v>
      </c>
      <c r="BE515" t="s">
        <v>10290</v>
      </c>
      <c r="BF515" t="str">
        <f>HYPERLINK("http://dx.doi.org/10.1080/09670262.2018.1476920","http://dx.doi.org/10.1080/09670262.2018.1476920")</f>
        <v>http://dx.doi.org/10.1080/09670262.2018.1476920</v>
      </c>
      <c r="BG515" t="s">
        <v>74</v>
      </c>
      <c r="BH515" t="s">
        <v>74</v>
      </c>
      <c r="BI515">
        <v>17</v>
      </c>
      <c r="BJ515" t="s">
        <v>7687</v>
      </c>
      <c r="BK515" t="s">
        <v>101</v>
      </c>
      <c r="BL515" t="s">
        <v>7687</v>
      </c>
      <c r="BM515" t="s">
        <v>10291</v>
      </c>
      <c r="BN515">
        <v>30487730</v>
      </c>
      <c r="BO515" t="s">
        <v>4645</v>
      </c>
      <c r="BP515" t="s">
        <v>74</v>
      </c>
      <c r="BQ515" t="s">
        <v>74</v>
      </c>
      <c r="BR515" t="s">
        <v>105</v>
      </c>
      <c r="BS515" t="s">
        <v>10292</v>
      </c>
      <c r="BT515" t="str">
        <f>HYPERLINK("https%3A%2F%2Fwww.webofscience.com%2Fwos%2Fwoscc%2Ffull-record%2FWOS:000450604200004","View Full Record in Web of Science")</f>
        <v>View Full Record in Web of Science</v>
      </c>
    </row>
    <row r="516" spans="1:72" x14ac:dyDescent="0.15">
      <c r="A516" t="s">
        <v>72</v>
      </c>
      <c r="B516" t="s">
        <v>10293</v>
      </c>
      <c r="C516" t="s">
        <v>74</v>
      </c>
      <c r="D516" t="s">
        <v>74</v>
      </c>
      <c r="E516" t="s">
        <v>74</v>
      </c>
      <c r="F516" t="s">
        <v>10294</v>
      </c>
      <c r="G516" t="s">
        <v>74</v>
      </c>
      <c r="H516" t="s">
        <v>74</v>
      </c>
      <c r="I516" t="s">
        <v>10295</v>
      </c>
      <c r="J516" t="s">
        <v>10296</v>
      </c>
      <c r="K516" t="s">
        <v>74</v>
      </c>
      <c r="L516" t="s">
        <v>74</v>
      </c>
      <c r="M516" t="s">
        <v>78</v>
      </c>
      <c r="N516" t="s">
        <v>79</v>
      </c>
      <c r="O516" t="s">
        <v>74</v>
      </c>
      <c r="P516" t="s">
        <v>74</v>
      </c>
      <c r="Q516" t="s">
        <v>74</v>
      </c>
      <c r="R516" t="s">
        <v>74</v>
      </c>
      <c r="S516" t="s">
        <v>74</v>
      </c>
      <c r="T516" t="s">
        <v>10297</v>
      </c>
      <c r="U516" t="s">
        <v>10298</v>
      </c>
      <c r="V516" t="s">
        <v>10299</v>
      </c>
      <c r="W516" t="s">
        <v>10300</v>
      </c>
      <c r="X516" t="s">
        <v>10301</v>
      </c>
      <c r="Y516" t="s">
        <v>10302</v>
      </c>
      <c r="Z516" t="s">
        <v>10303</v>
      </c>
      <c r="AA516" t="s">
        <v>10304</v>
      </c>
      <c r="AB516" t="s">
        <v>10305</v>
      </c>
      <c r="AC516" t="s">
        <v>10306</v>
      </c>
      <c r="AD516" t="s">
        <v>10307</v>
      </c>
      <c r="AE516" t="s">
        <v>10308</v>
      </c>
      <c r="AF516" t="s">
        <v>74</v>
      </c>
      <c r="AG516">
        <v>63</v>
      </c>
      <c r="AH516">
        <v>33</v>
      </c>
      <c r="AI516">
        <v>34</v>
      </c>
      <c r="AJ516">
        <v>6</v>
      </c>
      <c r="AK516">
        <v>27</v>
      </c>
      <c r="AL516" t="s">
        <v>8694</v>
      </c>
      <c r="AM516" t="s">
        <v>1140</v>
      </c>
      <c r="AN516" t="s">
        <v>8695</v>
      </c>
      <c r="AO516" t="s">
        <v>10309</v>
      </c>
      <c r="AP516" t="s">
        <v>10310</v>
      </c>
      <c r="AQ516" t="s">
        <v>74</v>
      </c>
      <c r="AR516" t="s">
        <v>10311</v>
      </c>
      <c r="AS516" t="s">
        <v>10312</v>
      </c>
      <c r="AT516" t="s">
        <v>2468</v>
      </c>
      <c r="AU516">
        <v>2018</v>
      </c>
      <c r="AV516">
        <v>94</v>
      </c>
      <c r="AW516">
        <v>1</v>
      </c>
      <c r="AX516" t="s">
        <v>74</v>
      </c>
      <c r="AY516" t="s">
        <v>74</v>
      </c>
      <c r="AZ516" t="s">
        <v>74</v>
      </c>
      <c r="BA516" t="s">
        <v>74</v>
      </c>
      <c r="BB516" t="s">
        <v>74</v>
      </c>
      <c r="BC516" t="s">
        <v>74</v>
      </c>
      <c r="BD516" t="s">
        <v>10313</v>
      </c>
      <c r="BE516" t="s">
        <v>10314</v>
      </c>
      <c r="BF516" t="str">
        <f>HYPERLINK("http://dx.doi.org/10.1093/femsec/fix167","http://dx.doi.org/10.1093/femsec/fix167")</f>
        <v>http://dx.doi.org/10.1093/femsec/fix167</v>
      </c>
      <c r="BG516" t="s">
        <v>74</v>
      </c>
      <c r="BH516" t="s">
        <v>74</v>
      </c>
      <c r="BI516">
        <v>11</v>
      </c>
      <c r="BJ516" t="s">
        <v>3806</v>
      </c>
      <c r="BK516" t="s">
        <v>101</v>
      </c>
      <c r="BL516" t="s">
        <v>3806</v>
      </c>
      <c r="BM516" t="s">
        <v>10315</v>
      </c>
      <c r="BN516">
        <v>29228256</v>
      </c>
      <c r="BO516" t="s">
        <v>306</v>
      </c>
      <c r="BP516" t="s">
        <v>74</v>
      </c>
      <c r="BQ516" t="s">
        <v>74</v>
      </c>
      <c r="BR516" t="s">
        <v>105</v>
      </c>
      <c r="BS516" t="s">
        <v>10316</v>
      </c>
      <c r="BT516" t="str">
        <f>HYPERLINK("https%3A%2F%2Fwww.webofscience.com%2Fwos%2Fwoscc%2Ffull-record%2FWOS:000428121600010","View Full Record in Web of Science")</f>
        <v>View Full Record in Web of Science</v>
      </c>
    </row>
    <row r="517" spans="1:72" x14ac:dyDescent="0.15">
      <c r="A517" t="s">
        <v>1776</v>
      </c>
      <c r="B517" t="s">
        <v>10317</v>
      </c>
      <c r="C517" t="s">
        <v>74</v>
      </c>
      <c r="D517" t="s">
        <v>74</v>
      </c>
      <c r="E517" t="s">
        <v>2181</v>
      </c>
      <c r="F517" t="s">
        <v>10318</v>
      </c>
      <c r="G517" t="s">
        <v>74</v>
      </c>
      <c r="H517" t="s">
        <v>74</v>
      </c>
      <c r="I517" t="s">
        <v>10319</v>
      </c>
      <c r="J517" t="s">
        <v>10320</v>
      </c>
      <c r="K517" t="s">
        <v>2185</v>
      </c>
      <c r="L517" t="s">
        <v>74</v>
      </c>
      <c r="M517" t="s">
        <v>78</v>
      </c>
      <c r="N517" t="s">
        <v>1782</v>
      </c>
      <c r="O517" t="s">
        <v>10321</v>
      </c>
      <c r="P517" t="s">
        <v>10322</v>
      </c>
      <c r="Q517" t="s">
        <v>10323</v>
      </c>
      <c r="R517" t="s">
        <v>74</v>
      </c>
      <c r="S517" t="s">
        <v>10324</v>
      </c>
      <c r="T517" t="s">
        <v>74</v>
      </c>
      <c r="U517" t="s">
        <v>74</v>
      </c>
      <c r="V517" t="s">
        <v>10325</v>
      </c>
      <c r="W517" t="s">
        <v>10326</v>
      </c>
      <c r="X517" t="s">
        <v>4857</v>
      </c>
      <c r="Y517" t="s">
        <v>10327</v>
      </c>
      <c r="Z517" t="s">
        <v>10328</v>
      </c>
      <c r="AA517" t="s">
        <v>10329</v>
      </c>
      <c r="AB517" t="s">
        <v>10330</v>
      </c>
      <c r="AC517" t="s">
        <v>74</v>
      </c>
      <c r="AD517" t="s">
        <v>74</v>
      </c>
      <c r="AE517" t="s">
        <v>74</v>
      </c>
      <c r="AF517" t="s">
        <v>74</v>
      </c>
      <c r="AG517">
        <v>6</v>
      </c>
      <c r="AH517">
        <v>0</v>
      </c>
      <c r="AI517">
        <v>0</v>
      </c>
      <c r="AJ517">
        <v>1</v>
      </c>
      <c r="AK517">
        <v>5</v>
      </c>
      <c r="AL517" t="s">
        <v>778</v>
      </c>
      <c r="AM517" t="s">
        <v>779</v>
      </c>
      <c r="AN517" t="s">
        <v>2200</v>
      </c>
      <c r="AO517" t="s">
        <v>2201</v>
      </c>
      <c r="AP517" t="s">
        <v>74</v>
      </c>
      <c r="AQ517" t="s">
        <v>74</v>
      </c>
      <c r="AR517" t="s">
        <v>2202</v>
      </c>
      <c r="AS517" t="s">
        <v>2203</v>
      </c>
      <c r="AT517" t="s">
        <v>74</v>
      </c>
      <c r="AU517">
        <v>2018</v>
      </c>
      <c r="AV517">
        <v>193</v>
      </c>
      <c r="AW517" t="s">
        <v>74</v>
      </c>
      <c r="AX517" t="s">
        <v>74</v>
      </c>
      <c r="AY517" t="s">
        <v>74</v>
      </c>
      <c r="AZ517" t="s">
        <v>74</v>
      </c>
      <c r="BA517" t="s">
        <v>74</v>
      </c>
      <c r="BB517" t="s">
        <v>74</v>
      </c>
      <c r="BC517" t="s">
        <v>74</v>
      </c>
      <c r="BD517">
        <v>12030</v>
      </c>
      <c r="BE517" t="s">
        <v>10331</v>
      </c>
      <c r="BF517" t="str">
        <f>HYPERLINK("http://dx.doi.org/10.1088/1755-1315/193/1/012030","http://dx.doi.org/10.1088/1755-1315/193/1/012030")</f>
        <v>http://dx.doi.org/10.1088/1755-1315/193/1/012030</v>
      </c>
      <c r="BG517" t="s">
        <v>74</v>
      </c>
      <c r="BH517" t="s">
        <v>74</v>
      </c>
      <c r="BI517">
        <v>7</v>
      </c>
      <c r="BJ517" t="s">
        <v>10332</v>
      </c>
      <c r="BK517" t="s">
        <v>1801</v>
      </c>
      <c r="BL517" t="s">
        <v>10333</v>
      </c>
      <c r="BM517" t="s">
        <v>10334</v>
      </c>
      <c r="BN517" t="s">
        <v>74</v>
      </c>
      <c r="BO517" t="s">
        <v>160</v>
      </c>
      <c r="BP517" t="s">
        <v>74</v>
      </c>
      <c r="BQ517" t="s">
        <v>74</v>
      </c>
      <c r="BR517" t="s">
        <v>105</v>
      </c>
      <c r="BS517" t="s">
        <v>10335</v>
      </c>
      <c r="BT517" t="str">
        <f>HYPERLINK("https%3A%2F%2Fwww.webofscience.com%2Fwos%2Fwoscc%2Ffull-record%2FWOS:000546169800030","View Full Record in Web of Science")</f>
        <v>View Full Record in Web of Science</v>
      </c>
    </row>
    <row r="518" spans="1:72" x14ac:dyDescent="0.15">
      <c r="A518" t="s">
        <v>1776</v>
      </c>
      <c r="B518" t="s">
        <v>10336</v>
      </c>
      <c r="C518" t="s">
        <v>74</v>
      </c>
      <c r="D518" t="s">
        <v>74</v>
      </c>
      <c r="E518" t="s">
        <v>2181</v>
      </c>
      <c r="F518" t="s">
        <v>10337</v>
      </c>
      <c r="G518" t="s">
        <v>74</v>
      </c>
      <c r="H518" t="s">
        <v>74</v>
      </c>
      <c r="I518" t="s">
        <v>10338</v>
      </c>
      <c r="J518" t="s">
        <v>10320</v>
      </c>
      <c r="K518" t="s">
        <v>2185</v>
      </c>
      <c r="L518" t="s">
        <v>74</v>
      </c>
      <c r="M518" t="s">
        <v>78</v>
      </c>
      <c r="N518" t="s">
        <v>1782</v>
      </c>
      <c r="O518" t="s">
        <v>10321</v>
      </c>
      <c r="P518" t="s">
        <v>10322</v>
      </c>
      <c r="Q518" t="s">
        <v>10323</v>
      </c>
      <c r="R518" t="s">
        <v>74</v>
      </c>
      <c r="S518" t="s">
        <v>10324</v>
      </c>
      <c r="T518" t="s">
        <v>74</v>
      </c>
      <c r="U518" t="s">
        <v>10339</v>
      </c>
      <c r="V518" t="s">
        <v>10340</v>
      </c>
      <c r="W518" t="s">
        <v>10341</v>
      </c>
      <c r="X518" t="s">
        <v>10342</v>
      </c>
      <c r="Y518" t="s">
        <v>10343</v>
      </c>
      <c r="Z518" t="s">
        <v>10344</v>
      </c>
      <c r="AA518" t="s">
        <v>10345</v>
      </c>
      <c r="AB518" t="s">
        <v>10346</v>
      </c>
      <c r="AC518" t="s">
        <v>10347</v>
      </c>
      <c r="AD518" t="s">
        <v>10348</v>
      </c>
      <c r="AE518" t="s">
        <v>10349</v>
      </c>
      <c r="AF518" t="s">
        <v>74</v>
      </c>
      <c r="AG518">
        <v>17</v>
      </c>
      <c r="AH518">
        <v>0</v>
      </c>
      <c r="AI518">
        <v>0</v>
      </c>
      <c r="AJ518">
        <v>0</v>
      </c>
      <c r="AK518">
        <v>0</v>
      </c>
      <c r="AL518" t="s">
        <v>778</v>
      </c>
      <c r="AM518" t="s">
        <v>779</v>
      </c>
      <c r="AN518" t="s">
        <v>2200</v>
      </c>
      <c r="AO518" t="s">
        <v>2201</v>
      </c>
      <c r="AP518" t="s">
        <v>74</v>
      </c>
      <c r="AQ518" t="s">
        <v>74</v>
      </c>
      <c r="AR518" t="s">
        <v>2202</v>
      </c>
      <c r="AS518" t="s">
        <v>2203</v>
      </c>
      <c r="AT518" t="s">
        <v>74</v>
      </c>
      <c r="AU518">
        <v>2018</v>
      </c>
      <c r="AV518">
        <v>193</v>
      </c>
      <c r="AW518" t="s">
        <v>74</v>
      </c>
      <c r="AX518" t="s">
        <v>74</v>
      </c>
      <c r="AY518" t="s">
        <v>74</v>
      </c>
      <c r="AZ518" t="s">
        <v>74</v>
      </c>
      <c r="BA518" t="s">
        <v>74</v>
      </c>
      <c r="BB518" t="s">
        <v>74</v>
      </c>
      <c r="BC518" t="s">
        <v>74</v>
      </c>
      <c r="BD518">
        <v>12041</v>
      </c>
      <c r="BE518" t="s">
        <v>10350</v>
      </c>
      <c r="BF518" t="str">
        <f>HYPERLINK("http://dx.doi.org/10.1088/1755-1315/193/1/012041","http://dx.doi.org/10.1088/1755-1315/193/1/012041")</f>
        <v>http://dx.doi.org/10.1088/1755-1315/193/1/012041</v>
      </c>
      <c r="BG518" t="s">
        <v>74</v>
      </c>
      <c r="BH518" t="s">
        <v>74</v>
      </c>
      <c r="BI518">
        <v>7</v>
      </c>
      <c r="BJ518" t="s">
        <v>10332</v>
      </c>
      <c r="BK518" t="s">
        <v>1801</v>
      </c>
      <c r="BL518" t="s">
        <v>10333</v>
      </c>
      <c r="BM518" t="s">
        <v>10334</v>
      </c>
      <c r="BN518" t="s">
        <v>74</v>
      </c>
      <c r="BO518" t="s">
        <v>160</v>
      </c>
      <c r="BP518" t="s">
        <v>74</v>
      </c>
      <c r="BQ518" t="s">
        <v>74</v>
      </c>
      <c r="BR518" t="s">
        <v>105</v>
      </c>
      <c r="BS518" t="s">
        <v>10351</v>
      </c>
      <c r="BT518" t="str">
        <f>HYPERLINK("https%3A%2F%2Fwww.webofscience.com%2Fwos%2Fwoscc%2Ffull-record%2FWOS:000546169800041","View Full Record in Web of Science")</f>
        <v>View Full Record in Web of Science</v>
      </c>
    </row>
    <row r="519" spans="1:72" x14ac:dyDescent="0.15">
      <c r="A519" t="s">
        <v>72</v>
      </c>
      <c r="B519" t="s">
        <v>10352</v>
      </c>
      <c r="C519" t="s">
        <v>74</v>
      </c>
      <c r="D519" t="s">
        <v>74</v>
      </c>
      <c r="E519" t="s">
        <v>74</v>
      </c>
      <c r="F519" t="s">
        <v>10353</v>
      </c>
      <c r="G519" t="s">
        <v>74</v>
      </c>
      <c r="H519" t="s">
        <v>74</v>
      </c>
      <c r="I519" t="s">
        <v>10354</v>
      </c>
      <c r="J519" t="s">
        <v>10355</v>
      </c>
      <c r="K519" t="s">
        <v>74</v>
      </c>
      <c r="L519" t="s">
        <v>74</v>
      </c>
      <c r="M519" t="s">
        <v>78</v>
      </c>
      <c r="N519" t="s">
        <v>79</v>
      </c>
      <c r="O519" t="s">
        <v>74</v>
      </c>
      <c r="P519" t="s">
        <v>74</v>
      </c>
      <c r="Q519" t="s">
        <v>74</v>
      </c>
      <c r="R519" t="s">
        <v>74</v>
      </c>
      <c r="S519" t="s">
        <v>74</v>
      </c>
      <c r="T519" t="s">
        <v>10356</v>
      </c>
      <c r="U519" t="s">
        <v>10357</v>
      </c>
      <c r="V519" t="s">
        <v>10358</v>
      </c>
      <c r="W519" t="s">
        <v>10359</v>
      </c>
      <c r="X519" t="s">
        <v>10360</v>
      </c>
      <c r="Y519" t="s">
        <v>10361</v>
      </c>
      <c r="Z519" t="s">
        <v>10362</v>
      </c>
      <c r="AA519" t="s">
        <v>10363</v>
      </c>
      <c r="AB519" t="s">
        <v>10364</v>
      </c>
      <c r="AC519" t="s">
        <v>10365</v>
      </c>
      <c r="AD519" t="s">
        <v>10365</v>
      </c>
      <c r="AE519" t="s">
        <v>10365</v>
      </c>
      <c r="AF519" t="s">
        <v>74</v>
      </c>
      <c r="AG519">
        <v>116</v>
      </c>
      <c r="AH519">
        <v>46</v>
      </c>
      <c r="AI519">
        <v>49</v>
      </c>
      <c r="AJ519">
        <v>7</v>
      </c>
      <c r="AK519">
        <v>81</v>
      </c>
      <c r="AL519" t="s">
        <v>4270</v>
      </c>
      <c r="AM519" t="s">
        <v>4271</v>
      </c>
      <c r="AN519" t="s">
        <v>4272</v>
      </c>
      <c r="AO519" t="s">
        <v>10366</v>
      </c>
      <c r="AP519" t="s">
        <v>10367</v>
      </c>
      <c r="AQ519" t="s">
        <v>74</v>
      </c>
      <c r="AR519" t="s">
        <v>10368</v>
      </c>
      <c r="AS519" t="s">
        <v>10369</v>
      </c>
      <c r="AT519" t="s">
        <v>2468</v>
      </c>
      <c r="AU519">
        <v>2018</v>
      </c>
      <c r="AV519">
        <v>19</v>
      </c>
      <c r="AW519">
        <v>1</v>
      </c>
      <c r="AX519" t="s">
        <v>74</v>
      </c>
      <c r="AY519" t="s">
        <v>74</v>
      </c>
      <c r="AZ519" t="s">
        <v>74</v>
      </c>
      <c r="BA519" t="s">
        <v>74</v>
      </c>
      <c r="BB519">
        <v>117</v>
      </c>
      <c r="BC519">
        <v>137</v>
      </c>
      <c r="BD519" t="s">
        <v>74</v>
      </c>
      <c r="BE519" t="s">
        <v>10370</v>
      </c>
      <c r="BF519" t="str">
        <f>HYPERLINK("http://dx.doi.org/10.1111/faf.12241","http://dx.doi.org/10.1111/faf.12241")</f>
        <v>http://dx.doi.org/10.1111/faf.12241</v>
      </c>
      <c r="BG519" t="s">
        <v>74</v>
      </c>
      <c r="BH519" t="s">
        <v>74</v>
      </c>
      <c r="BI519">
        <v>21</v>
      </c>
      <c r="BJ519" t="s">
        <v>6350</v>
      </c>
      <c r="BK519" t="s">
        <v>101</v>
      </c>
      <c r="BL519" t="s">
        <v>6350</v>
      </c>
      <c r="BM519" t="s">
        <v>10371</v>
      </c>
      <c r="BN519" t="s">
        <v>74</v>
      </c>
      <c r="BO519" t="s">
        <v>74</v>
      </c>
      <c r="BP519" t="s">
        <v>74</v>
      </c>
      <c r="BQ519" t="s">
        <v>74</v>
      </c>
      <c r="BR519" t="s">
        <v>105</v>
      </c>
      <c r="BS519" t="s">
        <v>10372</v>
      </c>
      <c r="BT519" t="str">
        <f>HYPERLINK("https%3A%2F%2Fwww.webofscience.com%2Fwos%2Fwoscc%2Ffull-record%2FWOS:000418927100008","View Full Record in Web of Science")</f>
        <v>View Full Record in Web of Science</v>
      </c>
    </row>
    <row r="520" spans="1:72" x14ac:dyDescent="0.15">
      <c r="A520" t="s">
        <v>72</v>
      </c>
      <c r="B520" t="s">
        <v>10373</v>
      </c>
      <c r="C520" t="s">
        <v>74</v>
      </c>
      <c r="D520" t="s">
        <v>74</v>
      </c>
      <c r="E520" t="s">
        <v>74</v>
      </c>
      <c r="F520" t="s">
        <v>10374</v>
      </c>
      <c r="G520" t="s">
        <v>74</v>
      </c>
      <c r="H520" t="s">
        <v>74</v>
      </c>
      <c r="I520" t="s">
        <v>10375</v>
      </c>
      <c r="J520" t="s">
        <v>10376</v>
      </c>
      <c r="K520" t="s">
        <v>74</v>
      </c>
      <c r="L520" t="s">
        <v>74</v>
      </c>
      <c r="M520" t="s">
        <v>78</v>
      </c>
      <c r="N520" t="s">
        <v>79</v>
      </c>
      <c r="O520" t="s">
        <v>74</v>
      </c>
      <c r="P520" t="s">
        <v>74</v>
      </c>
      <c r="Q520" t="s">
        <v>74</v>
      </c>
      <c r="R520" t="s">
        <v>74</v>
      </c>
      <c r="S520" t="s">
        <v>74</v>
      </c>
      <c r="T520" t="s">
        <v>10377</v>
      </c>
      <c r="U520" t="s">
        <v>10378</v>
      </c>
      <c r="V520" t="s">
        <v>10379</v>
      </c>
      <c r="W520" t="s">
        <v>10380</v>
      </c>
      <c r="X520" t="s">
        <v>10381</v>
      </c>
      <c r="Y520" t="s">
        <v>10382</v>
      </c>
      <c r="Z520" t="s">
        <v>10383</v>
      </c>
      <c r="AA520" t="s">
        <v>10384</v>
      </c>
      <c r="AB520" t="s">
        <v>10385</v>
      </c>
      <c r="AC520" t="s">
        <v>10386</v>
      </c>
      <c r="AD520" t="s">
        <v>10387</v>
      </c>
      <c r="AE520" t="s">
        <v>10388</v>
      </c>
      <c r="AF520" t="s">
        <v>74</v>
      </c>
      <c r="AG520">
        <v>31</v>
      </c>
      <c r="AH520">
        <v>1</v>
      </c>
      <c r="AI520">
        <v>2</v>
      </c>
      <c r="AJ520">
        <v>1</v>
      </c>
      <c r="AK520">
        <v>44</v>
      </c>
      <c r="AL520" t="s">
        <v>807</v>
      </c>
      <c r="AM520" t="s">
        <v>808</v>
      </c>
      <c r="AN520" t="s">
        <v>809</v>
      </c>
      <c r="AO520" t="s">
        <v>10389</v>
      </c>
      <c r="AP520" t="s">
        <v>10390</v>
      </c>
      <c r="AQ520" t="s">
        <v>74</v>
      </c>
      <c r="AR520" t="s">
        <v>10391</v>
      </c>
      <c r="AS520" t="s">
        <v>10392</v>
      </c>
      <c r="AT520" t="s">
        <v>2468</v>
      </c>
      <c r="AU520">
        <v>2018</v>
      </c>
      <c r="AV520">
        <v>197</v>
      </c>
      <c r="AW520" t="s">
        <v>74</v>
      </c>
      <c r="AX520" t="s">
        <v>74</v>
      </c>
      <c r="AY520" t="s">
        <v>74</v>
      </c>
      <c r="AZ520" t="s">
        <v>74</v>
      </c>
      <c r="BA520" t="s">
        <v>74</v>
      </c>
      <c r="BB520">
        <v>1</v>
      </c>
      <c r="BC520">
        <v>6</v>
      </c>
      <c r="BD520" t="s">
        <v>74</v>
      </c>
      <c r="BE520" t="s">
        <v>10393</v>
      </c>
      <c r="BF520" t="str">
        <f>HYPERLINK("http://dx.doi.org/10.1016/j.fishres.2017.09.020","http://dx.doi.org/10.1016/j.fishres.2017.09.020")</f>
        <v>http://dx.doi.org/10.1016/j.fishres.2017.09.020</v>
      </c>
      <c r="BG520" t="s">
        <v>74</v>
      </c>
      <c r="BH520" t="s">
        <v>74</v>
      </c>
      <c r="BI520">
        <v>6</v>
      </c>
      <c r="BJ520" t="s">
        <v>6350</v>
      </c>
      <c r="BK520" t="s">
        <v>101</v>
      </c>
      <c r="BL520" t="s">
        <v>6350</v>
      </c>
      <c r="BM520" t="s">
        <v>10394</v>
      </c>
      <c r="BN520" t="s">
        <v>74</v>
      </c>
      <c r="BO520" t="s">
        <v>74</v>
      </c>
      <c r="BP520" t="s">
        <v>74</v>
      </c>
      <c r="BQ520" t="s">
        <v>74</v>
      </c>
      <c r="BR520" t="s">
        <v>105</v>
      </c>
      <c r="BS520" t="s">
        <v>10395</v>
      </c>
      <c r="BT520" t="str">
        <f>HYPERLINK("https%3A%2F%2Fwww.webofscience.com%2Fwos%2Fwoscc%2Ffull-record%2FWOS:000413879700001","View Full Record in Web of Science")</f>
        <v>View Full Record in Web of Science</v>
      </c>
    </row>
    <row r="521" spans="1:72" x14ac:dyDescent="0.15">
      <c r="A521" t="s">
        <v>2085</v>
      </c>
      <c r="B521" t="s">
        <v>10396</v>
      </c>
      <c r="C521" t="s">
        <v>74</v>
      </c>
      <c r="D521" t="s">
        <v>10397</v>
      </c>
      <c r="E521" t="s">
        <v>74</v>
      </c>
      <c r="F521" t="s">
        <v>10398</v>
      </c>
      <c r="G521" t="s">
        <v>74</v>
      </c>
      <c r="H521" t="s">
        <v>74</v>
      </c>
      <c r="I521" t="s">
        <v>10399</v>
      </c>
      <c r="J521" t="s">
        <v>10400</v>
      </c>
      <c r="K521" t="s">
        <v>10401</v>
      </c>
      <c r="L521" t="s">
        <v>74</v>
      </c>
      <c r="M521" t="s">
        <v>78</v>
      </c>
      <c r="N521" t="s">
        <v>1862</v>
      </c>
      <c r="O521" t="s">
        <v>74</v>
      </c>
      <c r="P521" t="s">
        <v>74</v>
      </c>
      <c r="Q521" t="s">
        <v>74</v>
      </c>
      <c r="R521" t="s">
        <v>74</v>
      </c>
      <c r="S521" t="s">
        <v>74</v>
      </c>
      <c r="T521" t="s">
        <v>10402</v>
      </c>
      <c r="U521" t="s">
        <v>10403</v>
      </c>
      <c r="V521" t="s">
        <v>10404</v>
      </c>
      <c r="W521" t="s">
        <v>10405</v>
      </c>
      <c r="X521" t="s">
        <v>10406</v>
      </c>
      <c r="Y521" t="s">
        <v>10407</v>
      </c>
      <c r="Z521" t="s">
        <v>74</v>
      </c>
      <c r="AA521" t="s">
        <v>10408</v>
      </c>
      <c r="AB521" t="s">
        <v>10409</v>
      </c>
      <c r="AC521" t="s">
        <v>74</v>
      </c>
      <c r="AD521" t="s">
        <v>74</v>
      </c>
      <c r="AE521" t="s">
        <v>74</v>
      </c>
      <c r="AF521" t="s">
        <v>74</v>
      </c>
      <c r="AG521">
        <v>55</v>
      </c>
      <c r="AH521">
        <v>2</v>
      </c>
      <c r="AI521">
        <v>2</v>
      </c>
      <c r="AJ521">
        <v>1</v>
      </c>
      <c r="AK521">
        <v>3</v>
      </c>
      <c r="AL521" t="s">
        <v>1898</v>
      </c>
      <c r="AM521" t="s">
        <v>1899</v>
      </c>
      <c r="AN521" t="s">
        <v>1900</v>
      </c>
      <c r="AO521" t="s">
        <v>74</v>
      </c>
      <c r="AP521" t="s">
        <v>74</v>
      </c>
      <c r="AQ521" t="s">
        <v>10410</v>
      </c>
      <c r="AR521" t="s">
        <v>10411</v>
      </c>
      <c r="AS521" t="s">
        <v>74</v>
      </c>
      <c r="AT521" t="s">
        <v>74</v>
      </c>
      <c r="AU521">
        <v>2018</v>
      </c>
      <c r="AV521">
        <v>3</v>
      </c>
      <c r="AW521" t="s">
        <v>74</v>
      </c>
      <c r="AX521" t="s">
        <v>74</v>
      </c>
      <c r="AY521" t="s">
        <v>74</v>
      </c>
      <c r="AZ521" t="s">
        <v>74</v>
      </c>
      <c r="BA521" t="s">
        <v>74</v>
      </c>
      <c r="BB521">
        <v>233</v>
      </c>
      <c r="BC521">
        <v>243</v>
      </c>
      <c r="BD521" t="s">
        <v>74</v>
      </c>
      <c r="BE521" t="s">
        <v>10412</v>
      </c>
      <c r="BF521" t="str">
        <f>HYPERLINK("http://dx.doi.org/10.1007/978-3-319-99513-7_14","http://dx.doi.org/10.1007/978-3-319-99513-7_14")</f>
        <v>http://dx.doi.org/10.1007/978-3-319-99513-7_14</v>
      </c>
      <c r="BG521" t="s">
        <v>10413</v>
      </c>
      <c r="BH521" t="s">
        <v>74</v>
      </c>
      <c r="BI521">
        <v>11</v>
      </c>
      <c r="BJ521" t="s">
        <v>10414</v>
      </c>
      <c r="BK521" t="s">
        <v>2799</v>
      </c>
      <c r="BL521" t="s">
        <v>10415</v>
      </c>
      <c r="BM521" t="s">
        <v>10416</v>
      </c>
      <c r="BN521" t="s">
        <v>74</v>
      </c>
      <c r="BO521" t="s">
        <v>74</v>
      </c>
      <c r="BP521" t="s">
        <v>74</v>
      </c>
      <c r="BQ521" t="s">
        <v>74</v>
      </c>
      <c r="BR521" t="s">
        <v>105</v>
      </c>
      <c r="BS521" t="s">
        <v>10417</v>
      </c>
      <c r="BT521" t="str">
        <f>HYPERLINK("https%3A%2F%2Fwww.webofscience.com%2Fwos%2Fwoscc%2Ffull-record%2FWOS:000606983500015","View Full Record in Web of Science")</f>
        <v>View Full Record in Web of Science</v>
      </c>
    </row>
    <row r="522" spans="1:72" x14ac:dyDescent="0.15">
      <c r="A522" t="s">
        <v>72</v>
      </c>
      <c r="B522" t="s">
        <v>10418</v>
      </c>
      <c r="C522" t="s">
        <v>74</v>
      </c>
      <c r="D522" t="s">
        <v>74</v>
      </c>
      <c r="E522" t="s">
        <v>74</v>
      </c>
      <c r="F522" t="s">
        <v>10419</v>
      </c>
      <c r="G522" t="s">
        <v>74</v>
      </c>
      <c r="H522" t="s">
        <v>74</v>
      </c>
      <c r="I522" t="s">
        <v>10420</v>
      </c>
      <c r="J522" t="s">
        <v>10421</v>
      </c>
      <c r="K522" t="s">
        <v>74</v>
      </c>
      <c r="L522" t="s">
        <v>74</v>
      </c>
      <c r="M522" t="s">
        <v>78</v>
      </c>
      <c r="N522" t="s">
        <v>79</v>
      </c>
      <c r="O522" t="s">
        <v>74</v>
      </c>
      <c r="P522" t="s">
        <v>74</v>
      </c>
      <c r="Q522" t="s">
        <v>74</v>
      </c>
      <c r="R522" t="s">
        <v>74</v>
      </c>
      <c r="S522" t="s">
        <v>74</v>
      </c>
      <c r="T522" t="s">
        <v>10422</v>
      </c>
      <c r="U522" t="s">
        <v>10423</v>
      </c>
      <c r="V522" t="s">
        <v>10424</v>
      </c>
      <c r="W522" t="s">
        <v>10425</v>
      </c>
      <c r="X522" t="s">
        <v>10426</v>
      </c>
      <c r="Y522" t="s">
        <v>10427</v>
      </c>
      <c r="Z522" t="s">
        <v>10428</v>
      </c>
      <c r="AA522" t="s">
        <v>10429</v>
      </c>
      <c r="AB522" t="s">
        <v>10430</v>
      </c>
      <c r="AC522" t="s">
        <v>10431</v>
      </c>
      <c r="AD522" t="s">
        <v>10432</v>
      </c>
      <c r="AE522" t="s">
        <v>10433</v>
      </c>
      <c r="AF522" t="s">
        <v>74</v>
      </c>
      <c r="AG522">
        <v>26</v>
      </c>
      <c r="AH522">
        <v>14</v>
      </c>
      <c r="AI522">
        <v>16</v>
      </c>
      <c r="AJ522">
        <v>0</v>
      </c>
      <c r="AK522">
        <v>9</v>
      </c>
      <c r="AL522" t="s">
        <v>10434</v>
      </c>
      <c r="AM522" t="s">
        <v>3107</v>
      </c>
      <c r="AN522" t="s">
        <v>10435</v>
      </c>
      <c r="AO522" t="s">
        <v>10436</v>
      </c>
      <c r="AP522" t="s">
        <v>10437</v>
      </c>
      <c r="AQ522" t="s">
        <v>74</v>
      </c>
      <c r="AR522" t="s">
        <v>10438</v>
      </c>
      <c r="AS522" t="s">
        <v>10439</v>
      </c>
      <c r="AT522" t="s">
        <v>74</v>
      </c>
      <c r="AU522">
        <v>2018</v>
      </c>
      <c r="AV522">
        <v>52</v>
      </c>
      <c r="AW522">
        <v>2</v>
      </c>
      <c r="AX522" t="s">
        <v>74</v>
      </c>
      <c r="AY522" t="s">
        <v>74</v>
      </c>
      <c r="AZ522" t="s">
        <v>1146</v>
      </c>
      <c r="BA522" t="s">
        <v>74</v>
      </c>
      <c r="BB522" t="s">
        <v>10440</v>
      </c>
      <c r="BC522" t="s">
        <v>10441</v>
      </c>
      <c r="BD522" t="s">
        <v>74</v>
      </c>
      <c r="BE522" t="s">
        <v>10442</v>
      </c>
      <c r="BF522" t="str">
        <f>HYPERLINK("http://dx.doi.org/10.2343/geochemj.2.0519","http://dx.doi.org/10.2343/geochemj.2.0519")</f>
        <v>http://dx.doi.org/10.2343/geochemj.2.0519</v>
      </c>
      <c r="BG522" t="s">
        <v>74</v>
      </c>
      <c r="BH522" t="s">
        <v>74</v>
      </c>
      <c r="BI522">
        <v>8</v>
      </c>
      <c r="BJ522" t="s">
        <v>1148</v>
      </c>
      <c r="BK522" t="s">
        <v>101</v>
      </c>
      <c r="BL522" t="s">
        <v>1148</v>
      </c>
      <c r="BM522" t="s">
        <v>10443</v>
      </c>
      <c r="BN522" t="s">
        <v>74</v>
      </c>
      <c r="BO522" t="s">
        <v>160</v>
      </c>
      <c r="BP522" t="s">
        <v>74</v>
      </c>
      <c r="BQ522" t="s">
        <v>74</v>
      </c>
      <c r="BR522" t="s">
        <v>105</v>
      </c>
      <c r="BS522" t="s">
        <v>10444</v>
      </c>
      <c r="BT522" t="str">
        <f>HYPERLINK("https%3A%2F%2Fwww.webofscience.com%2Fwos%2Fwoscc%2Ffull-record%2FWOS:000431554900002","View Full Record in Web of Science")</f>
        <v>View Full Record in Web of Science</v>
      </c>
    </row>
    <row r="523" spans="1:72" x14ac:dyDescent="0.15">
      <c r="A523" t="s">
        <v>72</v>
      </c>
      <c r="B523" t="s">
        <v>10445</v>
      </c>
      <c r="C523" t="s">
        <v>74</v>
      </c>
      <c r="D523" t="s">
        <v>74</v>
      </c>
      <c r="E523" t="s">
        <v>74</v>
      </c>
      <c r="F523" t="s">
        <v>10446</v>
      </c>
      <c r="G523" t="s">
        <v>74</v>
      </c>
      <c r="H523" t="s">
        <v>74</v>
      </c>
      <c r="I523" t="s">
        <v>10447</v>
      </c>
      <c r="J523" t="s">
        <v>10448</v>
      </c>
      <c r="K523" t="s">
        <v>74</v>
      </c>
      <c r="L523" t="s">
        <v>74</v>
      </c>
      <c r="M523" t="s">
        <v>78</v>
      </c>
      <c r="N523" t="s">
        <v>79</v>
      </c>
      <c r="O523" t="s">
        <v>74</v>
      </c>
      <c r="P523" t="s">
        <v>74</v>
      </c>
      <c r="Q523" t="s">
        <v>74</v>
      </c>
      <c r="R523" t="s">
        <v>74</v>
      </c>
      <c r="S523" t="s">
        <v>74</v>
      </c>
      <c r="T523" t="s">
        <v>10449</v>
      </c>
      <c r="U523" t="s">
        <v>10450</v>
      </c>
      <c r="V523" t="s">
        <v>10451</v>
      </c>
      <c r="W523" t="s">
        <v>10452</v>
      </c>
      <c r="X523" t="s">
        <v>10453</v>
      </c>
      <c r="Y523" t="s">
        <v>10454</v>
      </c>
      <c r="Z523" t="s">
        <v>74</v>
      </c>
      <c r="AA523" t="s">
        <v>10455</v>
      </c>
      <c r="AB523" t="s">
        <v>10456</v>
      </c>
      <c r="AC523" t="s">
        <v>74</v>
      </c>
      <c r="AD523" t="s">
        <v>74</v>
      </c>
      <c r="AE523" t="s">
        <v>74</v>
      </c>
      <c r="AF523" t="s">
        <v>74</v>
      </c>
      <c r="AG523">
        <v>49</v>
      </c>
      <c r="AH523">
        <v>6</v>
      </c>
      <c r="AI523">
        <v>6</v>
      </c>
      <c r="AJ523">
        <v>0</v>
      </c>
      <c r="AK523">
        <v>8</v>
      </c>
      <c r="AL523" t="s">
        <v>10457</v>
      </c>
      <c r="AM523" t="s">
        <v>10458</v>
      </c>
      <c r="AN523" t="s">
        <v>10459</v>
      </c>
      <c r="AO523" t="s">
        <v>10460</v>
      </c>
      <c r="AP523" t="s">
        <v>10461</v>
      </c>
      <c r="AQ523" t="s">
        <v>74</v>
      </c>
      <c r="AR523" t="s">
        <v>10448</v>
      </c>
      <c r="AS523" t="s">
        <v>10462</v>
      </c>
      <c r="AT523" t="s">
        <v>74</v>
      </c>
      <c r="AU523">
        <v>2018</v>
      </c>
      <c r="AV523" t="s">
        <v>74</v>
      </c>
      <c r="AW523">
        <v>24</v>
      </c>
      <c r="AX523" t="s">
        <v>74</v>
      </c>
      <c r="AY523" t="s">
        <v>74</v>
      </c>
      <c r="AZ523" t="s">
        <v>74</v>
      </c>
      <c r="BA523" t="s">
        <v>74</v>
      </c>
      <c r="BB523">
        <v>5</v>
      </c>
      <c r="BC523">
        <v>26</v>
      </c>
      <c r="BD523" t="s">
        <v>74</v>
      </c>
      <c r="BE523" t="s">
        <v>10463</v>
      </c>
      <c r="BF523" t="str">
        <f>HYPERLINK("http://dx.doi.org/10.23939/jgd2018.01.005","http://dx.doi.org/10.23939/jgd2018.01.005")</f>
        <v>http://dx.doi.org/10.23939/jgd2018.01.005</v>
      </c>
      <c r="BG523" t="s">
        <v>74</v>
      </c>
      <c r="BH523" t="s">
        <v>74</v>
      </c>
      <c r="BI523">
        <v>22</v>
      </c>
      <c r="BJ523" t="s">
        <v>1148</v>
      </c>
      <c r="BK523" t="s">
        <v>2081</v>
      </c>
      <c r="BL523" t="s">
        <v>1148</v>
      </c>
      <c r="BM523" t="s">
        <v>10464</v>
      </c>
      <c r="BN523" t="s">
        <v>74</v>
      </c>
      <c r="BO523" t="s">
        <v>306</v>
      </c>
      <c r="BP523" t="s">
        <v>74</v>
      </c>
      <c r="BQ523" t="s">
        <v>74</v>
      </c>
      <c r="BR523" t="s">
        <v>105</v>
      </c>
      <c r="BS523" t="s">
        <v>10465</v>
      </c>
      <c r="BT523" t="str">
        <f>HYPERLINK("https%3A%2F%2Fwww.webofscience.com%2Fwos%2Fwoscc%2Ffull-record%2FWOS:000441335200001","View Full Record in Web of Science")</f>
        <v>View Full Record in Web of Science</v>
      </c>
    </row>
    <row r="524" spans="1:72" x14ac:dyDescent="0.15">
      <c r="A524" t="s">
        <v>72</v>
      </c>
      <c r="B524" t="s">
        <v>10466</v>
      </c>
      <c r="C524" t="s">
        <v>74</v>
      </c>
      <c r="D524" t="s">
        <v>74</v>
      </c>
      <c r="E524" t="s">
        <v>74</v>
      </c>
      <c r="F524" t="s">
        <v>10467</v>
      </c>
      <c r="G524" t="s">
        <v>74</v>
      </c>
      <c r="H524" t="s">
        <v>74</v>
      </c>
      <c r="I524" t="s">
        <v>10468</v>
      </c>
      <c r="J524" t="s">
        <v>6968</v>
      </c>
      <c r="K524" t="s">
        <v>74</v>
      </c>
      <c r="L524" t="s">
        <v>74</v>
      </c>
      <c r="M524" t="s">
        <v>78</v>
      </c>
      <c r="N524" t="s">
        <v>79</v>
      </c>
      <c r="O524" t="s">
        <v>74</v>
      </c>
      <c r="P524" t="s">
        <v>74</v>
      </c>
      <c r="Q524" t="s">
        <v>74</v>
      </c>
      <c r="R524" t="s">
        <v>74</v>
      </c>
      <c r="S524" t="s">
        <v>74</v>
      </c>
      <c r="T524" t="s">
        <v>10469</v>
      </c>
      <c r="U524" t="s">
        <v>10470</v>
      </c>
      <c r="V524" t="s">
        <v>10471</v>
      </c>
      <c r="W524" t="s">
        <v>10472</v>
      </c>
      <c r="X524" t="s">
        <v>10473</v>
      </c>
      <c r="Y524" t="s">
        <v>10474</v>
      </c>
      <c r="Z524" t="s">
        <v>10475</v>
      </c>
      <c r="AA524" t="s">
        <v>10476</v>
      </c>
      <c r="AB524" t="s">
        <v>10477</v>
      </c>
      <c r="AC524" t="s">
        <v>10478</v>
      </c>
      <c r="AD524" t="s">
        <v>10479</v>
      </c>
      <c r="AE524" t="s">
        <v>10480</v>
      </c>
      <c r="AF524" t="s">
        <v>74</v>
      </c>
      <c r="AG524">
        <v>126</v>
      </c>
      <c r="AH524">
        <v>17</v>
      </c>
      <c r="AI524">
        <v>20</v>
      </c>
      <c r="AJ524">
        <v>1</v>
      </c>
      <c r="AK524">
        <v>19</v>
      </c>
      <c r="AL524" t="s">
        <v>1700</v>
      </c>
      <c r="AM524" t="s">
        <v>1701</v>
      </c>
      <c r="AN524" t="s">
        <v>1702</v>
      </c>
      <c r="AO524" t="s">
        <v>6978</v>
      </c>
      <c r="AP524" t="s">
        <v>6979</v>
      </c>
      <c r="AQ524" t="s">
        <v>74</v>
      </c>
      <c r="AR524" t="s">
        <v>6968</v>
      </c>
      <c r="AS524" t="s">
        <v>6968</v>
      </c>
      <c r="AT524" t="s">
        <v>74</v>
      </c>
      <c r="AU524">
        <v>2018</v>
      </c>
      <c r="AV524">
        <v>140</v>
      </c>
      <c r="AW524">
        <v>2</v>
      </c>
      <c r="AX524" t="s">
        <v>74</v>
      </c>
      <c r="AY524" t="s">
        <v>74</v>
      </c>
      <c r="AZ524" t="s">
        <v>1146</v>
      </c>
      <c r="BA524" t="s">
        <v>74</v>
      </c>
      <c r="BB524">
        <v>153</v>
      </c>
      <c r="BC524">
        <v>169</v>
      </c>
      <c r="BD524" t="s">
        <v>74</v>
      </c>
      <c r="BE524" t="s">
        <v>10481</v>
      </c>
      <c r="BF524" t="str">
        <f>HYPERLINK("http://dx.doi.org/10.1080/11035897.2018.1477830","http://dx.doi.org/10.1080/11035897.2018.1477830")</f>
        <v>http://dx.doi.org/10.1080/11035897.2018.1477830</v>
      </c>
      <c r="BG524" t="s">
        <v>74</v>
      </c>
      <c r="BH524" t="s">
        <v>74</v>
      </c>
      <c r="BI524">
        <v>17</v>
      </c>
      <c r="BJ524" t="s">
        <v>3019</v>
      </c>
      <c r="BK524" t="s">
        <v>101</v>
      </c>
      <c r="BL524" t="s">
        <v>3019</v>
      </c>
      <c r="BM524" t="s">
        <v>6981</v>
      </c>
      <c r="BN524" t="s">
        <v>74</v>
      </c>
      <c r="BO524" t="s">
        <v>1168</v>
      </c>
      <c r="BP524" t="s">
        <v>74</v>
      </c>
      <c r="BQ524" t="s">
        <v>74</v>
      </c>
      <c r="BR524" t="s">
        <v>105</v>
      </c>
      <c r="BS524" t="s">
        <v>10482</v>
      </c>
      <c r="BT524" t="str">
        <f>HYPERLINK("https%3A%2F%2Fwww.webofscience.com%2Fwos%2Fwoscc%2Ffull-record%2FWOS:000436327300005","View Full Record in Web of Science")</f>
        <v>View Full Record in Web of Science</v>
      </c>
    </row>
    <row r="525" spans="1:72" x14ac:dyDescent="0.15">
      <c r="A525" t="s">
        <v>1776</v>
      </c>
      <c r="B525" t="s">
        <v>10483</v>
      </c>
      <c r="C525" t="s">
        <v>74</v>
      </c>
      <c r="D525" t="s">
        <v>10484</v>
      </c>
      <c r="E525" t="s">
        <v>74</v>
      </c>
      <c r="F525" t="s">
        <v>10485</v>
      </c>
      <c r="G525" t="s">
        <v>74</v>
      </c>
      <c r="H525" t="s">
        <v>74</v>
      </c>
      <c r="I525" t="s">
        <v>10486</v>
      </c>
      <c r="J525" t="s">
        <v>10487</v>
      </c>
      <c r="K525" t="s">
        <v>74</v>
      </c>
      <c r="L525" t="s">
        <v>74</v>
      </c>
      <c r="M525" t="s">
        <v>78</v>
      </c>
      <c r="N525" t="s">
        <v>1782</v>
      </c>
      <c r="O525" t="s">
        <v>10488</v>
      </c>
      <c r="P525" t="s">
        <v>10489</v>
      </c>
      <c r="Q525" t="s">
        <v>10490</v>
      </c>
      <c r="R525" t="s">
        <v>74</v>
      </c>
      <c r="S525" t="s">
        <v>74</v>
      </c>
      <c r="T525" t="s">
        <v>10491</v>
      </c>
      <c r="U525" t="s">
        <v>10492</v>
      </c>
      <c r="V525" t="s">
        <v>10493</v>
      </c>
      <c r="W525" t="s">
        <v>10494</v>
      </c>
      <c r="X525" t="s">
        <v>10495</v>
      </c>
      <c r="Y525" t="s">
        <v>10496</v>
      </c>
      <c r="Z525" t="s">
        <v>74</v>
      </c>
      <c r="AA525" t="s">
        <v>10497</v>
      </c>
      <c r="AB525" t="s">
        <v>10498</v>
      </c>
      <c r="AC525" t="s">
        <v>10499</v>
      </c>
      <c r="AD525" t="s">
        <v>10500</v>
      </c>
      <c r="AE525" t="s">
        <v>10501</v>
      </c>
      <c r="AF525" t="s">
        <v>74</v>
      </c>
      <c r="AG525">
        <v>32</v>
      </c>
      <c r="AH525">
        <v>7</v>
      </c>
      <c r="AI525">
        <v>7</v>
      </c>
      <c r="AJ525">
        <v>6</v>
      </c>
      <c r="AK525">
        <v>9</v>
      </c>
      <c r="AL525" t="s">
        <v>10502</v>
      </c>
      <c r="AM525" t="s">
        <v>10503</v>
      </c>
      <c r="AN525" t="s">
        <v>10504</v>
      </c>
      <c r="AO525" t="s">
        <v>74</v>
      </c>
      <c r="AP525" t="s">
        <v>74</v>
      </c>
      <c r="AQ525" t="s">
        <v>10505</v>
      </c>
      <c r="AR525" t="s">
        <v>74</v>
      </c>
      <c r="AS525" t="s">
        <v>74</v>
      </c>
      <c r="AT525" t="s">
        <v>74</v>
      </c>
      <c r="AU525">
        <v>2018</v>
      </c>
      <c r="AV525" t="s">
        <v>74</v>
      </c>
      <c r="AW525" t="s">
        <v>74</v>
      </c>
      <c r="AX525" t="s">
        <v>74</v>
      </c>
      <c r="AY525" t="s">
        <v>74</v>
      </c>
      <c r="AZ525" t="s">
        <v>74</v>
      </c>
      <c r="BA525" t="s">
        <v>74</v>
      </c>
      <c r="BB525">
        <v>319</v>
      </c>
      <c r="BC525">
        <v>326</v>
      </c>
      <c r="BD525" t="s">
        <v>74</v>
      </c>
      <c r="BE525" t="s">
        <v>10506</v>
      </c>
      <c r="BF525" t="str">
        <f>HYPERLINK("http://dx.doi.org/10.5220/0006812603190326","http://dx.doi.org/10.5220/0006812603190326")</f>
        <v>http://dx.doi.org/10.5220/0006812603190326</v>
      </c>
      <c r="BG525" t="s">
        <v>74</v>
      </c>
      <c r="BH525" t="s">
        <v>74</v>
      </c>
      <c r="BI525">
        <v>8</v>
      </c>
      <c r="BJ525" t="s">
        <v>10507</v>
      </c>
      <c r="BK525" t="s">
        <v>1801</v>
      </c>
      <c r="BL525" t="s">
        <v>10508</v>
      </c>
      <c r="BM525" t="s">
        <v>10509</v>
      </c>
      <c r="BN525" t="s">
        <v>74</v>
      </c>
      <c r="BO525" t="s">
        <v>10510</v>
      </c>
      <c r="BP525" t="s">
        <v>74</v>
      </c>
      <c r="BQ525" t="s">
        <v>74</v>
      </c>
      <c r="BR525" t="s">
        <v>105</v>
      </c>
      <c r="BS525" t="s">
        <v>10511</v>
      </c>
      <c r="BT525" t="str">
        <f>HYPERLINK("https%3A%2F%2Fwww.webofscience.com%2Fwos%2Fwoscc%2Ffull-record%2FWOS:000570662600038","View Full Record in Web of Science")</f>
        <v>View Full Record in Web of Science</v>
      </c>
    </row>
    <row r="526" spans="1:72" x14ac:dyDescent="0.15">
      <c r="A526" t="s">
        <v>72</v>
      </c>
      <c r="B526" t="s">
        <v>10512</v>
      </c>
      <c r="C526" t="s">
        <v>74</v>
      </c>
      <c r="D526" t="s">
        <v>74</v>
      </c>
      <c r="E526" t="s">
        <v>74</v>
      </c>
      <c r="F526" t="s">
        <v>10513</v>
      </c>
      <c r="G526" t="s">
        <v>74</v>
      </c>
      <c r="H526" t="s">
        <v>74</v>
      </c>
      <c r="I526" t="s">
        <v>10514</v>
      </c>
      <c r="J526" t="s">
        <v>8338</v>
      </c>
      <c r="K526" t="s">
        <v>74</v>
      </c>
      <c r="L526" t="s">
        <v>74</v>
      </c>
      <c r="M526" t="s">
        <v>78</v>
      </c>
      <c r="N526" t="s">
        <v>79</v>
      </c>
      <c r="O526" t="s">
        <v>74</v>
      </c>
      <c r="P526" t="s">
        <v>74</v>
      </c>
      <c r="Q526" t="s">
        <v>74</v>
      </c>
      <c r="R526" t="s">
        <v>74</v>
      </c>
      <c r="S526" t="s">
        <v>74</v>
      </c>
      <c r="T526" t="s">
        <v>10515</v>
      </c>
      <c r="U526" t="s">
        <v>10516</v>
      </c>
      <c r="V526" t="s">
        <v>10517</v>
      </c>
      <c r="W526" t="s">
        <v>10518</v>
      </c>
      <c r="X526" t="s">
        <v>10519</v>
      </c>
      <c r="Y526" t="s">
        <v>10520</v>
      </c>
      <c r="Z526" t="s">
        <v>10521</v>
      </c>
      <c r="AA526" t="s">
        <v>10522</v>
      </c>
      <c r="AB526" t="s">
        <v>10523</v>
      </c>
      <c r="AC526" t="s">
        <v>10524</v>
      </c>
      <c r="AD526" t="s">
        <v>10524</v>
      </c>
      <c r="AE526" t="s">
        <v>10525</v>
      </c>
      <c r="AF526" t="s">
        <v>74</v>
      </c>
      <c r="AG526">
        <v>54</v>
      </c>
      <c r="AH526">
        <v>31</v>
      </c>
      <c r="AI526">
        <v>33</v>
      </c>
      <c r="AJ526">
        <v>8</v>
      </c>
      <c r="AK526">
        <v>80</v>
      </c>
      <c r="AL526" t="s">
        <v>4270</v>
      </c>
      <c r="AM526" t="s">
        <v>4271</v>
      </c>
      <c r="AN526" t="s">
        <v>4272</v>
      </c>
      <c r="AO526" t="s">
        <v>8349</v>
      </c>
      <c r="AP526" t="s">
        <v>8350</v>
      </c>
      <c r="AQ526" t="s">
        <v>74</v>
      </c>
      <c r="AR526" t="s">
        <v>8351</v>
      </c>
      <c r="AS526" t="s">
        <v>8352</v>
      </c>
      <c r="AT526" t="s">
        <v>2468</v>
      </c>
      <c r="AU526">
        <v>2018</v>
      </c>
      <c r="AV526">
        <v>24</v>
      </c>
      <c r="AW526">
        <v>1</v>
      </c>
      <c r="AX526" t="s">
        <v>74</v>
      </c>
      <c r="AY526" t="s">
        <v>74</v>
      </c>
      <c r="AZ526" t="s">
        <v>74</v>
      </c>
      <c r="BA526" t="s">
        <v>74</v>
      </c>
      <c r="BB526" t="s">
        <v>10526</v>
      </c>
      <c r="BC526" t="s">
        <v>10527</v>
      </c>
      <c r="BD526" t="s">
        <v>74</v>
      </c>
      <c r="BE526" t="s">
        <v>10528</v>
      </c>
      <c r="BF526" t="str">
        <f>HYPERLINK("http://dx.doi.org/10.1111/gcb.13891","http://dx.doi.org/10.1111/gcb.13891")</f>
        <v>http://dx.doi.org/10.1111/gcb.13891</v>
      </c>
      <c r="BG526" t="s">
        <v>74</v>
      </c>
      <c r="BH526" t="s">
        <v>74</v>
      </c>
      <c r="BI526">
        <v>11</v>
      </c>
      <c r="BJ526" t="s">
        <v>8354</v>
      </c>
      <c r="BK526" t="s">
        <v>101</v>
      </c>
      <c r="BL526" t="s">
        <v>4278</v>
      </c>
      <c r="BM526" t="s">
        <v>8355</v>
      </c>
      <c r="BN526">
        <v>28869695</v>
      </c>
      <c r="BO526" t="s">
        <v>74</v>
      </c>
      <c r="BP526" t="s">
        <v>74</v>
      </c>
      <c r="BQ526" t="s">
        <v>74</v>
      </c>
      <c r="BR526" t="s">
        <v>105</v>
      </c>
      <c r="BS526" t="s">
        <v>10529</v>
      </c>
      <c r="BT526" t="str">
        <f>HYPERLINK("https%3A%2F%2Fwww.webofscience.com%2Fwos%2Fwoscc%2Ffull-record%2FWOS:000426506100008","View Full Record in Web of Science")</f>
        <v>View Full Record in Web of Science</v>
      </c>
    </row>
    <row r="527" spans="1:72" x14ac:dyDescent="0.15">
      <c r="A527" t="s">
        <v>1831</v>
      </c>
      <c r="B527" t="s">
        <v>10530</v>
      </c>
      <c r="C527" t="s">
        <v>74</v>
      </c>
      <c r="D527" t="s">
        <v>10531</v>
      </c>
      <c r="E527" t="s">
        <v>74</v>
      </c>
      <c r="F527" t="s">
        <v>10532</v>
      </c>
      <c r="G527" t="s">
        <v>74</v>
      </c>
      <c r="H527" t="s">
        <v>74</v>
      </c>
      <c r="I527" t="s">
        <v>10533</v>
      </c>
      <c r="J527" t="s">
        <v>10534</v>
      </c>
      <c r="K527" t="s">
        <v>10535</v>
      </c>
      <c r="L527" t="s">
        <v>74</v>
      </c>
      <c r="M527" t="s">
        <v>78</v>
      </c>
      <c r="N527" t="s">
        <v>1862</v>
      </c>
      <c r="O527" t="s">
        <v>74</v>
      </c>
      <c r="P527" t="s">
        <v>74</v>
      </c>
      <c r="Q527" t="s">
        <v>74</v>
      </c>
      <c r="R527" t="s">
        <v>74</v>
      </c>
      <c r="S527" t="s">
        <v>74</v>
      </c>
      <c r="T527" t="s">
        <v>74</v>
      </c>
      <c r="U527" t="s">
        <v>10536</v>
      </c>
      <c r="V527" t="s">
        <v>74</v>
      </c>
      <c r="W527" t="s">
        <v>10537</v>
      </c>
      <c r="X527" t="s">
        <v>10538</v>
      </c>
      <c r="Y527" t="s">
        <v>10539</v>
      </c>
      <c r="Z527" t="s">
        <v>74</v>
      </c>
      <c r="AA527" t="s">
        <v>74</v>
      </c>
      <c r="AB527" t="s">
        <v>74</v>
      </c>
      <c r="AC527" t="s">
        <v>74</v>
      </c>
      <c r="AD527" t="s">
        <v>74</v>
      </c>
      <c r="AE527" t="s">
        <v>74</v>
      </c>
      <c r="AF527" t="s">
        <v>74</v>
      </c>
      <c r="AG527">
        <v>46</v>
      </c>
      <c r="AH527">
        <v>2</v>
      </c>
      <c r="AI527">
        <v>2</v>
      </c>
      <c r="AJ527">
        <v>0</v>
      </c>
      <c r="AK527">
        <v>0</v>
      </c>
      <c r="AL527" t="s">
        <v>10540</v>
      </c>
      <c r="AM527" t="s">
        <v>7191</v>
      </c>
      <c r="AN527" t="s">
        <v>10541</v>
      </c>
      <c r="AO527" t="s">
        <v>10542</v>
      </c>
      <c r="AP527" t="s">
        <v>74</v>
      </c>
      <c r="AQ527" t="s">
        <v>10543</v>
      </c>
      <c r="AR527" t="s">
        <v>10544</v>
      </c>
      <c r="AS527" t="s">
        <v>74</v>
      </c>
      <c r="AT527" t="s">
        <v>74</v>
      </c>
      <c r="AU527">
        <v>2018</v>
      </c>
      <c r="AV527">
        <v>5</v>
      </c>
      <c r="AW527" t="s">
        <v>74</v>
      </c>
      <c r="AX527" t="s">
        <v>74</v>
      </c>
      <c r="AY527" t="s">
        <v>74</v>
      </c>
      <c r="AZ527" t="s">
        <v>74</v>
      </c>
      <c r="BA527" t="s">
        <v>74</v>
      </c>
      <c r="BB527">
        <v>326</v>
      </c>
      <c r="BC527">
        <v>343</v>
      </c>
      <c r="BD527" t="s">
        <v>74</v>
      </c>
      <c r="BE527" t="s">
        <v>10545</v>
      </c>
      <c r="BF527" t="str">
        <f>HYPERLINK("http://dx.doi.org/10.1163/9789004373334_017","http://dx.doi.org/10.1163/9789004373334_017")</f>
        <v>http://dx.doi.org/10.1163/9789004373334_017</v>
      </c>
      <c r="BG527" t="s">
        <v>74</v>
      </c>
      <c r="BH527" t="s">
        <v>74</v>
      </c>
      <c r="BI527">
        <v>18</v>
      </c>
      <c r="BJ527" t="s">
        <v>10546</v>
      </c>
      <c r="BK527" t="s">
        <v>2102</v>
      </c>
      <c r="BL527" t="s">
        <v>10547</v>
      </c>
      <c r="BM527" t="s">
        <v>10548</v>
      </c>
      <c r="BN527" t="s">
        <v>74</v>
      </c>
      <c r="BO527" t="s">
        <v>74</v>
      </c>
      <c r="BP527" t="s">
        <v>74</v>
      </c>
      <c r="BQ527" t="s">
        <v>74</v>
      </c>
      <c r="BR527" t="s">
        <v>105</v>
      </c>
      <c r="BS527" t="s">
        <v>10549</v>
      </c>
      <c r="BT527" t="str">
        <f>HYPERLINK("https%3A%2F%2Fwww.webofscience.com%2Fwos%2Fwoscc%2Ffull-record%2FWOS:000820254500016","View Full Record in Web of Science")</f>
        <v>View Full Record in Web of Science</v>
      </c>
    </row>
    <row r="528" spans="1:72" x14ac:dyDescent="0.15">
      <c r="A528" t="s">
        <v>2085</v>
      </c>
      <c r="B528" t="s">
        <v>10550</v>
      </c>
      <c r="C528" t="s">
        <v>74</v>
      </c>
      <c r="D528" t="s">
        <v>10551</v>
      </c>
      <c r="E528" t="s">
        <v>74</v>
      </c>
      <c r="F528" t="s">
        <v>10552</v>
      </c>
      <c r="G528" t="s">
        <v>74</v>
      </c>
      <c r="H528" t="s">
        <v>74</v>
      </c>
      <c r="I528" t="s">
        <v>10553</v>
      </c>
      <c r="J528" t="s">
        <v>10554</v>
      </c>
      <c r="K528" t="s">
        <v>74</v>
      </c>
      <c r="L528" t="s">
        <v>74</v>
      </c>
      <c r="M528" t="s">
        <v>78</v>
      </c>
      <c r="N528" t="s">
        <v>1862</v>
      </c>
      <c r="O528" t="s">
        <v>74</v>
      </c>
      <c r="P528" t="s">
        <v>74</v>
      </c>
      <c r="Q528" t="s">
        <v>74</v>
      </c>
      <c r="R528" t="s">
        <v>74</v>
      </c>
      <c r="S528" t="s">
        <v>74</v>
      </c>
      <c r="T528" t="s">
        <v>74</v>
      </c>
      <c r="U528" t="s">
        <v>10555</v>
      </c>
      <c r="V528" t="s">
        <v>74</v>
      </c>
      <c r="W528" t="s">
        <v>10556</v>
      </c>
      <c r="X528" t="s">
        <v>10557</v>
      </c>
      <c r="Y528" t="s">
        <v>10558</v>
      </c>
      <c r="Z528" t="s">
        <v>74</v>
      </c>
      <c r="AA528" t="s">
        <v>10559</v>
      </c>
      <c r="AB528" t="s">
        <v>10560</v>
      </c>
      <c r="AC528" t="s">
        <v>74</v>
      </c>
      <c r="AD528" t="s">
        <v>74</v>
      </c>
      <c r="AE528" t="s">
        <v>74</v>
      </c>
      <c r="AF528" t="s">
        <v>74</v>
      </c>
      <c r="AG528">
        <v>64</v>
      </c>
      <c r="AH528">
        <v>4</v>
      </c>
      <c r="AI528">
        <v>5</v>
      </c>
      <c r="AJ528">
        <v>0</v>
      </c>
      <c r="AK528">
        <v>3</v>
      </c>
      <c r="AL528" t="s">
        <v>10561</v>
      </c>
      <c r="AM528" t="s">
        <v>10562</v>
      </c>
      <c r="AN528" t="s">
        <v>10563</v>
      </c>
      <c r="AO528" t="s">
        <v>74</v>
      </c>
      <c r="AP528" t="s">
        <v>74</v>
      </c>
      <c r="AQ528" t="s">
        <v>10564</v>
      </c>
      <c r="AR528" t="s">
        <v>74</v>
      </c>
      <c r="AS528" t="s">
        <v>74</v>
      </c>
      <c r="AT528" t="s">
        <v>74</v>
      </c>
      <c r="AU528">
        <v>2018</v>
      </c>
      <c r="AV528" t="s">
        <v>74</v>
      </c>
      <c r="AW528" t="s">
        <v>74</v>
      </c>
      <c r="AX528" t="s">
        <v>74</v>
      </c>
      <c r="AY528" t="s">
        <v>74</v>
      </c>
      <c r="AZ528" t="s">
        <v>74</v>
      </c>
      <c r="BA528" t="s">
        <v>74</v>
      </c>
      <c r="BB528">
        <v>493</v>
      </c>
      <c r="BC528">
        <v>505</v>
      </c>
      <c r="BD528" t="s">
        <v>74</v>
      </c>
      <c r="BE528" t="s">
        <v>74</v>
      </c>
      <c r="BF528" t="s">
        <v>74</v>
      </c>
      <c r="BG528" t="s">
        <v>74</v>
      </c>
      <c r="BH528" t="s">
        <v>74</v>
      </c>
      <c r="BI528">
        <v>13</v>
      </c>
      <c r="BJ528" t="s">
        <v>10565</v>
      </c>
      <c r="BK528" t="s">
        <v>1856</v>
      </c>
      <c r="BL528" t="s">
        <v>10566</v>
      </c>
      <c r="BM528" t="s">
        <v>10567</v>
      </c>
      <c r="BN528" t="s">
        <v>74</v>
      </c>
      <c r="BO528" t="s">
        <v>74</v>
      </c>
      <c r="BP528" t="s">
        <v>74</v>
      </c>
      <c r="BQ528" t="s">
        <v>74</v>
      </c>
      <c r="BR528" t="s">
        <v>105</v>
      </c>
      <c r="BS528" t="s">
        <v>10568</v>
      </c>
      <c r="BT528" t="str">
        <f>HYPERLINK("https%3A%2F%2Fwww.webofscience.com%2Fwos%2Fwoscc%2Ffull-record%2FWOS:000544019400014","View Full Record in Web of Science")</f>
        <v>View Full Record in Web of Science</v>
      </c>
    </row>
    <row r="529" spans="1:72" x14ac:dyDescent="0.15">
      <c r="A529" t="s">
        <v>72</v>
      </c>
      <c r="B529" t="s">
        <v>10569</v>
      </c>
      <c r="C529" t="s">
        <v>74</v>
      </c>
      <c r="D529" t="s">
        <v>74</v>
      </c>
      <c r="E529" t="s">
        <v>74</v>
      </c>
      <c r="F529" t="s">
        <v>10570</v>
      </c>
      <c r="G529" t="s">
        <v>74</v>
      </c>
      <c r="H529" t="s">
        <v>74</v>
      </c>
      <c r="I529" t="s">
        <v>10571</v>
      </c>
      <c r="J529" t="s">
        <v>10572</v>
      </c>
      <c r="K529" t="s">
        <v>74</v>
      </c>
      <c r="L529" t="s">
        <v>74</v>
      </c>
      <c r="M529" t="s">
        <v>78</v>
      </c>
      <c r="N529" t="s">
        <v>79</v>
      </c>
      <c r="O529" t="s">
        <v>74</v>
      </c>
      <c r="P529" t="s">
        <v>74</v>
      </c>
      <c r="Q529" t="s">
        <v>74</v>
      </c>
      <c r="R529" t="s">
        <v>74</v>
      </c>
      <c r="S529" t="s">
        <v>74</v>
      </c>
      <c r="T529" t="s">
        <v>10573</v>
      </c>
      <c r="U529" t="s">
        <v>10574</v>
      </c>
      <c r="V529" t="s">
        <v>10575</v>
      </c>
      <c r="W529" t="s">
        <v>10576</v>
      </c>
      <c r="X529" t="s">
        <v>10577</v>
      </c>
      <c r="Y529" t="s">
        <v>10578</v>
      </c>
      <c r="Z529" t="s">
        <v>10579</v>
      </c>
      <c r="AA529" t="s">
        <v>10580</v>
      </c>
      <c r="AB529" t="s">
        <v>10581</v>
      </c>
      <c r="AC529" t="s">
        <v>10582</v>
      </c>
      <c r="AD529" t="s">
        <v>10583</v>
      </c>
      <c r="AE529" t="s">
        <v>10584</v>
      </c>
      <c r="AF529" t="s">
        <v>74</v>
      </c>
      <c r="AG529">
        <v>106</v>
      </c>
      <c r="AH529">
        <v>10</v>
      </c>
      <c r="AI529">
        <v>10</v>
      </c>
      <c r="AJ529">
        <v>0</v>
      </c>
      <c r="AK529">
        <v>40</v>
      </c>
      <c r="AL529" t="s">
        <v>1973</v>
      </c>
      <c r="AM529" t="s">
        <v>4347</v>
      </c>
      <c r="AN529" t="s">
        <v>4348</v>
      </c>
      <c r="AO529" t="s">
        <v>10585</v>
      </c>
      <c r="AP529" t="s">
        <v>10586</v>
      </c>
      <c r="AQ529" t="s">
        <v>74</v>
      </c>
      <c r="AR529" t="s">
        <v>10572</v>
      </c>
      <c r="AS529" t="s">
        <v>10587</v>
      </c>
      <c r="AT529" t="s">
        <v>2468</v>
      </c>
      <c r="AU529">
        <v>2018</v>
      </c>
      <c r="AV529">
        <v>806</v>
      </c>
      <c r="AW529">
        <v>1</v>
      </c>
      <c r="AX529" t="s">
        <v>74</v>
      </c>
      <c r="AY529" t="s">
        <v>74</v>
      </c>
      <c r="AZ529" t="s">
        <v>74</v>
      </c>
      <c r="BA529" t="s">
        <v>74</v>
      </c>
      <c r="BB529">
        <v>123</v>
      </c>
      <c r="BC529">
        <v>138</v>
      </c>
      <c r="BD529" t="s">
        <v>74</v>
      </c>
      <c r="BE529" t="s">
        <v>10588</v>
      </c>
      <c r="BF529" t="str">
        <f>HYPERLINK("http://dx.doi.org/10.1007/s10750-017-3346-5","http://dx.doi.org/10.1007/s10750-017-3346-5")</f>
        <v>http://dx.doi.org/10.1007/s10750-017-3346-5</v>
      </c>
      <c r="BG529" t="s">
        <v>74</v>
      </c>
      <c r="BH529" t="s">
        <v>74</v>
      </c>
      <c r="BI529">
        <v>16</v>
      </c>
      <c r="BJ529" t="s">
        <v>3180</v>
      </c>
      <c r="BK529" t="s">
        <v>101</v>
      </c>
      <c r="BL529" t="s">
        <v>3180</v>
      </c>
      <c r="BM529" t="s">
        <v>10589</v>
      </c>
      <c r="BN529" t="s">
        <v>74</v>
      </c>
      <c r="BO529" t="s">
        <v>74</v>
      </c>
      <c r="BP529" t="s">
        <v>74</v>
      </c>
      <c r="BQ529" t="s">
        <v>74</v>
      </c>
      <c r="BR529" t="s">
        <v>105</v>
      </c>
      <c r="BS529" t="s">
        <v>10590</v>
      </c>
      <c r="BT529" t="str">
        <f>HYPERLINK("https%3A%2F%2Fwww.webofscience.com%2Fwos%2Fwoscc%2Ffull-record%2FWOS:000416804200009","View Full Record in Web of Science")</f>
        <v>View Full Record in Web of Science</v>
      </c>
    </row>
    <row r="530" spans="1:72" x14ac:dyDescent="0.15">
      <c r="A530" t="s">
        <v>72</v>
      </c>
      <c r="B530" t="s">
        <v>10591</v>
      </c>
      <c r="C530" t="s">
        <v>74</v>
      </c>
      <c r="D530" t="s">
        <v>74</v>
      </c>
      <c r="E530" t="s">
        <v>74</v>
      </c>
      <c r="F530" t="s">
        <v>10592</v>
      </c>
      <c r="G530" t="s">
        <v>74</v>
      </c>
      <c r="H530" t="s">
        <v>74</v>
      </c>
      <c r="I530" t="s">
        <v>10593</v>
      </c>
      <c r="J530" t="s">
        <v>8681</v>
      </c>
      <c r="K530" t="s">
        <v>74</v>
      </c>
      <c r="L530" t="s">
        <v>74</v>
      </c>
      <c r="M530" t="s">
        <v>78</v>
      </c>
      <c r="N530" t="s">
        <v>79</v>
      </c>
      <c r="O530" t="s">
        <v>74</v>
      </c>
      <c r="P530" t="s">
        <v>74</v>
      </c>
      <c r="Q530" t="s">
        <v>74</v>
      </c>
      <c r="R530" t="s">
        <v>74</v>
      </c>
      <c r="S530" t="s">
        <v>74</v>
      </c>
      <c r="T530" t="s">
        <v>10594</v>
      </c>
      <c r="U530" t="s">
        <v>10595</v>
      </c>
      <c r="V530" t="s">
        <v>10596</v>
      </c>
      <c r="W530" t="s">
        <v>10597</v>
      </c>
      <c r="X530" t="s">
        <v>10598</v>
      </c>
      <c r="Y530" t="s">
        <v>10599</v>
      </c>
      <c r="Z530" t="s">
        <v>10600</v>
      </c>
      <c r="AA530" t="s">
        <v>7304</v>
      </c>
      <c r="AB530" t="s">
        <v>74</v>
      </c>
      <c r="AC530" t="s">
        <v>74</v>
      </c>
      <c r="AD530" t="s">
        <v>74</v>
      </c>
      <c r="AE530" t="s">
        <v>74</v>
      </c>
      <c r="AF530" t="s">
        <v>74</v>
      </c>
      <c r="AG530">
        <v>45</v>
      </c>
      <c r="AH530">
        <v>27</v>
      </c>
      <c r="AI530">
        <v>32</v>
      </c>
      <c r="AJ530">
        <v>3</v>
      </c>
      <c r="AK530">
        <v>47</v>
      </c>
      <c r="AL530" t="s">
        <v>8694</v>
      </c>
      <c r="AM530" t="s">
        <v>1140</v>
      </c>
      <c r="AN530" t="s">
        <v>8695</v>
      </c>
      <c r="AO530" t="s">
        <v>8696</v>
      </c>
      <c r="AP530" t="s">
        <v>8697</v>
      </c>
      <c r="AQ530" t="s">
        <v>74</v>
      </c>
      <c r="AR530" t="s">
        <v>8698</v>
      </c>
      <c r="AS530" t="s">
        <v>8699</v>
      </c>
      <c r="AT530" t="s">
        <v>8251</v>
      </c>
      <c r="AU530">
        <v>2018</v>
      </c>
      <c r="AV530">
        <v>75</v>
      </c>
      <c r="AW530">
        <v>1</v>
      </c>
      <c r="AX530" t="s">
        <v>74</v>
      </c>
      <c r="AY530" t="s">
        <v>74</v>
      </c>
      <c r="AZ530" t="s">
        <v>74</v>
      </c>
      <c r="BA530" t="s">
        <v>74</v>
      </c>
      <c r="BB530">
        <v>417</v>
      </c>
      <c r="BC530">
        <v>425</v>
      </c>
      <c r="BD530" t="s">
        <v>74</v>
      </c>
      <c r="BE530" t="s">
        <v>10601</v>
      </c>
      <c r="BF530" t="str">
        <f>HYPERLINK("http://dx.doi.org/10.1093/icesjms/fsx189","http://dx.doi.org/10.1093/icesjms/fsx189")</f>
        <v>http://dx.doi.org/10.1093/icesjms/fsx189</v>
      </c>
      <c r="BG530" t="s">
        <v>74</v>
      </c>
      <c r="BH530" t="s">
        <v>74</v>
      </c>
      <c r="BI530">
        <v>9</v>
      </c>
      <c r="BJ530" t="s">
        <v>5119</v>
      </c>
      <c r="BK530" t="s">
        <v>2471</v>
      </c>
      <c r="BL530" t="s">
        <v>5119</v>
      </c>
      <c r="BM530" t="s">
        <v>8701</v>
      </c>
      <c r="BN530" t="s">
        <v>74</v>
      </c>
      <c r="BO530" t="s">
        <v>306</v>
      </c>
      <c r="BP530" t="s">
        <v>74</v>
      </c>
      <c r="BQ530" t="s">
        <v>74</v>
      </c>
      <c r="BR530" t="s">
        <v>105</v>
      </c>
      <c r="BS530" t="s">
        <v>10602</v>
      </c>
      <c r="BT530" t="str">
        <f>HYPERLINK("https%3A%2F%2Fwww.webofscience.com%2Fwos%2Fwoscc%2Ffull-record%2FWOS:000424080500038","View Full Record in Web of Science")</f>
        <v>View Full Record in Web of Science</v>
      </c>
    </row>
    <row r="531" spans="1:72" x14ac:dyDescent="0.15">
      <c r="A531" t="s">
        <v>1776</v>
      </c>
      <c r="B531" t="s">
        <v>10603</v>
      </c>
      <c r="C531" t="s">
        <v>74</v>
      </c>
      <c r="D531" t="s">
        <v>74</v>
      </c>
      <c r="E531" t="s">
        <v>1778</v>
      </c>
      <c r="F531" t="s">
        <v>10604</v>
      </c>
      <c r="G531" t="s">
        <v>74</v>
      </c>
      <c r="H531" t="s">
        <v>74</v>
      </c>
      <c r="I531" t="s">
        <v>10605</v>
      </c>
      <c r="J531" t="s">
        <v>3575</v>
      </c>
      <c r="K531" t="s">
        <v>3576</v>
      </c>
      <c r="L531" t="s">
        <v>74</v>
      </c>
      <c r="M531" t="s">
        <v>78</v>
      </c>
      <c r="N531" t="s">
        <v>1782</v>
      </c>
      <c r="O531" t="s">
        <v>3577</v>
      </c>
      <c r="P531" t="s">
        <v>3578</v>
      </c>
      <c r="Q531" t="s">
        <v>3579</v>
      </c>
      <c r="R531" t="s">
        <v>74</v>
      </c>
      <c r="S531" t="s">
        <v>74</v>
      </c>
      <c r="T531" t="s">
        <v>10606</v>
      </c>
      <c r="U531" t="s">
        <v>74</v>
      </c>
      <c r="V531" t="s">
        <v>10607</v>
      </c>
      <c r="W531" t="s">
        <v>10608</v>
      </c>
      <c r="X531" t="s">
        <v>10609</v>
      </c>
      <c r="Y531" t="s">
        <v>10610</v>
      </c>
      <c r="Z531" t="s">
        <v>74</v>
      </c>
      <c r="AA531" t="s">
        <v>10611</v>
      </c>
      <c r="AB531" t="s">
        <v>10612</v>
      </c>
      <c r="AC531" t="s">
        <v>10613</v>
      </c>
      <c r="AD531" t="s">
        <v>10614</v>
      </c>
      <c r="AE531" t="s">
        <v>10615</v>
      </c>
      <c r="AF531" t="s">
        <v>74</v>
      </c>
      <c r="AG531">
        <v>6</v>
      </c>
      <c r="AH531">
        <v>2</v>
      </c>
      <c r="AI531">
        <v>2</v>
      </c>
      <c r="AJ531">
        <v>0</v>
      </c>
      <c r="AK531">
        <v>3</v>
      </c>
      <c r="AL531" t="s">
        <v>1778</v>
      </c>
      <c r="AM531" t="s">
        <v>1797</v>
      </c>
      <c r="AN531" t="s">
        <v>1798</v>
      </c>
      <c r="AO531" t="s">
        <v>3591</v>
      </c>
      <c r="AP531" t="s">
        <v>74</v>
      </c>
      <c r="AQ531" t="s">
        <v>3592</v>
      </c>
      <c r="AR531" t="s">
        <v>3593</v>
      </c>
      <c r="AS531" t="s">
        <v>74</v>
      </c>
      <c r="AT531" t="s">
        <v>74</v>
      </c>
      <c r="AU531">
        <v>2018</v>
      </c>
      <c r="AV531" t="s">
        <v>74</v>
      </c>
      <c r="AW531" t="s">
        <v>74</v>
      </c>
      <c r="AX531" t="s">
        <v>74</v>
      </c>
      <c r="AY531" t="s">
        <v>74</v>
      </c>
      <c r="AZ531" t="s">
        <v>74</v>
      </c>
      <c r="BA531" t="s">
        <v>74</v>
      </c>
      <c r="BB531">
        <v>1470</v>
      </c>
      <c r="BC531">
        <v>1473</v>
      </c>
      <c r="BD531" t="s">
        <v>74</v>
      </c>
      <c r="BE531" t="s">
        <v>74</v>
      </c>
      <c r="BF531" t="s">
        <v>74</v>
      </c>
      <c r="BG531" t="s">
        <v>74</v>
      </c>
      <c r="BH531" t="s">
        <v>74</v>
      </c>
      <c r="BI531">
        <v>4</v>
      </c>
      <c r="BJ531" t="s">
        <v>3594</v>
      </c>
      <c r="BK531" t="s">
        <v>1801</v>
      </c>
      <c r="BL531" t="s">
        <v>3595</v>
      </c>
      <c r="BM531" t="s">
        <v>3596</v>
      </c>
      <c r="BN531" t="s">
        <v>74</v>
      </c>
      <c r="BO531" t="s">
        <v>74</v>
      </c>
      <c r="BP531" t="s">
        <v>74</v>
      </c>
      <c r="BQ531" t="s">
        <v>74</v>
      </c>
      <c r="BR531" t="s">
        <v>105</v>
      </c>
      <c r="BS531" t="s">
        <v>10616</v>
      </c>
      <c r="BT531" t="str">
        <f>HYPERLINK("https%3A%2F%2Fwww.webofscience.com%2Fwos%2Fwoscc%2Ffull-record%2FWOS:000451039801162","View Full Record in Web of Science")</f>
        <v>View Full Record in Web of Science</v>
      </c>
    </row>
    <row r="532" spans="1:72" x14ac:dyDescent="0.15">
      <c r="A532" t="s">
        <v>72</v>
      </c>
      <c r="B532" t="s">
        <v>10617</v>
      </c>
      <c r="C532" t="s">
        <v>74</v>
      </c>
      <c r="D532" t="s">
        <v>74</v>
      </c>
      <c r="E532" t="s">
        <v>74</v>
      </c>
      <c r="F532" t="s">
        <v>10618</v>
      </c>
      <c r="G532" t="s">
        <v>74</v>
      </c>
      <c r="H532" t="s">
        <v>74</v>
      </c>
      <c r="I532" t="s">
        <v>10619</v>
      </c>
      <c r="J532" t="s">
        <v>6555</v>
      </c>
      <c r="K532" t="s">
        <v>74</v>
      </c>
      <c r="L532" t="s">
        <v>74</v>
      </c>
      <c r="M532" t="s">
        <v>78</v>
      </c>
      <c r="N532" t="s">
        <v>79</v>
      </c>
      <c r="O532" t="s">
        <v>74</v>
      </c>
      <c r="P532" t="s">
        <v>74</v>
      </c>
      <c r="Q532" t="s">
        <v>74</v>
      </c>
      <c r="R532" t="s">
        <v>74</v>
      </c>
      <c r="S532" t="s">
        <v>74</v>
      </c>
      <c r="T532" t="s">
        <v>10620</v>
      </c>
      <c r="U532" t="s">
        <v>10621</v>
      </c>
      <c r="V532" t="s">
        <v>10622</v>
      </c>
      <c r="W532" t="s">
        <v>10623</v>
      </c>
      <c r="X532" t="s">
        <v>10624</v>
      </c>
      <c r="Y532" t="s">
        <v>10625</v>
      </c>
      <c r="Z532" t="s">
        <v>10626</v>
      </c>
      <c r="AA532" t="s">
        <v>10627</v>
      </c>
      <c r="AB532" t="s">
        <v>10628</v>
      </c>
      <c r="AC532" t="s">
        <v>10629</v>
      </c>
      <c r="AD532" t="s">
        <v>10630</v>
      </c>
      <c r="AE532" t="s">
        <v>10631</v>
      </c>
      <c r="AF532" t="s">
        <v>74</v>
      </c>
      <c r="AG532">
        <v>175</v>
      </c>
      <c r="AH532">
        <v>20</v>
      </c>
      <c r="AI532">
        <v>20</v>
      </c>
      <c r="AJ532">
        <v>0</v>
      </c>
      <c r="AK532">
        <v>11</v>
      </c>
      <c r="AL532" t="s">
        <v>5110</v>
      </c>
      <c r="AM532" t="s">
        <v>5111</v>
      </c>
      <c r="AN532" t="s">
        <v>5112</v>
      </c>
      <c r="AO532" t="s">
        <v>6568</v>
      </c>
      <c r="AP532" t="s">
        <v>6569</v>
      </c>
      <c r="AQ532" t="s">
        <v>74</v>
      </c>
      <c r="AR532" t="s">
        <v>6570</v>
      </c>
      <c r="AS532" t="s">
        <v>6571</v>
      </c>
      <c r="AT532" t="s">
        <v>74</v>
      </c>
      <c r="AU532">
        <v>2018</v>
      </c>
      <c r="AV532">
        <v>32</v>
      </c>
      <c r="AW532">
        <v>3</v>
      </c>
      <c r="AX532" t="s">
        <v>74</v>
      </c>
      <c r="AY532" t="s">
        <v>74</v>
      </c>
      <c r="AZ532" t="s">
        <v>74</v>
      </c>
      <c r="BA532" t="s">
        <v>74</v>
      </c>
      <c r="BB532">
        <v>551</v>
      </c>
      <c r="BC532">
        <v>580</v>
      </c>
      <c r="BD532" t="s">
        <v>74</v>
      </c>
      <c r="BE532" t="s">
        <v>10632</v>
      </c>
      <c r="BF532" t="str">
        <f>HYPERLINK("http://dx.doi.org/10.1071/IS17002","http://dx.doi.org/10.1071/IS17002")</f>
        <v>http://dx.doi.org/10.1071/IS17002</v>
      </c>
      <c r="BG532" t="s">
        <v>74</v>
      </c>
      <c r="BH532" t="s">
        <v>74</v>
      </c>
      <c r="BI532">
        <v>30</v>
      </c>
      <c r="BJ532" t="s">
        <v>6573</v>
      </c>
      <c r="BK532" t="s">
        <v>101</v>
      </c>
      <c r="BL532" t="s">
        <v>6573</v>
      </c>
      <c r="BM532" t="s">
        <v>7215</v>
      </c>
      <c r="BN532" t="s">
        <v>74</v>
      </c>
      <c r="BO532" t="s">
        <v>74</v>
      </c>
      <c r="BP532" t="s">
        <v>74</v>
      </c>
      <c r="BQ532" t="s">
        <v>74</v>
      </c>
      <c r="BR532" t="s">
        <v>105</v>
      </c>
      <c r="BS532" t="s">
        <v>10633</v>
      </c>
      <c r="BT532" t="str">
        <f>HYPERLINK("https%3A%2F%2Fwww.webofscience.com%2Fwos%2Fwoscc%2Ffull-record%2FWOS:000435406900004","View Full Record in Web of Science")</f>
        <v>View Full Record in Web of Science</v>
      </c>
    </row>
    <row r="533" spans="1:72" x14ac:dyDescent="0.15">
      <c r="A533" t="s">
        <v>72</v>
      </c>
      <c r="B533" t="s">
        <v>10634</v>
      </c>
      <c r="C533" t="s">
        <v>74</v>
      </c>
      <c r="D533" t="s">
        <v>74</v>
      </c>
      <c r="E533" t="s">
        <v>74</v>
      </c>
      <c r="F533" t="s">
        <v>10635</v>
      </c>
      <c r="G533" t="s">
        <v>74</v>
      </c>
      <c r="H533" t="s">
        <v>74</v>
      </c>
      <c r="I533" t="s">
        <v>10636</v>
      </c>
      <c r="J533" t="s">
        <v>7828</v>
      </c>
      <c r="K533" t="s">
        <v>74</v>
      </c>
      <c r="L533" t="s">
        <v>74</v>
      </c>
      <c r="M533" t="s">
        <v>78</v>
      </c>
      <c r="N533" t="s">
        <v>52</v>
      </c>
      <c r="O533" t="s">
        <v>74</v>
      </c>
      <c r="P533" t="s">
        <v>74</v>
      </c>
      <c r="Q533" t="s">
        <v>74</v>
      </c>
      <c r="R533" t="s">
        <v>74</v>
      </c>
      <c r="S533" t="s">
        <v>74</v>
      </c>
      <c r="T533" t="s">
        <v>74</v>
      </c>
      <c r="U533" t="s">
        <v>74</v>
      </c>
      <c r="V533" t="s">
        <v>74</v>
      </c>
      <c r="W533" t="s">
        <v>10637</v>
      </c>
      <c r="X533" t="s">
        <v>10638</v>
      </c>
      <c r="Y533" t="s">
        <v>74</v>
      </c>
      <c r="Z533" t="s">
        <v>74</v>
      </c>
      <c r="AA533" t="s">
        <v>10639</v>
      </c>
      <c r="AB533" t="s">
        <v>10640</v>
      </c>
      <c r="AC533" t="s">
        <v>10641</v>
      </c>
      <c r="AD533" t="s">
        <v>10642</v>
      </c>
      <c r="AE533" t="s">
        <v>10643</v>
      </c>
      <c r="AF533" t="s">
        <v>74</v>
      </c>
      <c r="AG533">
        <v>0</v>
      </c>
      <c r="AH533">
        <v>9</v>
      </c>
      <c r="AI533">
        <v>9</v>
      </c>
      <c r="AJ533">
        <v>0</v>
      </c>
      <c r="AK533">
        <v>1</v>
      </c>
      <c r="AL533" t="s">
        <v>7832</v>
      </c>
      <c r="AM533" t="s">
        <v>3443</v>
      </c>
      <c r="AN533" t="s">
        <v>7833</v>
      </c>
      <c r="AO533" t="s">
        <v>7834</v>
      </c>
      <c r="AP533" t="s">
        <v>74</v>
      </c>
      <c r="AQ533" t="s">
        <v>74</v>
      </c>
      <c r="AR533" t="s">
        <v>7835</v>
      </c>
      <c r="AS533" t="s">
        <v>7836</v>
      </c>
      <c r="AT533" t="s">
        <v>74</v>
      </c>
      <c r="AU533">
        <v>2018</v>
      </c>
      <c r="AV533">
        <v>15</v>
      </c>
      <c r="AW533" t="s">
        <v>74</v>
      </c>
      <c r="AX533" t="s">
        <v>74</v>
      </c>
      <c r="AY533" t="s">
        <v>74</v>
      </c>
      <c r="AZ533" t="s">
        <v>74</v>
      </c>
      <c r="BA533" t="s">
        <v>74</v>
      </c>
      <c r="BB533">
        <v>127</v>
      </c>
      <c r="BC533">
        <v>127</v>
      </c>
      <c r="BD533" t="s">
        <v>74</v>
      </c>
      <c r="BE533" t="s">
        <v>74</v>
      </c>
      <c r="BF533" t="s">
        <v>74</v>
      </c>
      <c r="BG533" t="s">
        <v>74</v>
      </c>
      <c r="BH533" t="s">
        <v>74</v>
      </c>
      <c r="BI533">
        <v>1</v>
      </c>
      <c r="BJ533" t="s">
        <v>7837</v>
      </c>
      <c r="BK533" t="s">
        <v>101</v>
      </c>
      <c r="BL533" t="s">
        <v>7837</v>
      </c>
      <c r="BM533" t="s">
        <v>7838</v>
      </c>
      <c r="BN533" t="s">
        <v>74</v>
      </c>
      <c r="BO533" t="s">
        <v>74</v>
      </c>
      <c r="BP533" t="s">
        <v>74</v>
      </c>
      <c r="BQ533" t="s">
        <v>74</v>
      </c>
      <c r="BR533" t="s">
        <v>105</v>
      </c>
      <c r="BS533" t="s">
        <v>10644</v>
      </c>
      <c r="BT533" t="str">
        <f>HYPERLINK("https%3A%2F%2Fwww.webofscience.com%2Fwos%2Fwoscc%2Ffull-record%2FWOS:000430116300054","View Full Record in Web of Science")</f>
        <v>View Full Record in Web of Science</v>
      </c>
    </row>
    <row r="534" spans="1:72" x14ac:dyDescent="0.15">
      <c r="A534" t="s">
        <v>72</v>
      </c>
      <c r="B534" t="s">
        <v>10645</v>
      </c>
      <c r="C534" t="s">
        <v>74</v>
      </c>
      <c r="D534" t="s">
        <v>74</v>
      </c>
      <c r="E534" t="s">
        <v>74</v>
      </c>
      <c r="F534" t="s">
        <v>10646</v>
      </c>
      <c r="G534" t="s">
        <v>74</v>
      </c>
      <c r="H534" t="s">
        <v>74</v>
      </c>
      <c r="I534" t="s">
        <v>10647</v>
      </c>
      <c r="J534" t="s">
        <v>10648</v>
      </c>
      <c r="K534" t="s">
        <v>74</v>
      </c>
      <c r="L534" t="s">
        <v>74</v>
      </c>
      <c r="M534" t="s">
        <v>78</v>
      </c>
      <c r="N534" t="s">
        <v>79</v>
      </c>
      <c r="O534" t="s">
        <v>74</v>
      </c>
      <c r="P534" t="s">
        <v>74</v>
      </c>
      <c r="Q534" t="s">
        <v>74</v>
      </c>
      <c r="R534" t="s">
        <v>74</v>
      </c>
      <c r="S534" t="s">
        <v>74</v>
      </c>
      <c r="T534" t="s">
        <v>10649</v>
      </c>
      <c r="U534" t="s">
        <v>10650</v>
      </c>
      <c r="V534" t="s">
        <v>10651</v>
      </c>
      <c r="W534" t="s">
        <v>10652</v>
      </c>
      <c r="X534" t="s">
        <v>10653</v>
      </c>
      <c r="Y534" t="s">
        <v>10654</v>
      </c>
      <c r="Z534" t="s">
        <v>10655</v>
      </c>
      <c r="AA534" t="s">
        <v>10656</v>
      </c>
      <c r="AB534" t="s">
        <v>10657</v>
      </c>
      <c r="AC534" t="s">
        <v>10658</v>
      </c>
      <c r="AD534" t="s">
        <v>10659</v>
      </c>
      <c r="AE534" t="s">
        <v>10660</v>
      </c>
      <c r="AF534" t="s">
        <v>74</v>
      </c>
      <c r="AG534">
        <v>89</v>
      </c>
      <c r="AH534">
        <v>30</v>
      </c>
      <c r="AI534">
        <v>32</v>
      </c>
      <c r="AJ534">
        <v>1</v>
      </c>
      <c r="AK534">
        <v>18</v>
      </c>
      <c r="AL534" t="s">
        <v>4270</v>
      </c>
      <c r="AM534" t="s">
        <v>4271</v>
      </c>
      <c r="AN534" t="s">
        <v>4272</v>
      </c>
      <c r="AO534" t="s">
        <v>10661</v>
      </c>
      <c r="AP534" t="s">
        <v>10662</v>
      </c>
      <c r="AQ534" t="s">
        <v>74</v>
      </c>
      <c r="AR534" t="s">
        <v>10663</v>
      </c>
      <c r="AS534" t="s">
        <v>10664</v>
      </c>
      <c r="AT534" t="s">
        <v>2468</v>
      </c>
      <c r="AU534">
        <v>2018</v>
      </c>
      <c r="AV534">
        <v>49</v>
      </c>
      <c r="AW534">
        <v>1</v>
      </c>
      <c r="AX534" t="s">
        <v>74</v>
      </c>
      <c r="AY534" t="s">
        <v>74</v>
      </c>
      <c r="AZ534" t="s">
        <v>74</v>
      </c>
      <c r="BA534" t="s">
        <v>74</v>
      </c>
      <c r="BB534" t="s">
        <v>74</v>
      </c>
      <c r="BC534" t="s">
        <v>74</v>
      </c>
      <c r="BD534" t="s">
        <v>10665</v>
      </c>
      <c r="BE534" t="s">
        <v>10666</v>
      </c>
      <c r="BF534" t="str">
        <f>HYPERLINK("http://dx.doi.org/10.1111/jav.01463","http://dx.doi.org/10.1111/jav.01463")</f>
        <v>http://dx.doi.org/10.1111/jav.01463</v>
      </c>
      <c r="BG534" t="s">
        <v>74</v>
      </c>
      <c r="BH534" t="s">
        <v>74</v>
      </c>
      <c r="BI534">
        <v>12</v>
      </c>
      <c r="BJ534" t="s">
        <v>4328</v>
      </c>
      <c r="BK534" t="s">
        <v>101</v>
      </c>
      <c r="BL534" t="s">
        <v>655</v>
      </c>
      <c r="BM534" t="s">
        <v>10667</v>
      </c>
      <c r="BN534" t="s">
        <v>74</v>
      </c>
      <c r="BO534" t="s">
        <v>74</v>
      </c>
      <c r="BP534" t="s">
        <v>74</v>
      </c>
      <c r="BQ534" t="s">
        <v>74</v>
      </c>
      <c r="BR534" t="s">
        <v>105</v>
      </c>
      <c r="BS534" t="s">
        <v>10668</v>
      </c>
      <c r="BT534" t="str">
        <f>HYPERLINK("https%3A%2F%2Fwww.webofscience.com%2Fwos%2Fwoscc%2Ffull-record%2FWOS:000425085000002","View Full Record in Web of Science")</f>
        <v>View Full Record in Web of Science</v>
      </c>
    </row>
    <row r="535" spans="1:72" x14ac:dyDescent="0.15">
      <c r="A535" t="s">
        <v>72</v>
      </c>
      <c r="B535" t="s">
        <v>10669</v>
      </c>
      <c r="C535" t="s">
        <v>74</v>
      </c>
      <c r="D535" t="s">
        <v>74</v>
      </c>
      <c r="E535" t="s">
        <v>74</v>
      </c>
      <c r="F535" t="s">
        <v>10670</v>
      </c>
      <c r="G535" t="s">
        <v>74</v>
      </c>
      <c r="H535" t="s">
        <v>74</v>
      </c>
      <c r="I535" t="s">
        <v>10671</v>
      </c>
      <c r="J535" t="s">
        <v>8360</v>
      </c>
      <c r="K535" t="s">
        <v>74</v>
      </c>
      <c r="L535" t="s">
        <v>74</v>
      </c>
      <c r="M535" t="s">
        <v>78</v>
      </c>
      <c r="N535" t="s">
        <v>79</v>
      </c>
      <c r="O535" t="s">
        <v>74</v>
      </c>
      <c r="P535" t="s">
        <v>74</v>
      </c>
      <c r="Q535" t="s">
        <v>74</v>
      </c>
      <c r="R535" t="s">
        <v>74</v>
      </c>
      <c r="S535" t="s">
        <v>74</v>
      </c>
      <c r="T535" t="s">
        <v>10672</v>
      </c>
      <c r="U535" t="s">
        <v>10673</v>
      </c>
      <c r="V535" t="s">
        <v>10674</v>
      </c>
      <c r="W535" t="s">
        <v>10675</v>
      </c>
      <c r="X535" t="s">
        <v>10676</v>
      </c>
      <c r="Y535" t="s">
        <v>10677</v>
      </c>
      <c r="Z535" t="s">
        <v>10678</v>
      </c>
      <c r="AA535" t="s">
        <v>10679</v>
      </c>
      <c r="AB535" t="s">
        <v>10680</v>
      </c>
      <c r="AC535" t="s">
        <v>10681</v>
      </c>
      <c r="AD535" t="s">
        <v>10682</v>
      </c>
      <c r="AE535" t="s">
        <v>10683</v>
      </c>
      <c r="AF535" t="s">
        <v>74</v>
      </c>
      <c r="AG535">
        <v>67</v>
      </c>
      <c r="AH535">
        <v>79</v>
      </c>
      <c r="AI535">
        <v>84</v>
      </c>
      <c r="AJ535">
        <v>0</v>
      </c>
      <c r="AK535">
        <v>36</v>
      </c>
      <c r="AL535" t="s">
        <v>271</v>
      </c>
      <c r="AM535" t="s">
        <v>272</v>
      </c>
      <c r="AN535" t="s">
        <v>273</v>
      </c>
      <c r="AO535" t="s">
        <v>8373</v>
      </c>
      <c r="AP535" t="s">
        <v>8374</v>
      </c>
      <c r="AQ535" t="s">
        <v>74</v>
      </c>
      <c r="AR535" t="s">
        <v>8375</v>
      </c>
      <c r="AS535" t="s">
        <v>8376</v>
      </c>
      <c r="AT535" t="s">
        <v>2468</v>
      </c>
      <c r="AU535">
        <v>2018</v>
      </c>
      <c r="AV535">
        <v>123</v>
      </c>
      <c r="AW535">
        <v>1</v>
      </c>
      <c r="AX535" t="s">
        <v>74</v>
      </c>
      <c r="AY535" t="s">
        <v>74</v>
      </c>
      <c r="AZ535" t="s">
        <v>74</v>
      </c>
      <c r="BA535" t="s">
        <v>74</v>
      </c>
      <c r="BB535">
        <v>613</v>
      </c>
      <c r="BC535">
        <v>630</v>
      </c>
      <c r="BD535" t="s">
        <v>74</v>
      </c>
      <c r="BE535" t="s">
        <v>10684</v>
      </c>
      <c r="BF535" t="str">
        <f>HYPERLINK("http://dx.doi.org/10.1002/2017JC013534","http://dx.doi.org/10.1002/2017JC013534")</f>
        <v>http://dx.doi.org/10.1002/2017JC013534</v>
      </c>
      <c r="BG535" t="s">
        <v>74</v>
      </c>
      <c r="BH535" t="s">
        <v>74</v>
      </c>
      <c r="BI535">
        <v>18</v>
      </c>
      <c r="BJ535" t="s">
        <v>1907</v>
      </c>
      <c r="BK535" t="s">
        <v>101</v>
      </c>
      <c r="BL535" t="s">
        <v>1907</v>
      </c>
      <c r="BM535" t="s">
        <v>8378</v>
      </c>
      <c r="BN535" t="s">
        <v>74</v>
      </c>
      <c r="BO535" t="s">
        <v>74</v>
      </c>
      <c r="BP535" t="s">
        <v>74</v>
      </c>
      <c r="BQ535" t="s">
        <v>74</v>
      </c>
      <c r="BR535" t="s">
        <v>105</v>
      </c>
      <c r="BS535" t="s">
        <v>10685</v>
      </c>
      <c r="BT535" t="str">
        <f>HYPERLINK("https%3A%2F%2Fwww.webofscience.com%2Fwos%2Fwoscc%2Ffull-record%2FWOS:000425589800035","View Full Record in Web of Science")</f>
        <v>View Full Record in Web of Science</v>
      </c>
    </row>
    <row r="536" spans="1:72" x14ac:dyDescent="0.15">
      <c r="A536" t="s">
        <v>72</v>
      </c>
      <c r="B536" t="s">
        <v>10686</v>
      </c>
      <c r="C536" t="s">
        <v>74</v>
      </c>
      <c r="D536" t="s">
        <v>74</v>
      </c>
      <c r="E536" t="s">
        <v>74</v>
      </c>
      <c r="F536" t="s">
        <v>10687</v>
      </c>
      <c r="G536" t="s">
        <v>74</v>
      </c>
      <c r="H536" t="s">
        <v>74</v>
      </c>
      <c r="I536" t="s">
        <v>10688</v>
      </c>
      <c r="J536" t="s">
        <v>10689</v>
      </c>
      <c r="K536" t="s">
        <v>74</v>
      </c>
      <c r="L536" t="s">
        <v>74</v>
      </c>
      <c r="M536" t="s">
        <v>78</v>
      </c>
      <c r="N536" t="s">
        <v>79</v>
      </c>
      <c r="O536" t="s">
        <v>74</v>
      </c>
      <c r="P536" t="s">
        <v>74</v>
      </c>
      <c r="Q536" t="s">
        <v>74</v>
      </c>
      <c r="R536" t="s">
        <v>74</v>
      </c>
      <c r="S536" t="s">
        <v>74</v>
      </c>
      <c r="T536" t="s">
        <v>10690</v>
      </c>
      <c r="U536" t="s">
        <v>10691</v>
      </c>
      <c r="V536" t="s">
        <v>10692</v>
      </c>
      <c r="W536" t="s">
        <v>10693</v>
      </c>
      <c r="X536" t="s">
        <v>10694</v>
      </c>
      <c r="Y536" t="s">
        <v>10695</v>
      </c>
      <c r="Z536" t="s">
        <v>10696</v>
      </c>
      <c r="AA536" t="s">
        <v>10697</v>
      </c>
      <c r="AB536" t="s">
        <v>10698</v>
      </c>
      <c r="AC536" t="s">
        <v>10699</v>
      </c>
      <c r="AD536" t="s">
        <v>10700</v>
      </c>
      <c r="AE536" t="s">
        <v>10701</v>
      </c>
      <c r="AF536" t="s">
        <v>74</v>
      </c>
      <c r="AG536">
        <v>77</v>
      </c>
      <c r="AH536">
        <v>10</v>
      </c>
      <c r="AI536">
        <v>10</v>
      </c>
      <c r="AJ536">
        <v>0</v>
      </c>
      <c r="AK536">
        <v>27</v>
      </c>
      <c r="AL536" t="s">
        <v>1973</v>
      </c>
      <c r="AM536" t="s">
        <v>1797</v>
      </c>
      <c r="AN536" t="s">
        <v>5588</v>
      </c>
      <c r="AO536" t="s">
        <v>10702</v>
      </c>
      <c r="AP536" t="s">
        <v>10703</v>
      </c>
      <c r="AQ536" t="s">
        <v>74</v>
      </c>
      <c r="AR536" t="s">
        <v>10704</v>
      </c>
      <c r="AS536" t="s">
        <v>10705</v>
      </c>
      <c r="AT536" t="s">
        <v>2468</v>
      </c>
      <c r="AU536">
        <v>2018</v>
      </c>
      <c r="AV536">
        <v>159</v>
      </c>
      <c r="AW536">
        <v>1</v>
      </c>
      <c r="AX536" t="s">
        <v>74</v>
      </c>
      <c r="AY536" t="s">
        <v>74</v>
      </c>
      <c r="AZ536" t="s">
        <v>74</v>
      </c>
      <c r="BA536" t="s">
        <v>74</v>
      </c>
      <c r="BB536">
        <v>283</v>
      </c>
      <c r="BC536">
        <v>290</v>
      </c>
      <c r="BD536" t="s">
        <v>74</v>
      </c>
      <c r="BE536" t="s">
        <v>10706</v>
      </c>
      <c r="BF536" t="str">
        <f>HYPERLINK("http://dx.doi.org/10.1007/s10336-017-1499-7","http://dx.doi.org/10.1007/s10336-017-1499-7")</f>
        <v>http://dx.doi.org/10.1007/s10336-017-1499-7</v>
      </c>
      <c r="BG536" t="s">
        <v>74</v>
      </c>
      <c r="BH536" t="s">
        <v>74</v>
      </c>
      <c r="BI536">
        <v>8</v>
      </c>
      <c r="BJ536" t="s">
        <v>4328</v>
      </c>
      <c r="BK536" t="s">
        <v>101</v>
      </c>
      <c r="BL536" t="s">
        <v>655</v>
      </c>
      <c r="BM536" t="s">
        <v>10707</v>
      </c>
      <c r="BN536" t="s">
        <v>74</v>
      </c>
      <c r="BO536" t="s">
        <v>74</v>
      </c>
      <c r="BP536" t="s">
        <v>74</v>
      </c>
      <c r="BQ536" t="s">
        <v>74</v>
      </c>
      <c r="BR536" t="s">
        <v>105</v>
      </c>
      <c r="BS536" t="s">
        <v>10708</v>
      </c>
      <c r="BT536" t="str">
        <f>HYPERLINK("https%3A%2F%2Fwww.webofscience.com%2Fwos%2Fwoscc%2Ffull-record%2FWOS:000422933200026","View Full Record in Web of Science")</f>
        <v>View Full Record in Web of Science</v>
      </c>
    </row>
    <row r="537" spans="1:72" x14ac:dyDescent="0.15">
      <c r="A537" t="s">
        <v>72</v>
      </c>
      <c r="B537" t="s">
        <v>10709</v>
      </c>
      <c r="C537" t="s">
        <v>74</v>
      </c>
      <c r="D537" t="s">
        <v>74</v>
      </c>
      <c r="E537" t="s">
        <v>74</v>
      </c>
      <c r="F537" t="s">
        <v>10710</v>
      </c>
      <c r="G537" t="s">
        <v>74</v>
      </c>
      <c r="H537" t="s">
        <v>74</v>
      </c>
      <c r="I537" t="s">
        <v>10711</v>
      </c>
      <c r="J537" t="s">
        <v>3093</v>
      </c>
      <c r="K537" t="s">
        <v>74</v>
      </c>
      <c r="L537" t="s">
        <v>74</v>
      </c>
      <c r="M537" t="s">
        <v>78</v>
      </c>
      <c r="N537" t="s">
        <v>79</v>
      </c>
      <c r="O537" t="s">
        <v>74</v>
      </c>
      <c r="P537" t="s">
        <v>74</v>
      </c>
      <c r="Q537" t="s">
        <v>74</v>
      </c>
      <c r="R537" t="s">
        <v>74</v>
      </c>
      <c r="S537" t="s">
        <v>74</v>
      </c>
      <c r="T537" t="s">
        <v>10712</v>
      </c>
      <c r="U537" t="s">
        <v>10713</v>
      </c>
      <c r="V537" t="s">
        <v>10714</v>
      </c>
      <c r="W537" t="s">
        <v>10715</v>
      </c>
      <c r="X537" t="s">
        <v>10716</v>
      </c>
      <c r="Y537" t="s">
        <v>10717</v>
      </c>
      <c r="Z537" t="s">
        <v>10718</v>
      </c>
      <c r="AA537" t="s">
        <v>74</v>
      </c>
      <c r="AB537" t="s">
        <v>10719</v>
      </c>
      <c r="AC537" t="s">
        <v>10720</v>
      </c>
      <c r="AD537" t="s">
        <v>10721</v>
      </c>
      <c r="AE537" t="s">
        <v>10722</v>
      </c>
      <c r="AF537" t="s">
        <v>74</v>
      </c>
      <c r="AG537">
        <v>25</v>
      </c>
      <c r="AH537">
        <v>6</v>
      </c>
      <c r="AI537">
        <v>7</v>
      </c>
      <c r="AJ537">
        <v>0</v>
      </c>
      <c r="AK537">
        <v>12</v>
      </c>
      <c r="AL537" t="s">
        <v>3106</v>
      </c>
      <c r="AM537" t="s">
        <v>3107</v>
      </c>
      <c r="AN537" t="s">
        <v>3108</v>
      </c>
      <c r="AO537" t="s">
        <v>3109</v>
      </c>
      <c r="AP537" t="s">
        <v>3110</v>
      </c>
      <c r="AQ537" t="s">
        <v>74</v>
      </c>
      <c r="AR537" t="s">
        <v>3111</v>
      </c>
      <c r="AS537" t="s">
        <v>3112</v>
      </c>
      <c r="AT537" t="s">
        <v>74</v>
      </c>
      <c r="AU537">
        <v>2018</v>
      </c>
      <c r="AV537">
        <v>96</v>
      </c>
      <c r="AW537">
        <v>2</v>
      </c>
      <c r="AX537" t="s">
        <v>74</v>
      </c>
      <c r="AY537" t="s">
        <v>74</v>
      </c>
      <c r="AZ537" t="s">
        <v>74</v>
      </c>
      <c r="BA537" t="s">
        <v>74</v>
      </c>
      <c r="BB537">
        <v>201</v>
      </c>
      <c r="BC537">
        <v>214</v>
      </c>
      <c r="BD537" t="s">
        <v>74</v>
      </c>
      <c r="BE537" t="s">
        <v>10723</v>
      </c>
      <c r="BF537" t="str">
        <f>HYPERLINK("http://dx.doi.org/10.2151/jmsj.2018-025","http://dx.doi.org/10.2151/jmsj.2018-025")</f>
        <v>http://dx.doi.org/10.2151/jmsj.2018-025</v>
      </c>
      <c r="BG537" t="s">
        <v>74</v>
      </c>
      <c r="BH537" t="s">
        <v>74</v>
      </c>
      <c r="BI537">
        <v>14</v>
      </c>
      <c r="BJ537" t="s">
        <v>430</v>
      </c>
      <c r="BK537" t="s">
        <v>101</v>
      </c>
      <c r="BL537" t="s">
        <v>430</v>
      </c>
      <c r="BM537" t="s">
        <v>10724</v>
      </c>
      <c r="BN537" t="s">
        <v>74</v>
      </c>
      <c r="BO537" t="s">
        <v>160</v>
      </c>
      <c r="BP537" t="s">
        <v>74</v>
      </c>
      <c r="BQ537" t="s">
        <v>74</v>
      </c>
      <c r="BR537" t="s">
        <v>105</v>
      </c>
      <c r="BS537" t="s">
        <v>10725</v>
      </c>
      <c r="BT537" t="str">
        <f>HYPERLINK("https%3A%2F%2Fwww.webofscience.com%2Fwos%2Fwoscc%2Ffull-record%2FWOS:000434878200009","View Full Record in Web of Science")</f>
        <v>View Full Record in Web of Science</v>
      </c>
    </row>
    <row r="538" spans="1:72" x14ac:dyDescent="0.15">
      <c r="A538" t="s">
        <v>72</v>
      </c>
      <c r="B538" t="s">
        <v>10726</v>
      </c>
      <c r="C538" t="s">
        <v>74</v>
      </c>
      <c r="D538" t="s">
        <v>74</v>
      </c>
      <c r="E538" t="s">
        <v>74</v>
      </c>
      <c r="F538" t="s">
        <v>10727</v>
      </c>
      <c r="G538" t="s">
        <v>74</v>
      </c>
      <c r="H538" t="s">
        <v>74</v>
      </c>
      <c r="I538" t="s">
        <v>10728</v>
      </c>
      <c r="J538" t="s">
        <v>10729</v>
      </c>
      <c r="K538" t="s">
        <v>74</v>
      </c>
      <c r="L538" t="s">
        <v>74</v>
      </c>
      <c r="M538" t="s">
        <v>10730</v>
      </c>
      <c r="N538" t="s">
        <v>1644</v>
      </c>
      <c r="O538" t="s">
        <v>74</v>
      </c>
      <c r="P538" t="s">
        <v>74</v>
      </c>
      <c r="Q538" t="s">
        <v>74</v>
      </c>
      <c r="R538" t="s">
        <v>74</v>
      </c>
      <c r="S538" t="s">
        <v>74</v>
      </c>
      <c r="T538" t="s">
        <v>74</v>
      </c>
      <c r="U538" t="s">
        <v>10731</v>
      </c>
      <c r="V538" t="s">
        <v>74</v>
      </c>
      <c r="W538" t="s">
        <v>10732</v>
      </c>
      <c r="X538" t="s">
        <v>10733</v>
      </c>
      <c r="Y538" t="s">
        <v>10734</v>
      </c>
      <c r="Z538" t="s">
        <v>10735</v>
      </c>
      <c r="AA538" t="s">
        <v>74</v>
      </c>
      <c r="AB538" t="s">
        <v>74</v>
      </c>
      <c r="AC538" t="s">
        <v>74</v>
      </c>
      <c r="AD538" t="s">
        <v>74</v>
      </c>
      <c r="AE538" t="s">
        <v>74</v>
      </c>
      <c r="AF538" t="s">
        <v>74</v>
      </c>
      <c r="AG538">
        <v>6</v>
      </c>
      <c r="AH538">
        <v>0</v>
      </c>
      <c r="AI538">
        <v>0</v>
      </c>
      <c r="AJ538">
        <v>0</v>
      </c>
      <c r="AK538">
        <v>0</v>
      </c>
      <c r="AL538" t="s">
        <v>10736</v>
      </c>
      <c r="AM538" t="s">
        <v>10737</v>
      </c>
      <c r="AN538" t="s">
        <v>10738</v>
      </c>
      <c r="AO538" t="s">
        <v>10739</v>
      </c>
      <c r="AP538" t="s">
        <v>10740</v>
      </c>
      <c r="AQ538" t="s">
        <v>74</v>
      </c>
      <c r="AR538" t="s">
        <v>10741</v>
      </c>
      <c r="AS538" t="s">
        <v>10742</v>
      </c>
      <c r="AT538" t="s">
        <v>74</v>
      </c>
      <c r="AU538">
        <v>2018</v>
      </c>
      <c r="AV538">
        <v>67</v>
      </c>
      <c r="AW538" t="s">
        <v>10743</v>
      </c>
      <c r="AX538" t="s">
        <v>74</v>
      </c>
      <c r="AY538" t="s">
        <v>74</v>
      </c>
      <c r="AZ538" t="s">
        <v>74</v>
      </c>
      <c r="BA538" t="s">
        <v>74</v>
      </c>
      <c r="BB538">
        <v>431</v>
      </c>
      <c r="BC538">
        <v>432</v>
      </c>
      <c r="BD538" t="s">
        <v>74</v>
      </c>
      <c r="BE538" t="s">
        <v>74</v>
      </c>
      <c r="BF538" t="s">
        <v>74</v>
      </c>
      <c r="BG538" t="s">
        <v>74</v>
      </c>
      <c r="BH538" t="s">
        <v>74</v>
      </c>
      <c r="BI538">
        <v>2</v>
      </c>
      <c r="BJ538" t="s">
        <v>10744</v>
      </c>
      <c r="BK538" t="s">
        <v>2081</v>
      </c>
      <c r="BL538" t="s">
        <v>4185</v>
      </c>
      <c r="BM538" t="s">
        <v>10745</v>
      </c>
      <c r="BN538" t="s">
        <v>74</v>
      </c>
      <c r="BO538" t="s">
        <v>74</v>
      </c>
      <c r="BP538" t="s">
        <v>74</v>
      </c>
      <c r="BQ538" t="s">
        <v>74</v>
      </c>
      <c r="BR538" t="s">
        <v>105</v>
      </c>
      <c r="BS538" t="s">
        <v>10746</v>
      </c>
      <c r="BT538" t="str">
        <f>HYPERLINK("https%3A%2F%2Fwww.webofscience.com%2Fwos%2Fwoscc%2Ffull-record%2FWOS:000450864000009","View Full Record in Web of Science")</f>
        <v>View Full Record in Web of Science</v>
      </c>
    </row>
    <row r="539" spans="1:72" x14ac:dyDescent="0.15">
      <c r="A539" t="s">
        <v>72</v>
      </c>
      <c r="B539" t="s">
        <v>5046</v>
      </c>
      <c r="C539" t="s">
        <v>74</v>
      </c>
      <c r="D539" t="s">
        <v>74</v>
      </c>
      <c r="E539" t="s">
        <v>74</v>
      </c>
      <c r="F539" t="s">
        <v>5047</v>
      </c>
      <c r="G539" t="s">
        <v>74</v>
      </c>
      <c r="H539" t="s">
        <v>74</v>
      </c>
      <c r="I539" t="s">
        <v>10747</v>
      </c>
      <c r="J539" t="s">
        <v>3119</v>
      </c>
      <c r="K539" t="s">
        <v>74</v>
      </c>
      <c r="L539" t="s">
        <v>74</v>
      </c>
      <c r="M539" t="s">
        <v>3120</v>
      </c>
      <c r="N539" t="s">
        <v>1644</v>
      </c>
      <c r="O539" t="s">
        <v>74</v>
      </c>
      <c r="P539" t="s">
        <v>74</v>
      </c>
      <c r="Q539" t="s">
        <v>74</v>
      </c>
      <c r="R539" t="s">
        <v>74</v>
      </c>
      <c r="S539" t="s">
        <v>74</v>
      </c>
      <c r="T539" t="s">
        <v>10748</v>
      </c>
      <c r="U539" t="s">
        <v>10749</v>
      </c>
      <c r="V539" t="s">
        <v>10750</v>
      </c>
      <c r="W539" t="s">
        <v>10751</v>
      </c>
      <c r="X539" t="s">
        <v>10752</v>
      </c>
      <c r="Y539" t="s">
        <v>10753</v>
      </c>
      <c r="Z539" t="s">
        <v>10754</v>
      </c>
      <c r="AA539" t="s">
        <v>5041</v>
      </c>
      <c r="AB539" t="s">
        <v>5042</v>
      </c>
      <c r="AC539" t="s">
        <v>74</v>
      </c>
      <c r="AD539" t="s">
        <v>74</v>
      </c>
      <c r="AE539" t="s">
        <v>74</v>
      </c>
      <c r="AF539" t="s">
        <v>74</v>
      </c>
      <c r="AG539">
        <v>13</v>
      </c>
      <c r="AH539">
        <v>3</v>
      </c>
      <c r="AI539">
        <v>3</v>
      </c>
      <c r="AJ539">
        <v>7</v>
      </c>
      <c r="AK539">
        <v>79</v>
      </c>
      <c r="AL539" t="s">
        <v>3129</v>
      </c>
      <c r="AM539" t="s">
        <v>3130</v>
      </c>
      <c r="AN539" t="s">
        <v>3131</v>
      </c>
      <c r="AO539" t="s">
        <v>3132</v>
      </c>
      <c r="AP539" t="s">
        <v>74</v>
      </c>
      <c r="AQ539" t="s">
        <v>74</v>
      </c>
      <c r="AR539" t="s">
        <v>3119</v>
      </c>
      <c r="AS539" t="s">
        <v>3133</v>
      </c>
      <c r="AT539" t="s">
        <v>74</v>
      </c>
      <c r="AU539">
        <v>2018</v>
      </c>
      <c r="AV539">
        <v>46</v>
      </c>
      <c r="AW539">
        <v>1</v>
      </c>
      <c r="AX539" t="s">
        <v>74</v>
      </c>
      <c r="AY539" t="s">
        <v>74</v>
      </c>
      <c r="AZ539" t="s">
        <v>74</v>
      </c>
      <c r="BA539" t="s">
        <v>74</v>
      </c>
      <c r="BB539">
        <v>7</v>
      </c>
      <c r="BC539">
        <v>15</v>
      </c>
      <c r="BD539" t="s">
        <v>74</v>
      </c>
      <c r="BE539" t="s">
        <v>10755</v>
      </c>
      <c r="BF539" t="str">
        <f>HYPERLINK("http://dx.doi.org/10.4067/S0718-22442018000100007","http://dx.doi.org/10.4067/S0718-22442018000100007")</f>
        <v>http://dx.doi.org/10.4067/S0718-22442018000100007</v>
      </c>
      <c r="BG539" t="s">
        <v>74</v>
      </c>
      <c r="BH539" t="s">
        <v>74</v>
      </c>
      <c r="BI539">
        <v>9</v>
      </c>
      <c r="BJ539" t="s">
        <v>3135</v>
      </c>
      <c r="BK539" t="s">
        <v>3136</v>
      </c>
      <c r="BL539" t="s">
        <v>3135</v>
      </c>
      <c r="BM539" t="s">
        <v>5044</v>
      </c>
      <c r="BN539" t="s">
        <v>74</v>
      </c>
      <c r="BO539" t="s">
        <v>3808</v>
      </c>
      <c r="BP539" t="s">
        <v>74</v>
      </c>
      <c r="BQ539" t="s">
        <v>74</v>
      </c>
      <c r="BR539" t="s">
        <v>105</v>
      </c>
      <c r="BS539" t="s">
        <v>10756</v>
      </c>
      <c r="BT539" t="str">
        <f>HYPERLINK("https%3A%2F%2Fwww.webofscience.com%2Fwos%2Fwoscc%2Ffull-record%2FWOS:000444030100001","View Full Record in Web of Science")</f>
        <v>View Full Record in Web of Science</v>
      </c>
    </row>
    <row r="540" spans="1:72" x14ac:dyDescent="0.15">
      <c r="A540" t="s">
        <v>72</v>
      </c>
      <c r="B540" t="s">
        <v>10757</v>
      </c>
      <c r="C540" t="s">
        <v>74</v>
      </c>
      <c r="D540" t="s">
        <v>74</v>
      </c>
      <c r="E540" t="s">
        <v>74</v>
      </c>
      <c r="F540" t="s">
        <v>10758</v>
      </c>
      <c r="G540" t="s">
        <v>74</v>
      </c>
      <c r="H540" t="s">
        <v>74</v>
      </c>
      <c r="I540" t="s">
        <v>10759</v>
      </c>
      <c r="J540" t="s">
        <v>5125</v>
      </c>
      <c r="K540" t="s">
        <v>74</v>
      </c>
      <c r="L540" t="s">
        <v>74</v>
      </c>
      <c r="M540" t="s">
        <v>78</v>
      </c>
      <c r="N540" t="s">
        <v>79</v>
      </c>
      <c r="O540" t="s">
        <v>74</v>
      </c>
      <c r="P540" t="s">
        <v>74</v>
      </c>
      <c r="Q540" t="s">
        <v>74</v>
      </c>
      <c r="R540" t="s">
        <v>74</v>
      </c>
      <c r="S540" t="s">
        <v>74</v>
      </c>
      <c r="T540" t="s">
        <v>74</v>
      </c>
      <c r="U540" t="s">
        <v>10760</v>
      </c>
      <c r="V540" t="s">
        <v>10761</v>
      </c>
      <c r="W540" t="s">
        <v>10762</v>
      </c>
      <c r="X540" t="s">
        <v>10763</v>
      </c>
      <c r="Y540" t="s">
        <v>10764</v>
      </c>
      <c r="Z540" t="s">
        <v>10765</v>
      </c>
      <c r="AA540" t="s">
        <v>10766</v>
      </c>
      <c r="AB540" t="s">
        <v>10767</v>
      </c>
      <c r="AC540" t="s">
        <v>10768</v>
      </c>
      <c r="AD540" t="s">
        <v>10769</v>
      </c>
      <c r="AE540" t="s">
        <v>10770</v>
      </c>
      <c r="AF540" t="s">
        <v>74</v>
      </c>
      <c r="AG540">
        <v>82</v>
      </c>
      <c r="AH540">
        <v>32</v>
      </c>
      <c r="AI540">
        <v>37</v>
      </c>
      <c r="AJ540">
        <v>2</v>
      </c>
      <c r="AK540">
        <v>47</v>
      </c>
      <c r="AL540" t="s">
        <v>3906</v>
      </c>
      <c r="AM540" t="s">
        <v>3907</v>
      </c>
      <c r="AN540" t="s">
        <v>3908</v>
      </c>
      <c r="AO540" t="s">
        <v>5137</v>
      </c>
      <c r="AP540" t="s">
        <v>5138</v>
      </c>
      <c r="AQ540" t="s">
        <v>74</v>
      </c>
      <c r="AR540" t="s">
        <v>5139</v>
      </c>
      <c r="AS540" t="s">
        <v>5140</v>
      </c>
      <c r="AT540" t="s">
        <v>2468</v>
      </c>
      <c r="AU540">
        <v>2018</v>
      </c>
      <c r="AV540">
        <v>165</v>
      </c>
      <c r="AW540">
        <v>1</v>
      </c>
      <c r="AX540" t="s">
        <v>74</v>
      </c>
      <c r="AY540" t="s">
        <v>74</v>
      </c>
      <c r="AZ540" t="s">
        <v>74</v>
      </c>
      <c r="BA540" t="s">
        <v>74</v>
      </c>
      <c r="BB540" t="s">
        <v>74</v>
      </c>
      <c r="BC540" t="s">
        <v>74</v>
      </c>
      <c r="BD540" t="s">
        <v>74</v>
      </c>
      <c r="BE540" t="s">
        <v>10771</v>
      </c>
      <c r="BF540" t="str">
        <f>HYPERLINK("http://dx.doi.org/10.1007/s00227-017-3261-3","http://dx.doi.org/10.1007/s00227-017-3261-3")</f>
        <v>http://dx.doi.org/10.1007/s00227-017-3261-3</v>
      </c>
      <c r="BG540" t="s">
        <v>74</v>
      </c>
      <c r="BH540" t="s">
        <v>74</v>
      </c>
      <c r="BI540">
        <v>12</v>
      </c>
      <c r="BJ540" t="s">
        <v>3180</v>
      </c>
      <c r="BK540" t="s">
        <v>101</v>
      </c>
      <c r="BL540" t="s">
        <v>3180</v>
      </c>
      <c r="BM540" t="s">
        <v>5142</v>
      </c>
      <c r="BN540">
        <v>29170568</v>
      </c>
      <c r="BO540" t="s">
        <v>1568</v>
      </c>
      <c r="BP540" t="s">
        <v>74</v>
      </c>
      <c r="BQ540" t="s">
        <v>74</v>
      </c>
      <c r="BR540" t="s">
        <v>105</v>
      </c>
      <c r="BS540" t="s">
        <v>10772</v>
      </c>
      <c r="BT540" t="str">
        <f>HYPERLINK("https%3A%2F%2Fwww.webofscience.com%2Fwos%2Fwoscc%2Ffull-record%2FWOS:000424325900006","View Full Record in Web of Science")</f>
        <v>View Full Record in Web of Science</v>
      </c>
    </row>
    <row r="541" spans="1:72" x14ac:dyDescent="0.15">
      <c r="A541" t="s">
        <v>1776</v>
      </c>
      <c r="B541" t="s">
        <v>10773</v>
      </c>
      <c r="C541" t="s">
        <v>74</v>
      </c>
      <c r="D541" t="s">
        <v>10774</v>
      </c>
      <c r="E541" t="s">
        <v>74</v>
      </c>
      <c r="F541" t="s">
        <v>10775</v>
      </c>
      <c r="G541" t="s">
        <v>74</v>
      </c>
      <c r="H541" t="s">
        <v>74</v>
      </c>
      <c r="I541" t="s">
        <v>10776</v>
      </c>
      <c r="J541" t="s">
        <v>10777</v>
      </c>
      <c r="K541" t="s">
        <v>74</v>
      </c>
      <c r="L541" t="s">
        <v>74</v>
      </c>
      <c r="M541" t="s">
        <v>78</v>
      </c>
      <c r="N541" t="s">
        <v>1782</v>
      </c>
      <c r="O541" t="s">
        <v>10778</v>
      </c>
      <c r="P541" t="s">
        <v>4598</v>
      </c>
      <c r="Q541" t="s">
        <v>10779</v>
      </c>
      <c r="R541" t="s">
        <v>74</v>
      </c>
      <c r="S541" t="s">
        <v>74</v>
      </c>
      <c r="T541" t="s">
        <v>74</v>
      </c>
      <c r="U541" t="s">
        <v>74</v>
      </c>
      <c r="V541" t="s">
        <v>10780</v>
      </c>
      <c r="W541" t="s">
        <v>10781</v>
      </c>
      <c r="X541" t="s">
        <v>2143</v>
      </c>
      <c r="Y541" t="s">
        <v>10782</v>
      </c>
      <c r="Z541" t="s">
        <v>74</v>
      </c>
      <c r="AA541" t="s">
        <v>74</v>
      </c>
      <c r="AB541" t="s">
        <v>74</v>
      </c>
      <c r="AC541" t="s">
        <v>10783</v>
      </c>
      <c r="AD541" t="s">
        <v>10783</v>
      </c>
      <c r="AE541" t="s">
        <v>10784</v>
      </c>
      <c r="AF541" t="s">
        <v>74</v>
      </c>
      <c r="AG541">
        <v>20</v>
      </c>
      <c r="AH541">
        <v>14</v>
      </c>
      <c r="AI541">
        <v>14</v>
      </c>
      <c r="AJ541">
        <v>1</v>
      </c>
      <c r="AK541">
        <v>8</v>
      </c>
      <c r="AL541" t="s">
        <v>10785</v>
      </c>
      <c r="AM541" t="s">
        <v>7191</v>
      </c>
      <c r="AN541" t="s">
        <v>10786</v>
      </c>
      <c r="AO541" t="s">
        <v>74</v>
      </c>
      <c r="AP541" t="s">
        <v>74</v>
      </c>
      <c r="AQ541" t="s">
        <v>10787</v>
      </c>
      <c r="AR541" t="s">
        <v>74</v>
      </c>
      <c r="AS541" t="s">
        <v>74</v>
      </c>
      <c r="AT541" t="s">
        <v>74</v>
      </c>
      <c r="AU541">
        <v>2018</v>
      </c>
      <c r="AV541" t="s">
        <v>74</v>
      </c>
      <c r="AW541" t="s">
        <v>74</v>
      </c>
      <c r="AX541" t="s">
        <v>74</v>
      </c>
      <c r="AY541" t="s">
        <v>74</v>
      </c>
      <c r="AZ541" t="s">
        <v>74</v>
      </c>
      <c r="BA541" t="s">
        <v>74</v>
      </c>
      <c r="BB541">
        <v>135</v>
      </c>
      <c r="BC541">
        <v>145</v>
      </c>
      <c r="BD541" t="s">
        <v>74</v>
      </c>
      <c r="BE541" t="s">
        <v>74</v>
      </c>
      <c r="BF541" t="s">
        <v>74</v>
      </c>
      <c r="BG541" t="s">
        <v>74</v>
      </c>
      <c r="BH541" t="s">
        <v>74</v>
      </c>
      <c r="BI541">
        <v>11</v>
      </c>
      <c r="BJ541" t="s">
        <v>10788</v>
      </c>
      <c r="BK541" t="s">
        <v>1801</v>
      </c>
      <c r="BL541" t="s">
        <v>10789</v>
      </c>
      <c r="BM541" t="s">
        <v>10790</v>
      </c>
      <c r="BN541" t="s">
        <v>74</v>
      </c>
      <c r="BO541" t="s">
        <v>74</v>
      </c>
      <c r="BP541" t="s">
        <v>74</v>
      </c>
      <c r="BQ541" t="s">
        <v>74</v>
      </c>
      <c r="BR541" t="s">
        <v>105</v>
      </c>
      <c r="BS541" t="s">
        <v>10791</v>
      </c>
      <c r="BT541" t="str">
        <f>HYPERLINK("https%3A%2F%2Fwww.webofscience.com%2Fwos%2Fwoscc%2Ffull-record%2FWOS:000522456400011","View Full Record in Web of Science")</f>
        <v>View Full Record in Web of Science</v>
      </c>
    </row>
    <row r="542" spans="1:72" x14ac:dyDescent="0.15">
      <c r="A542" t="s">
        <v>1776</v>
      </c>
      <c r="B542" t="s">
        <v>10792</v>
      </c>
      <c r="C542" t="s">
        <v>74</v>
      </c>
      <c r="D542" t="s">
        <v>10774</v>
      </c>
      <c r="E542" t="s">
        <v>74</v>
      </c>
      <c r="F542" t="s">
        <v>10793</v>
      </c>
      <c r="G542" t="s">
        <v>74</v>
      </c>
      <c r="H542" t="s">
        <v>74</v>
      </c>
      <c r="I542" t="s">
        <v>10794</v>
      </c>
      <c r="J542" t="s">
        <v>10777</v>
      </c>
      <c r="K542" t="s">
        <v>74</v>
      </c>
      <c r="L542" t="s">
        <v>74</v>
      </c>
      <c r="M542" t="s">
        <v>78</v>
      </c>
      <c r="N542" t="s">
        <v>1782</v>
      </c>
      <c r="O542" t="s">
        <v>10778</v>
      </c>
      <c r="P542" t="s">
        <v>4598</v>
      </c>
      <c r="Q542" t="s">
        <v>10779</v>
      </c>
      <c r="R542" t="s">
        <v>74</v>
      </c>
      <c r="S542" t="s">
        <v>74</v>
      </c>
      <c r="T542" t="s">
        <v>74</v>
      </c>
      <c r="U542" t="s">
        <v>74</v>
      </c>
      <c r="V542" t="s">
        <v>10795</v>
      </c>
      <c r="W542" t="s">
        <v>10796</v>
      </c>
      <c r="X542" t="s">
        <v>10797</v>
      </c>
      <c r="Y542" t="s">
        <v>10798</v>
      </c>
      <c r="Z542" t="s">
        <v>74</v>
      </c>
      <c r="AA542" t="s">
        <v>74</v>
      </c>
      <c r="AB542" t="s">
        <v>74</v>
      </c>
      <c r="AC542" t="s">
        <v>74</v>
      </c>
      <c r="AD542" t="s">
        <v>74</v>
      </c>
      <c r="AE542" t="s">
        <v>74</v>
      </c>
      <c r="AF542" t="s">
        <v>74</v>
      </c>
      <c r="AG542">
        <v>11</v>
      </c>
      <c r="AH542">
        <v>0</v>
      </c>
      <c r="AI542">
        <v>0</v>
      </c>
      <c r="AJ542">
        <v>0</v>
      </c>
      <c r="AK542">
        <v>5</v>
      </c>
      <c r="AL542" t="s">
        <v>10785</v>
      </c>
      <c r="AM542" t="s">
        <v>7191</v>
      </c>
      <c r="AN542" t="s">
        <v>10786</v>
      </c>
      <c r="AO542" t="s">
        <v>74</v>
      </c>
      <c r="AP542" t="s">
        <v>74</v>
      </c>
      <c r="AQ542" t="s">
        <v>10787</v>
      </c>
      <c r="AR542" t="s">
        <v>74</v>
      </c>
      <c r="AS542" t="s">
        <v>74</v>
      </c>
      <c r="AT542" t="s">
        <v>74</v>
      </c>
      <c r="AU542">
        <v>2018</v>
      </c>
      <c r="AV542" t="s">
        <v>74</v>
      </c>
      <c r="AW542" t="s">
        <v>74</v>
      </c>
      <c r="AX542" t="s">
        <v>74</v>
      </c>
      <c r="AY542" t="s">
        <v>74</v>
      </c>
      <c r="AZ542" t="s">
        <v>74</v>
      </c>
      <c r="BA542" t="s">
        <v>74</v>
      </c>
      <c r="BB542">
        <v>801</v>
      </c>
      <c r="BC542">
        <v>807</v>
      </c>
      <c r="BD542" t="s">
        <v>74</v>
      </c>
      <c r="BE542" t="s">
        <v>74</v>
      </c>
      <c r="BF542" t="s">
        <v>74</v>
      </c>
      <c r="BG542" t="s">
        <v>74</v>
      </c>
      <c r="BH542" t="s">
        <v>74</v>
      </c>
      <c r="BI542">
        <v>7</v>
      </c>
      <c r="BJ542" t="s">
        <v>10788</v>
      </c>
      <c r="BK542" t="s">
        <v>1801</v>
      </c>
      <c r="BL542" t="s">
        <v>10789</v>
      </c>
      <c r="BM542" t="s">
        <v>10790</v>
      </c>
      <c r="BN542" t="s">
        <v>74</v>
      </c>
      <c r="BO542" t="s">
        <v>74</v>
      </c>
      <c r="BP542" t="s">
        <v>74</v>
      </c>
      <c r="BQ542" t="s">
        <v>74</v>
      </c>
      <c r="BR542" t="s">
        <v>105</v>
      </c>
      <c r="BS542" t="s">
        <v>10799</v>
      </c>
      <c r="BT542" t="str">
        <f>HYPERLINK("https%3A%2F%2Fwww.webofscience.com%2Fwos%2Fwoscc%2Ffull-record%2FWOS:000522456400078","View Full Record in Web of Science")</f>
        <v>View Full Record in Web of Science</v>
      </c>
    </row>
    <row r="543" spans="1:72" x14ac:dyDescent="0.15">
      <c r="A543" t="s">
        <v>72</v>
      </c>
      <c r="B543" t="s">
        <v>10800</v>
      </c>
      <c r="C543" t="s">
        <v>74</v>
      </c>
      <c r="D543" t="s">
        <v>74</v>
      </c>
      <c r="E543" t="s">
        <v>74</v>
      </c>
      <c r="F543" t="s">
        <v>10801</v>
      </c>
      <c r="G543" t="s">
        <v>74</v>
      </c>
      <c r="H543" t="s">
        <v>74</v>
      </c>
      <c r="I543" t="s">
        <v>10802</v>
      </c>
      <c r="J543" t="s">
        <v>10803</v>
      </c>
      <c r="K543" t="s">
        <v>74</v>
      </c>
      <c r="L543" t="s">
        <v>74</v>
      </c>
      <c r="M543" t="s">
        <v>78</v>
      </c>
      <c r="N543" t="s">
        <v>79</v>
      </c>
      <c r="O543" t="s">
        <v>74</v>
      </c>
      <c r="P543" t="s">
        <v>74</v>
      </c>
      <c r="Q543" t="s">
        <v>74</v>
      </c>
      <c r="R543" t="s">
        <v>74</v>
      </c>
      <c r="S543" t="s">
        <v>74</v>
      </c>
      <c r="T543" t="s">
        <v>10804</v>
      </c>
      <c r="U543" t="s">
        <v>10805</v>
      </c>
      <c r="V543" t="s">
        <v>10806</v>
      </c>
      <c r="W543" t="s">
        <v>10807</v>
      </c>
      <c r="X543" t="s">
        <v>10808</v>
      </c>
      <c r="Y543" t="s">
        <v>10809</v>
      </c>
      <c r="Z543" t="s">
        <v>10810</v>
      </c>
      <c r="AA543" t="s">
        <v>10811</v>
      </c>
      <c r="AB543" t="s">
        <v>10812</v>
      </c>
      <c r="AC543" t="s">
        <v>10813</v>
      </c>
      <c r="AD543" t="s">
        <v>10814</v>
      </c>
      <c r="AE543" t="s">
        <v>10815</v>
      </c>
      <c r="AF543" t="s">
        <v>74</v>
      </c>
      <c r="AG543">
        <v>64</v>
      </c>
      <c r="AH543">
        <v>18</v>
      </c>
      <c r="AI543">
        <v>18</v>
      </c>
      <c r="AJ543">
        <v>0</v>
      </c>
      <c r="AK543">
        <v>29</v>
      </c>
      <c r="AL543" t="s">
        <v>4270</v>
      </c>
      <c r="AM543" t="s">
        <v>4271</v>
      </c>
      <c r="AN543" t="s">
        <v>4272</v>
      </c>
      <c r="AO543" t="s">
        <v>10816</v>
      </c>
      <c r="AP543" t="s">
        <v>10817</v>
      </c>
      <c r="AQ543" t="s">
        <v>74</v>
      </c>
      <c r="AR543" t="s">
        <v>10818</v>
      </c>
      <c r="AS543" t="s">
        <v>10819</v>
      </c>
      <c r="AT543" t="s">
        <v>2468</v>
      </c>
      <c r="AU543">
        <v>2018</v>
      </c>
      <c r="AV543">
        <v>27</v>
      </c>
      <c r="AW543">
        <v>1</v>
      </c>
      <c r="AX543" t="s">
        <v>74</v>
      </c>
      <c r="AY543" t="s">
        <v>74</v>
      </c>
      <c r="AZ543" t="s">
        <v>74</v>
      </c>
      <c r="BA543" t="s">
        <v>74</v>
      </c>
      <c r="BB543">
        <v>54</v>
      </c>
      <c r="BC543">
        <v>65</v>
      </c>
      <c r="BD543" t="s">
        <v>74</v>
      </c>
      <c r="BE543" t="s">
        <v>10820</v>
      </c>
      <c r="BF543" t="str">
        <f>HYPERLINK("http://dx.doi.org/10.1111/mec.14427","http://dx.doi.org/10.1111/mec.14427")</f>
        <v>http://dx.doi.org/10.1111/mec.14427</v>
      </c>
      <c r="BG543" t="s">
        <v>74</v>
      </c>
      <c r="BH543" t="s">
        <v>74</v>
      </c>
      <c r="BI543">
        <v>12</v>
      </c>
      <c r="BJ543" t="s">
        <v>10821</v>
      </c>
      <c r="BK543" t="s">
        <v>101</v>
      </c>
      <c r="BL543" t="s">
        <v>10822</v>
      </c>
      <c r="BM543" t="s">
        <v>10823</v>
      </c>
      <c r="BN543">
        <v>29134719</v>
      </c>
      <c r="BO543" t="s">
        <v>389</v>
      </c>
      <c r="BP543" t="s">
        <v>74</v>
      </c>
      <c r="BQ543" t="s">
        <v>74</v>
      </c>
      <c r="BR543" t="s">
        <v>105</v>
      </c>
      <c r="BS543" t="s">
        <v>10824</v>
      </c>
      <c r="BT543" t="str">
        <f>HYPERLINK("https%3A%2F%2Fwww.webofscience.com%2Fwos%2Fwoscc%2Ffull-record%2FWOS:000424111400005","View Full Record in Web of Science")</f>
        <v>View Full Record in Web of Science</v>
      </c>
    </row>
    <row r="544" spans="1:72" x14ac:dyDescent="0.15">
      <c r="A544" t="s">
        <v>72</v>
      </c>
      <c r="B544" t="s">
        <v>10825</v>
      </c>
      <c r="C544" t="s">
        <v>74</v>
      </c>
      <c r="D544" t="s">
        <v>74</v>
      </c>
      <c r="E544" t="s">
        <v>74</v>
      </c>
      <c r="F544" t="s">
        <v>10826</v>
      </c>
      <c r="G544" t="s">
        <v>74</v>
      </c>
      <c r="H544" t="s">
        <v>74</v>
      </c>
      <c r="I544" t="s">
        <v>10827</v>
      </c>
      <c r="J544" t="s">
        <v>5370</v>
      </c>
      <c r="K544" t="s">
        <v>74</v>
      </c>
      <c r="L544" t="s">
        <v>74</v>
      </c>
      <c r="M544" t="s">
        <v>78</v>
      </c>
      <c r="N544" t="s">
        <v>1644</v>
      </c>
      <c r="O544" t="s">
        <v>74</v>
      </c>
      <c r="P544" t="s">
        <v>74</v>
      </c>
      <c r="Q544" t="s">
        <v>74</v>
      </c>
      <c r="R544" t="s">
        <v>74</v>
      </c>
      <c r="S544" t="s">
        <v>74</v>
      </c>
      <c r="T544" t="s">
        <v>74</v>
      </c>
      <c r="U544" t="s">
        <v>10828</v>
      </c>
      <c r="V544" t="s">
        <v>74</v>
      </c>
      <c r="W544" t="s">
        <v>10829</v>
      </c>
      <c r="X544" t="s">
        <v>10830</v>
      </c>
      <c r="Y544" t="s">
        <v>10831</v>
      </c>
      <c r="Z544" t="s">
        <v>10832</v>
      </c>
      <c r="AA544" t="s">
        <v>10833</v>
      </c>
      <c r="AB544" t="s">
        <v>10834</v>
      </c>
      <c r="AC544" t="s">
        <v>74</v>
      </c>
      <c r="AD544" t="s">
        <v>74</v>
      </c>
      <c r="AE544" t="s">
        <v>74</v>
      </c>
      <c r="AF544" t="s">
        <v>74</v>
      </c>
      <c r="AG544">
        <v>11</v>
      </c>
      <c r="AH544">
        <v>3</v>
      </c>
      <c r="AI544">
        <v>4</v>
      </c>
      <c r="AJ544">
        <v>0</v>
      </c>
      <c r="AK544">
        <v>10</v>
      </c>
      <c r="AL544" t="s">
        <v>673</v>
      </c>
      <c r="AM544" t="s">
        <v>92</v>
      </c>
      <c r="AN544" t="s">
        <v>674</v>
      </c>
      <c r="AO544" t="s">
        <v>5382</v>
      </c>
      <c r="AP544" t="s">
        <v>5383</v>
      </c>
      <c r="AQ544" t="s">
        <v>74</v>
      </c>
      <c r="AR544" t="s">
        <v>5384</v>
      </c>
      <c r="AS544" t="s">
        <v>5385</v>
      </c>
      <c r="AT544" t="s">
        <v>2468</v>
      </c>
      <c r="AU544">
        <v>2018</v>
      </c>
      <c r="AV544">
        <v>8</v>
      </c>
      <c r="AW544">
        <v>1</v>
      </c>
      <c r="AX544" t="s">
        <v>74</v>
      </c>
      <c r="AY544" t="s">
        <v>74</v>
      </c>
      <c r="AZ544" t="s">
        <v>74</v>
      </c>
      <c r="BA544" t="s">
        <v>74</v>
      </c>
      <c r="BB544">
        <v>15</v>
      </c>
      <c r="BC544">
        <v>16</v>
      </c>
      <c r="BD544" t="s">
        <v>74</v>
      </c>
      <c r="BE544" t="s">
        <v>10835</v>
      </c>
      <c r="BF544" t="str">
        <f>HYPERLINK("http://dx.doi.org/10.1038/s41558-017-0037-1","http://dx.doi.org/10.1038/s41558-017-0037-1")</f>
        <v>http://dx.doi.org/10.1038/s41558-017-0037-1</v>
      </c>
      <c r="BG544" t="s">
        <v>74</v>
      </c>
      <c r="BH544" t="s">
        <v>74</v>
      </c>
      <c r="BI544">
        <v>3</v>
      </c>
      <c r="BJ544" t="s">
        <v>5387</v>
      </c>
      <c r="BK544" t="s">
        <v>2471</v>
      </c>
      <c r="BL544" t="s">
        <v>184</v>
      </c>
      <c r="BM544" t="s">
        <v>5388</v>
      </c>
      <c r="BN544" t="s">
        <v>74</v>
      </c>
      <c r="BO544" t="s">
        <v>74</v>
      </c>
      <c r="BP544" t="s">
        <v>74</v>
      </c>
      <c r="BQ544" t="s">
        <v>74</v>
      </c>
      <c r="BR544" t="s">
        <v>105</v>
      </c>
      <c r="BS544" t="s">
        <v>10836</v>
      </c>
      <c r="BT544" t="str">
        <f>HYPERLINK("https%3A%2F%2Fwww.webofscience.com%2Fwos%2Fwoscc%2Ffull-record%2FWOS:000423840000011","View Full Record in Web of Science")</f>
        <v>View Full Record in Web of Science</v>
      </c>
    </row>
    <row r="545" spans="1:72" x14ac:dyDescent="0.15">
      <c r="A545" t="s">
        <v>72</v>
      </c>
      <c r="B545" t="s">
        <v>10837</v>
      </c>
      <c r="C545" t="s">
        <v>74</v>
      </c>
      <c r="D545" t="s">
        <v>74</v>
      </c>
      <c r="E545" t="s">
        <v>74</v>
      </c>
      <c r="F545" t="s">
        <v>10838</v>
      </c>
      <c r="G545" t="s">
        <v>74</v>
      </c>
      <c r="H545" t="s">
        <v>74</v>
      </c>
      <c r="I545" t="s">
        <v>10839</v>
      </c>
      <c r="J545" t="s">
        <v>5370</v>
      </c>
      <c r="K545" t="s">
        <v>74</v>
      </c>
      <c r="L545" t="s">
        <v>74</v>
      </c>
      <c r="M545" t="s">
        <v>78</v>
      </c>
      <c r="N545" t="s">
        <v>79</v>
      </c>
      <c r="O545" t="s">
        <v>74</v>
      </c>
      <c r="P545" t="s">
        <v>74</v>
      </c>
      <c r="Q545" t="s">
        <v>74</v>
      </c>
      <c r="R545" t="s">
        <v>74</v>
      </c>
      <c r="S545" t="s">
        <v>74</v>
      </c>
      <c r="T545" t="s">
        <v>74</v>
      </c>
      <c r="U545" t="s">
        <v>10840</v>
      </c>
      <c r="V545" t="s">
        <v>10841</v>
      </c>
      <c r="W545" t="s">
        <v>10842</v>
      </c>
      <c r="X545" t="s">
        <v>10843</v>
      </c>
      <c r="Y545" t="s">
        <v>10844</v>
      </c>
      <c r="Z545" t="s">
        <v>10845</v>
      </c>
      <c r="AA545" t="s">
        <v>10846</v>
      </c>
      <c r="AB545" t="s">
        <v>10847</v>
      </c>
      <c r="AC545" t="s">
        <v>10848</v>
      </c>
      <c r="AD545" t="s">
        <v>10849</v>
      </c>
      <c r="AE545" t="s">
        <v>10850</v>
      </c>
      <c r="AF545" t="s">
        <v>74</v>
      </c>
      <c r="AG545">
        <v>48</v>
      </c>
      <c r="AH545">
        <v>154</v>
      </c>
      <c r="AI545">
        <v>165</v>
      </c>
      <c r="AJ545">
        <v>0</v>
      </c>
      <c r="AK545">
        <v>50</v>
      </c>
      <c r="AL545" t="s">
        <v>673</v>
      </c>
      <c r="AM545" t="s">
        <v>92</v>
      </c>
      <c r="AN545" t="s">
        <v>674</v>
      </c>
      <c r="AO545" t="s">
        <v>5382</v>
      </c>
      <c r="AP545" t="s">
        <v>5383</v>
      </c>
      <c r="AQ545" t="s">
        <v>74</v>
      </c>
      <c r="AR545" t="s">
        <v>5384</v>
      </c>
      <c r="AS545" t="s">
        <v>5385</v>
      </c>
      <c r="AT545" t="s">
        <v>2468</v>
      </c>
      <c r="AU545">
        <v>2018</v>
      </c>
      <c r="AV545">
        <v>8</v>
      </c>
      <c r="AW545">
        <v>1</v>
      </c>
      <c r="AX545" t="s">
        <v>74</v>
      </c>
      <c r="AY545" t="s">
        <v>74</v>
      </c>
      <c r="AZ545" t="s">
        <v>74</v>
      </c>
      <c r="BA545" t="s">
        <v>74</v>
      </c>
      <c r="BB545">
        <v>53</v>
      </c>
      <c r="BC545" t="s">
        <v>1565</v>
      </c>
      <c r="BD545" t="s">
        <v>74</v>
      </c>
      <c r="BE545" t="s">
        <v>10851</v>
      </c>
      <c r="BF545" t="str">
        <f>HYPERLINK("http://dx.doi.org/10.1038/s41558-017-0020-x","http://dx.doi.org/10.1038/s41558-017-0020-x")</f>
        <v>http://dx.doi.org/10.1038/s41558-017-0020-x</v>
      </c>
      <c r="BG545" t="s">
        <v>74</v>
      </c>
      <c r="BH545" t="s">
        <v>74</v>
      </c>
      <c r="BI545">
        <v>7</v>
      </c>
      <c r="BJ545" t="s">
        <v>5387</v>
      </c>
      <c r="BK545" t="s">
        <v>2471</v>
      </c>
      <c r="BL545" t="s">
        <v>184</v>
      </c>
      <c r="BM545" t="s">
        <v>5388</v>
      </c>
      <c r="BN545" t="s">
        <v>74</v>
      </c>
      <c r="BO545" t="s">
        <v>74</v>
      </c>
      <c r="BP545" t="s">
        <v>74</v>
      </c>
      <c r="BQ545" t="s">
        <v>74</v>
      </c>
      <c r="BR545" t="s">
        <v>105</v>
      </c>
      <c r="BS545" t="s">
        <v>10852</v>
      </c>
      <c r="BT545" t="str">
        <f>HYPERLINK("https%3A%2F%2Fwww.webofscience.com%2Fwos%2Fwoscc%2Ffull-record%2FWOS:000423840000020","View Full Record in Web of Science")</f>
        <v>View Full Record in Web of Science</v>
      </c>
    </row>
    <row r="546" spans="1:72" x14ac:dyDescent="0.15">
      <c r="A546" t="s">
        <v>72</v>
      </c>
      <c r="B546" t="s">
        <v>10853</v>
      </c>
      <c r="C546" t="s">
        <v>74</v>
      </c>
      <c r="D546" t="s">
        <v>74</v>
      </c>
      <c r="E546" t="s">
        <v>74</v>
      </c>
      <c r="F546" t="s">
        <v>10854</v>
      </c>
      <c r="G546" t="s">
        <v>74</v>
      </c>
      <c r="H546" t="s">
        <v>74</v>
      </c>
      <c r="I546" t="s">
        <v>10855</v>
      </c>
      <c r="J546" t="s">
        <v>9630</v>
      </c>
      <c r="K546" t="s">
        <v>74</v>
      </c>
      <c r="L546" t="s">
        <v>74</v>
      </c>
      <c r="M546" t="s">
        <v>78</v>
      </c>
      <c r="N546" t="s">
        <v>1644</v>
      </c>
      <c r="O546" t="s">
        <v>74</v>
      </c>
      <c r="P546" t="s">
        <v>74</v>
      </c>
      <c r="Q546" t="s">
        <v>74</v>
      </c>
      <c r="R546" t="s">
        <v>74</v>
      </c>
      <c r="S546" t="s">
        <v>74</v>
      </c>
      <c r="T546" t="s">
        <v>10856</v>
      </c>
      <c r="U546" t="s">
        <v>10857</v>
      </c>
      <c r="V546" t="s">
        <v>10858</v>
      </c>
      <c r="W546" t="s">
        <v>10859</v>
      </c>
      <c r="X546" t="s">
        <v>10860</v>
      </c>
      <c r="Y546" t="s">
        <v>10861</v>
      </c>
      <c r="Z546" t="s">
        <v>10862</v>
      </c>
      <c r="AA546" t="s">
        <v>74</v>
      </c>
      <c r="AB546" t="s">
        <v>10863</v>
      </c>
      <c r="AC546" t="s">
        <v>74</v>
      </c>
      <c r="AD546" t="s">
        <v>74</v>
      </c>
      <c r="AE546" t="s">
        <v>74</v>
      </c>
      <c r="AF546" t="s">
        <v>74</v>
      </c>
      <c r="AG546">
        <v>41</v>
      </c>
      <c r="AH546">
        <v>10</v>
      </c>
      <c r="AI546">
        <v>11</v>
      </c>
      <c r="AJ546">
        <v>3</v>
      </c>
      <c r="AK546">
        <v>54</v>
      </c>
      <c r="AL546" t="s">
        <v>8752</v>
      </c>
      <c r="AM546" t="s">
        <v>1140</v>
      </c>
      <c r="AN546" t="s">
        <v>8753</v>
      </c>
      <c r="AO546" t="s">
        <v>9641</v>
      </c>
      <c r="AP546" t="s">
        <v>9642</v>
      </c>
      <c r="AQ546" t="s">
        <v>74</v>
      </c>
      <c r="AR546" t="s">
        <v>9643</v>
      </c>
      <c r="AS546" t="s">
        <v>9644</v>
      </c>
      <c r="AT546" t="s">
        <v>4251</v>
      </c>
      <c r="AU546">
        <v>2018</v>
      </c>
      <c r="AV546">
        <v>151</v>
      </c>
      <c r="AW546" t="s">
        <v>74</v>
      </c>
      <c r="AX546" t="s">
        <v>74</v>
      </c>
      <c r="AY546" t="s">
        <v>74</v>
      </c>
      <c r="AZ546" t="s">
        <v>74</v>
      </c>
      <c r="BA546" t="s">
        <v>74</v>
      </c>
      <c r="BB546">
        <v>193</v>
      </c>
      <c r="BC546">
        <v>200</v>
      </c>
      <c r="BD546" t="s">
        <v>74</v>
      </c>
      <c r="BE546" t="s">
        <v>10864</v>
      </c>
      <c r="BF546" t="str">
        <f>HYPERLINK("http://dx.doi.org/10.1016/j.ocecoaman.2016.11.006","http://dx.doi.org/10.1016/j.ocecoaman.2016.11.006")</f>
        <v>http://dx.doi.org/10.1016/j.ocecoaman.2016.11.006</v>
      </c>
      <c r="BG546" t="s">
        <v>74</v>
      </c>
      <c r="BH546" t="s">
        <v>74</v>
      </c>
      <c r="BI546">
        <v>8</v>
      </c>
      <c r="BJ546" t="s">
        <v>9646</v>
      </c>
      <c r="BK546" t="s">
        <v>2471</v>
      </c>
      <c r="BL546" t="s">
        <v>9646</v>
      </c>
      <c r="BM546" t="s">
        <v>9647</v>
      </c>
      <c r="BN546" t="s">
        <v>74</v>
      </c>
      <c r="BO546" t="s">
        <v>74</v>
      </c>
      <c r="BP546" t="s">
        <v>74</v>
      </c>
      <c r="BQ546" t="s">
        <v>74</v>
      </c>
      <c r="BR546" t="s">
        <v>105</v>
      </c>
      <c r="BS546" t="s">
        <v>10865</v>
      </c>
      <c r="BT546" t="str">
        <f>HYPERLINK("https%3A%2F%2Fwww.webofscience.com%2Fwos%2Fwoscc%2Ffull-record%2FWOS:000418973100019","View Full Record in Web of Science")</f>
        <v>View Full Record in Web of Science</v>
      </c>
    </row>
    <row r="547" spans="1:72" x14ac:dyDescent="0.15">
      <c r="A547" t="s">
        <v>72</v>
      </c>
      <c r="B547" t="s">
        <v>10866</v>
      </c>
      <c r="C547" t="s">
        <v>74</v>
      </c>
      <c r="D547" t="s">
        <v>74</v>
      </c>
      <c r="E547" t="s">
        <v>74</v>
      </c>
      <c r="F547" t="s">
        <v>10867</v>
      </c>
      <c r="G547" t="s">
        <v>74</v>
      </c>
      <c r="H547" t="s">
        <v>74</v>
      </c>
      <c r="I547" t="s">
        <v>10868</v>
      </c>
      <c r="J547" t="s">
        <v>10869</v>
      </c>
      <c r="K547" t="s">
        <v>74</v>
      </c>
      <c r="L547" t="s">
        <v>74</v>
      </c>
      <c r="M547" t="s">
        <v>78</v>
      </c>
      <c r="N547" t="s">
        <v>289</v>
      </c>
      <c r="O547" t="s">
        <v>74</v>
      </c>
      <c r="P547" t="s">
        <v>74</v>
      </c>
      <c r="Q547" t="s">
        <v>74</v>
      </c>
      <c r="R547" t="s">
        <v>74</v>
      </c>
      <c r="S547" t="s">
        <v>74</v>
      </c>
      <c r="T547" t="s">
        <v>10870</v>
      </c>
      <c r="U547" t="s">
        <v>10871</v>
      </c>
      <c r="V547" t="s">
        <v>10872</v>
      </c>
      <c r="W547" t="s">
        <v>10873</v>
      </c>
      <c r="X547" t="s">
        <v>10874</v>
      </c>
      <c r="Y547" t="s">
        <v>10875</v>
      </c>
      <c r="Z547" t="s">
        <v>10876</v>
      </c>
      <c r="AA547" t="s">
        <v>10877</v>
      </c>
      <c r="AB547" t="s">
        <v>10878</v>
      </c>
      <c r="AC547" t="s">
        <v>10879</v>
      </c>
      <c r="AD547" t="s">
        <v>10880</v>
      </c>
      <c r="AE547" t="s">
        <v>10881</v>
      </c>
      <c r="AF547" t="s">
        <v>74</v>
      </c>
      <c r="AG547">
        <v>299</v>
      </c>
      <c r="AH547">
        <v>293</v>
      </c>
      <c r="AI547">
        <v>313</v>
      </c>
      <c r="AJ547">
        <v>19</v>
      </c>
      <c r="AK547">
        <v>138</v>
      </c>
      <c r="AL547" t="s">
        <v>8752</v>
      </c>
      <c r="AM547" t="s">
        <v>1140</v>
      </c>
      <c r="AN547" t="s">
        <v>8753</v>
      </c>
      <c r="AO547" t="s">
        <v>10882</v>
      </c>
      <c r="AP547" t="s">
        <v>10883</v>
      </c>
      <c r="AQ547" t="s">
        <v>74</v>
      </c>
      <c r="AR547" t="s">
        <v>10884</v>
      </c>
      <c r="AS547" t="s">
        <v>10885</v>
      </c>
      <c r="AT547" t="s">
        <v>2468</v>
      </c>
      <c r="AU547">
        <v>2018</v>
      </c>
      <c r="AV547">
        <v>121</v>
      </c>
      <c r="AW547" t="s">
        <v>74</v>
      </c>
      <c r="AX547" t="s">
        <v>74</v>
      </c>
      <c r="AY547" t="s">
        <v>74</v>
      </c>
      <c r="AZ547" t="s">
        <v>74</v>
      </c>
      <c r="BA547" t="s">
        <v>74</v>
      </c>
      <c r="BB547">
        <v>49</v>
      </c>
      <c r="BC547">
        <v>75</v>
      </c>
      <c r="BD547" t="s">
        <v>74</v>
      </c>
      <c r="BE547" t="s">
        <v>10886</v>
      </c>
      <c r="BF547" t="str">
        <f>HYPERLINK("http://dx.doi.org/10.1016/j.ocemod.2017.11.008","http://dx.doi.org/10.1016/j.ocemod.2017.11.008")</f>
        <v>http://dx.doi.org/10.1016/j.ocemod.2017.11.008</v>
      </c>
      <c r="BG547" t="s">
        <v>74</v>
      </c>
      <c r="BH547" t="s">
        <v>74</v>
      </c>
      <c r="BI547">
        <v>27</v>
      </c>
      <c r="BJ547" t="s">
        <v>4750</v>
      </c>
      <c r="BK547" t="s">
        <v>101</v>
      </c>
      <c r="BL547" t="s">
        <v>4750</v>
      </c>
      <c r="BM547" t="s">
        <v>10887</v>
      </c>
      <c r="BN547" t="s">
        <v>74</v>
      </c>
      <c r="BO547" t="s">
        <v>4418</v>
      </c>
      <c r="BP547" t="s">
        <v>4700</v>
      </c>
      <c r="BQ547" t="s">
        <v>4701</v>
      </c>
      <c r="BR547" t="s">
        <v>105</v>
      </c>
      <c r="BS547" t="s">
        <v>10888</v>
      </c>
      <c r="BT547" t="str">
        <f>HYPERLINK("https%3A%2F%2Fwww.webofscience.com%2Fwos%2Fwoscc%2Ffull-record%2FWOS:000418321100004","View Full Record in Web of Science")</f>
        <v>View Full Record in Web of Science</v>
      </c>
    </row>
    <row r="548" spans="1:72" x14ac:dyDescent="0.15">
      <c r="A548" t="s">
        <v>72</v>
      </c>
      <c r="B548" t="s">
        <v>10889</v>
      </c>
      <c r="C548" t="s">
        <v>74</v>
      </c>
      <c r="D548" t="s">
        <v>74</v>
      </c>
      <c r="E548" t="s">
        <v>74</v>
      </c>
      <c r="F548" t="s">
        <v>10890</v>
      </c>
      <c r="G548" t="s">
        <v>74</v>
      </c>
      <c r="H548" t="s">
        <v>74</v>
      </c>
      <c r="I548" t="s">
        <v>10891</v>
      </c>
      <c r="J548" t="s">
        <v>10869</v>
      </c>
      <c r="K548" t="s">
        <v>74</v>
      </c>
      <c r="L548" t="s">
        <v>74</v>
      </c>
      <c r="M548" t="s">
        <v>78</v>
      </c>
      <c r="N548" t="s">
        <v>79</v>
      </c>
      <c r="O548" t="s">
        <v>74</v>
      </c>
      <c r="P548" t="s">
        <v>74</v>
      </c>
      <c r="Q548" t="s">
        <v>74</v>
      </c>
      <c r="R548" t="s">
        <v>74</v>
      </c>
      <c r="S548" t="s">
        <v>74</v>
      </c>
      <c r="T548" t="s">
        <v>10892</v>
      </c>
      <c r="U548" t="s">
        <v>10893</v>
      </c>
      <c r="V548" t="s">
        <v>10894</v>
      </c>
      <c r="W548" t="s">
        <v>10895</v>
      </c>
      <c r="X548" t="s">
        <v>10896</v>
      </c>
      <c r="Y548" t="s">
        <v>10897</v>
      </c>
      <c r="Z548" t="s">
        <v>10898</v>
      </c>
      <c r="AA548" t="s">
        <v>10899</v>
      </c>
      <c r="AB548" t="s">
        <v>10900</v>
      </c>
      <c r="AC548" t="s">
        <v>10901</v>
      </c>
      <c r="AD548" t="s">
        <v>10902</v>
      </c>
      <c r="AE548" t="s">
        <v>10903</v>
      </c>
      <c r="AF548" t="s">
        <v>74</v>
      </c>
      <c r="AG548">
        <v>77</v>
      </c>
      <c r="AH548">
        <v>29</v>
      </c>
      <c r="AI548">
        <v>31</v>
      </c>
      <c r="AJ548">
        <v>4</v>
      </c>
      <c r="AK548">
        <v>26</v>
      </c>
      <c r="AL548" t="s">
        <v>8752</v>
      </c>
      <c r="AM548" t="s">
        <v>1140</v>
      </c>
      <c r="AN548" t="s">
        <v>8753</v>
      </c>
      <c r="AO548" t="s">
        <v>10882</v>
      </c>
      <c r="AP548" t="s">
        <v>10883</v>
      </c>
      <c r="AQ548" t="s">
        <v>74</v>
      </c>
      <c r="AR548" t="s">
        <v>10884</v>
      </c>
      <c r="AS548" t="s">
        <v>10885</v>
      </c>
      <c r="AT548" t="s">
        <v>2468</v>
      </c>
      <c r="AU548">
        <v>2018</v>
      </c>
      <c r="AV548">
        <v>121</v>
      </c>
      <c r="AW548" t="s">
        <v>74</v>
      </c>
      <c r="AX548" t="s">
        <v>74</v>
      </c>
      <c r="AY548" t="s">
        <v>74</v>
      </c>
      <c r="AZ548" t="s">
        <v>74</v>
      </c>
      <c r="BA548" t="s">
        <v>74</v>
      </c>
      <c r="BB548">
        <v>76</v>
      </c>
      <c r="BC548">
        <v>89</v>
      </c>
      <c r="BD548" t="s">
        <v>74</v>
      </c>
      <c r="BE548" t="s">
        <v>10904</v>
      </c>
      <c r="BF548" t="str">
        <f>HYPERLINK("http://dx.doi.org/10.1016/j.ocemod.2017.11.009","http://dx.doi.org/10.1016/j.ocemod.2017.11.009")</f>
        <v>http://dx.doi.org/10.1016/j.ocemod.2017.11.009</v>
      </c>
      <c r="BG548" t="s">
        <v>74</v>
      </c>
      <c r="BH548" t="s">
        <v>74</v>
      </c>
      <c r="BI548">
        <v>14</v>
      </c>
      <c r="BJ548" t="s">
        <v>4750</v>
      </c>
      <c r="BK548" t="s">
        <v>101</v>
      </c>
      <c r="BL548" t="s">
        <v>4750</v>
      </c>
      <c r="BM548" t="s">
        <v>10887</v>
      </c>
      <c r="BN548" t="s">
        <v>74</v>
      </c>
      <c r="BO548" t="s">
        <v>74</v>
      </c>
      <c r="BP548" t="s">
        <v>74</v>
      </c>
      <c r="BQ548" t="s">
        <v>74</v>
      </c>
      <c r="BR548" t="s">
        <v>105</v>
      </c>
      <c r="BS548" t="s">
        <v>10905</v>
      </c>
      <c r="BT548" t="str">
        <f>HYPERLINK("https%3A%2F%2Fwww.webofscience.com%2Fwos%2Fwoscc%2Ffull-record%2FWOS:000418321100005","View Full Record in Web of Science")</f>
        <v>View Full Record in Web of Science</v>
      </c>
    </row>
    <row r="549" spans="1:72" x14ac:dyDescent="0.15">
      <c r="A549" t="s">
        <v>72</v>
      </c>
      <c r="B549" t="s">
        <v>10906</v>
      </c>
      <c r="C549" t="s">
        <v>74</v>
      </c>
      <c r="D549" t="s">
        <v>74</v>
      </c>
      <c r="E549" t="s">
        <v>74</v>
      </c>
      <c r="F549" t="s">
        <v>10907</v>
      </c>
      <c r="G549" t="s">
        <v>74</v>
      </c>
      <c r="H549" t="s">
        <v>74</v>
      </c>
      <c r="I549" t="s">
        <v>10908</v>
      </c>
      <c r="J549" t="s">
        <v>10869</v>
      </c>
      <c r="K549" t="s">
        <v>74</v>
      </c>
      <c r="L549" t="s">
        <v>74</v>
      </c>
      <c r="M549" t="s">
        <v>78</v>
      </c>
      <c r="N549" t="s">
        <v>79</v>
      </c>
      <c r="O549" t="s">
        <v>74</v>
      </c>
      <c r="P549" t="s">
        <v>74</v>
      </c>
      <c r="Q549" t="s">
        <v>74</v>
      </c>
      <c r="R549" t="s">
        <v>74</v>
      </c>
      <c r="S549" t="s">
        <v>74</v>
      </c>
      <c r="T549" t="s">
        <v>10909</v>
      </c>
      <c r="U549" t="s">
        <v>10910</v>
      </c>
      <c r="V549" t="s">
        <v>10911</v>
      </c>
      <c r="W549" t="s">
        <v>10912</v>
      </c>
      <c r="X549" t="s">
        <v>10913</v>
      </c>
      <c r="Y549" t="s">
        <v>10914</v>
      </c>
      <c r="Z549" t="s">
        <v>10915</v>
      </c>
      <c r="AA549" t="s">
        <v>10916</v>
      </c>
      <c r="AB549" t="s">
        <v>10917</v>
      </c>
      <c r="AC549" t="s">
        <v>10918</v>
      </c>
      <c r="AD549" t="s">
        <v>10919</v>
      </c>
      <c r="AE549" t="s">
        <v>10920</v>
      </c>
      <c r="AF549" t="s">
        <v>74</v>
      </c>
      <c r="AG549">
        <v>84</v>
      </c>
      <c r="AH549">
        <v>20</v>
      </c>
      <c r="AI549">
        <v>20</v>
      </c>
      <c r="AJ549">
        <v>2</v>
      </c>
      <c r="AK549">
        <v>15</v>
      </c>
      <c r="AL549" t="s">
        <v>8752</v>
      </c>
      <c r="AM549" t="s">
        <v>1140</v>
      </c>
      <c r="AN549" t="s">
        <v>8753</v>
      </c>
      <c r="AO549" t="s">
        <v>10882</v>
      </c>
      <c r="AP549" t="s">
        <v>10883</v>
      </c>
      <c r="AQ549" t="s">
        <v>74</v>
      </c>
      <c r="AR549" t="s">
        <v>10884</v>
      </c>
      <c r="AS549" t="s">
        <v>10885</v>
      </c>
      <c r="AT549" t="s">
        <v>2468</v>
      </c>
      <c r="AU549">
        <v>2018</v>
      </c>
      <c r="AV549">
        <v>121</v>
      </c>
      <c r="AW549" t="s">
        <v>74</v>
      </c>
      <c r="AX549" t="s">
        <v>74</v>
      </c>
      <c r="AY549" t="s">
        <v>74</v>
      </c>
      <c r="AZ549" t="s">
        <v>74</v>
      </c>
      <c r="BA549" t="s">
        <v>74</v>
      </c>
      <c r="BB549">
        <v>117</v>
      </c>
      <c r="BC549">
        <v>131</v>
      </c>
      <c r="BD549" t="s">
        <v>74</v>
      </c>
      <c r="BE549" t="s">
        <v>10921</v>
      </c>
      <c r="BF549" t="str">
        <f>HYPERLINK("http://dx.doi.org/10.1016/j.ocemod.2017.12.002","http://dx.doi.org/10.1016/j.ocemod.2017.12.002")</f>
        <v>http://dx.doi.org/10.1016/j.ocemod.2017.12.002</v>
      </c>
      <c r="BG549" t="s">
        <v>74</v>
      </c>
      <c r="BH549" t="s">
        <v>74</v>
      </c>
      <c r="BI549">
        <v>15</v>
      </c>
      <c r="BJ549" t="s">
        <v>4750</v>
      </c>
      <c r="BK549" t="s">
        <v>101</v>
      </c>
      <c r="BL549" t="s">
        <v>4750</v>
      </c>
      <c r="BM549" t="s">
        <v>10887</v>
      </c>
      <c r="BN549" t="s">
        <v>74</v>
      </c>
      <c r="BO549" t="s">
        <v>5571</v>
      </c>
      <c r="BP549" t="s">
        <v>74</v>
      </c>
      <c r="BQ549" t="s">
        <v>74</v>
      </c>
      <c r="BR549" t="s">
        <v>105</v>
      </c>
      <c r="BS549" t="s">
        <v>10922</v>
      </c>
      <c r="BT549" t="str">
        <f>HYPERLINK("https%3A%2F%2Fwww.webofscience.com%2Fwos%2Fwoscc%2Ffull-record%2FWOS:000418321100008","View Full Record in Web of Science")</f>
        <v>View Full Record in Web of Science</v>
      </c>
    </row>
    <row r="550" spans="1:72" x14ac:dyDescent="0.15">
      <c r="A550" t="s">
        <v>1831</v>
      </c>
      <c r="B550" t="s">
        <v>10923</v>
      </c>
      <c r="C550" t="s">
        <v>74</v>
      </c>
      <c r="D550" t="s">
        <v>10924</v>
      </c>
      <c r="E550" t="s">
        <v>74</v>
      </c>
      <c r="F550" t="s">
        <v>10925</v>
      </c>
      <c r="G550" t="s">
        <v>74</v>
      </c>
      <c r="H550" t="s">
        <v>74</v>
      </c>
      <c r="I550" t="s">
        <v>10926</v>
      </c>
      <c r="J550" t="s">
        <v>10927</v>
      </c>
      <c r="K550" t="s">
        <v>10928</v>
      </c>
      <c r="L550" t="s">
        <v>74</v>
      </c>
      <c r="M550" t="s">
        <v>78</v>
      </c>
      <c r="N550" t="s">
        <v>1862</v>
      </c>
      <c r="O550" t="s">
        <v>74</v>
      </c>
      <c r="P550" t="s">
        <v>74</v>
      </c>
      <c r="Q550" t="s">
        <v>74</v>
      </c>
      <c r="R550" t="s">
        <v>74</v>
      </c>
      <c r="S550" t="s">
        <v>74</v>
      </c>
      <c r="T550" t="s">
        <v>74</v>
      </c>
      <c r="U550" t="s">
        <v>10929</v>
      </c>
      <c r="V550" t="s">
        <v>10930</v>
      </c>
      <c r="W550" t="s">
        <v>10931</v>
      </c>
      <c r="X550" t="s">
        <v>10932</v>
      </c>
      <c r="Y550" t="s">
        <v>10933</v>
      </c>
      <c r="Z550" t="s">
        <v>10934</v>
      </c>
      <c r="AA550" t="s">
        <v>10935</v>
      </c>
      <c r="AB550" t="s">
        <v>10936</v>
      </c>
      <c r="AC550" t="s">
        <v>10937</v>
      </c>
      <c r="AD550" t="s">
        <v>10937</v>
      </c>
      <c r="AE550" t="s">
        <v>10938</v>
      </c>
      <c r="AF550" t="s">
        <v>74</v>
      </c>
      <c r="AG550">
        <v>558</v>
      </c>
      <c r="AH550">
        <v>3</v>
      </c>
      <c r="AI550">
        <v>3</v>
      </c>
      <c r="AJ550">
        <v>1</v>
      </c>
      <c r="AK550">
        <v>40</v>
      </c>
      <c r="AL550" t="s">
        <v>6024</v>
      </c>
      <c r="AM550" t="s">
        <v>6025</v>
      </c>
      <c r="AN550" t="s">
        <v>6026</v>
      </c>
      <c r="AO550" t="s">
        <v>10939</v>
      </c>
      <c r="AP550" t="s">
        <v>74</v>
      </c>
      <c r="AQ550" t="s">
        <v>10940</v>
      </c>
      <c r="AR550" t="s">
        <v>10941</v>
      </c>
      <c r="AS550" t="s">
        <v>10942</v>
      </c>
      <c r="AT550" t="s">
        <v>74</v>
      </c>
      <c r="AU550">
        <v>2018</v>
      </c>
      <c r="AV550">
        <v>56</v>
      </c>
      <c r="AW550" t="s">
        <v>74</v>
      </c>
      <c r="AX550" t="s">
        <v>74</v>
      </c>
      <c r="AY550" t="s">
        <v>74</v>
      </c>
      <c r="AZ550" t="s">
        <v>74</v>
      </c>
      <c r="BA550" t="s">
        <v>74</v>
      </c>
      <c r="BB550">
        <v>1</v>
      </c>
      <c r="BC550">
        <v>71</v>
      </c>
      <c r="BD550" t="s">
        <v>74</v>
      </c>
      <c r="BE550" t="s">
        <v>74</v>
      </c>
      <c r="BF550" t="s">
        <v>74</v>
      </c>
      <c r="BG550" t="s">
        <v>10943</v>
      </c>
      <c r="BH550" t="s">
        <v>74</v>
      </c>
      <c r="BI550">
        <v>71</v>
      </c>
      <c r="BJ550" t="s">
        <v>1543</v>
      </c>
      <c r="BK550" t="s">
        <v>3859</v>
      </c>
      <c r="BL550" t="s">
        <v>1543</v>
      </c>
      <c r="BM550" t="s">
        <v>10944</v>
      </c>
      <c r="BN550" t="s">
        <v>74</v>
      </c>
      <c r="BO550" t="s">
        <v>857</v>
      </c>
      <c r="BP550" t="s">
        <v>74</v>
      </c>
      <c r="BQ550" t="s">
        <v>74</v>
      </c>
      <c r="BR550" t="s">
        <v>105</v>
      </c>
      <c r="BS550" t="s">
        <v>10945</v>
      </c>
      <c r="BT550" t="str">
        <f>HYPERLINK("https%3A%2F%2Fwww.webofscience.com%2Fwos%2Fwoscc%2Ffull-record%2FWOS:000535123400002","View Full Record in Web of Science")</f>
        <v>View Full Record in Web of Science</v>
      </c>
    </row>
    <row r="551" spans="1:72" x14ac:dyDescent="0.15">
      <c r="A551" t="s">
        <v>1831</v>
      </c>
      <c r="B551" t="s">
        <v>10946</v>
      </c>
      <c r="C551" t="s">
        <v>74</v>
      </c>
      <c r="D551" t="s">
        <v>10924</v>
      </c>
      <c r="E551" t="s">
        <v>74</v>
      </c>
      <c r="F551" t="s">
        <v>10947</v>
      </c>
      <c r="G551" t="s">
        <v>74</v>
      </c>
      <c r="H551" t="s">
        <v>74</v>
      </c>
      <c r="I551" t="s">
        <v>10948</v>
      </c>
      <c r="J551" t="s">
        <v>10927</v>
      </c>
      <c r="K551" t="s">
        <v>10928</v>
      </c>
      <c r="L551" t="s">
        <v>74</v>
      </c>
      <c r="M551" t="s">
        <v>78</v>
      </c>
      <c r="N551" t="s">
        <v>1862</v>
      </c>
      <c r="O551" t="s">
        <v>74</v>
      </c>
      <c r="P551" t="s">
        <v>74</v>
      </c>
      <c r="Q551" t="s">
        <v>74</v>
      </c>
      <c r="R551" t="s">
        <v>74</v>
      </c>
      <c r="S551" t="s">
        <v>74</v>
      </c>
      <c r="T551" t="s">
        <v>74</v>
      </c>
      <c r="U551" t="s">
        <v>10949</v>
      </c>
      <c r="V551" t="s">
        <v>10950</v>
      </c>
      <c r="W551" t="s">
        <v>10951</v>
      </c>
      <c r="X551" t="s">
        <v>2299</v>
      </c>
      <c r="Y551" t="s">
        <v>10952</v>
      </c>
      <c r="Z551" t="s">
        <v>10953</v>
      </c>
      <c r="AA551" t="s">
        <v>74</v>
      </c>
      <c r="AB551" t="s">
        <v>74</v>
      </c>
      <c r="AC551" t="s">
        <v>74</v>
      </c>
      <c r="AD551" t="s">
        <v>74</v>
      </c>
      <c r="AE551" t="s">
        <v>74</v>
      </c>
      <c r="AF551" t="s">
        <v>74</v>
      </c>
      <c r="AG551">
        <v>1027</v>
      </c>
      <c r="AH551">
        <v>100</v>
      </c>
      <c r="AI551">
        <v>104</v>
      </c>
      <c r="AJ551">
        <v>4</v>
      </c>
      <c r="AK551">
        <v>41</v>
      </c>
      <c r="AL551" t="s">
        <v>6024</v>
      </c>
      <c r="AM551" t="s">
        <v>6025</v>
      </c>
      <c r="AN551" t="s">
        <v>6026</v>
      </c>
      <c r="AO551" t="s">
        <v>10939</v>
      </c>
      <c r="AP551" t="s">
        <v>74</v>
      </c>
      <c r="AQ551" t="s">
        <v>10940</v>
      </c>
      <c r="AR551" t="s">
        <v>10941</v>
      </c>
      <c r="AS551" t="s">
        <v>10942</v>
      </c>
      <c r="AT551" t="s">
        <v>74</v>
      </c>
      <c r="AU551">
        <v>2018</v>
      </c>
      <c r="AV551">
        <v>56</v>
      </c>
      <c r="AW551" t="s">
        <v>74</v>
      </c>
      <c r="AX551" t="s">
        <v>74</v>
      </c>
      <c r="AY551" t="s">
        <v>74</v>
      </c>
      <c r="AZ551" t="s">
        <v>74</v>
      </c>
      <c r="BA551" t="s">
        <v>74</v>
      </c>
      <c r="BB551">
        <v>105</v>
      </c>
      <c r="BC551">
        <v>236</v>
      </c>
      <c r="BD551" t="s">
        <v>74</v>
      </c>
      <c r="BE551" t="s">
        <v>74</v>
      </c>
      <c r="BF551" t="s">
        <v>74</v>
      </c>
      <c r="BG551" t="s">
        <v>10943</v>
      </c>
      <c r="BH551" t="s">
        <v>74</v>
      </c>
      <c r="BI551">
        <v>132</v>
      </c>
      <c r="BJ551" t="s">
        <v>1543</v>
      </c>
      <c r="BK551" t="s">
        <v>3859</v>
      </c>
      <c r="BL551" t="s">
        <v>1543</v>
      </c>
      <c r="BM551" t="s">
        <v>10944</v>
      </c>
      <c r="BN551" t="s">
        <v>74</v>
      </c>
      <c r="BO551" t="s">
        <v>857</v>
      </c>
      <c r="BP551" t="s">
        <v>74</v>
      </c>
      <c r="BQ551" t="s">
        <v>74</v>
      </c>
      <c r="BR551" t="s">
        <v>105</v>
      </c>
      <c r="BS551" t="s">
        <v>10954</v>
      </c>
      <c r="BT551" t="str">
        <f>HYPERLINK("https%3A%2F%2Fwww.webofscience.com%2Fwos%2Fwoscc%2Ffull-record%2FWOS:000535123400004","View Full Record in Web of Science")</f>
        <v>View Full Record in Web of Science</v>
      </c>
    </row>
    <row r="552" spans="1:72" x14ac:dyDescent="0.15">
      <c r="A552" t="s">
        <v>1831</v>
      </c>
      <c r="B552" t="s">
        <v>10955</v>
      </c>
      <c r="C552" t="s">
        <v>74</v>
      </c>
      <c r="D552" t="s">
        <v>10924</v>
      </c>
      <c r="E552" t="s">
        <v>74</v>
      </c>
      <c r="F552" t="s">
        <v>10956</v>
      </c>
      <c r="G552" t="s">
        <v>74</v>
      </c>
      <c r="H552" t="s">
        <v>74</v>
      </c>
      <c r="I552" t="s">
        <v>10957</v>
      </c>
      <c r="J552" t="s">
        <v>10927</v>
      </c>
      <c r="K552" t="s">
        <v>10928</v>
      </c>
      <c r="L552" t="s">
        <v>74</v>
      </c>
      <c r="M552" t="s">
        <v>78</v>
      </c>
      <c r="N552" t="s">
        <v>1838</v>
      </c>
      <c r="O552" t="s">
        <v>74</v>
      </c>
      <c r="P552" t="s">
        <v>74</v>
      </c>
      <c r="Q552" t="s">
        <v>74</v>
      </c>
      <c r="R552" t="s">
        <v>74</v>
      </c>
      <c r="S552" t="s">
        <v>74</v>
      </c>
      <c r="T552" t="s">
        <v>74</v>
      </c>
      <c r="U552" t="s">
        <v>10958</v>
      </c>
      <c r="V552" t="s">
        <v>10959</v>
      </c>
      <c r="W552" t="s">
        <v>10960</v>
      </c>
      <c r="X552" t="s">
        <v>10961</v>
      </c>
      <c r="Y552" t="s">
        <v>10962</v>
      </c>
      <c r="Z552" t="s">
        <v>10963</v>
      </c>
      <c r="AA552" t="s">
        <v>10964</v>
      </c>
      <c r="AB552" t="s">
        <v>10965</v>
      </c>
      <c r="AC552" t="s">
        <v>74</v>
      </c>
      <c r="AD552" t="s">
        <v>74</v>
      </c>
      <c r="AE552" t="s">
        <v>74</v>
      </c>
      <c r="AF552" t="s">
        <v>74</v>
      </c>
      <c r="AG552">
        <v>322</v>
      </c>
      <c r="AH552">
        <v>12</v>
      </c>
      <c r="AI552">
        <v>12</v>
      </c>
      <c r="AJ552">
        <v>3</v>
      </c>
      <c r="AK552">
        <v>19</v>
      </c>
      <c r="AL552" t="s">
        <v>6024</v>
      </c>
      <c r="AM552" t="s">
        <v>6025</v>
      </c>
      <c r="AN552" t="s">
        <v>6026</v>
      </c>
      <c r="AO552" t="s">
        <v>10939</v>
      </c>
      <c r="AP552" t="s">
        <v>74</v>
      </c>
      <c r="AQ552" t="s">
        <v>10940</v>
      </c>
      <c r="AR552" t="s">
        <v>10941</v>
      </c>
      <c r="AS552" t="s">
        <v>10942</v>
      </c>
      <c r="AT552" t="s">
        <v>74</v>
      </c>
      <c r="AU552">
        <v>2018</v>
      </c>
      <c r="AV552">
        <v>56</v>
      </c>
      <c r="AW552" t="s">
        <v>74</v>
      </c>
      <c r="AX552" t="s">
        <v>74</v>
      </c>
      <c r="AY552" t="s">
        <v>74</v>
      </c>
      <c r="AZ552" t="s">
        <v>74</v>
      </c>
      <c r="BA552" t="s">
        <v>74</v>
      </c>
      <c r="BB552">
        <v>311</v>
      </c>
      <c r="BC552">
        <v>370</v>
      </c>
      <c r="BD552" t="s">
        <v>74</v>
      </c>
      <c r="BE552" t="s">
        <v>74</v>
      </c>
      <c r="BF552" t="s">
        <v>74</v>
      </c>
      <c r="BG552" t="s">
        <v>10943</v>
      </c>
      <c r="BH552" t="s">
        <v>74</v>
      </c>
      <c r="BI552">
        <v>60</v>
      </c>
      <c r="BJ552" t="s">
        <v>1543</v>
      </c>
      <c r="BK552" t="s">
        <v>3859</v>
      </c>
      <c r="BL552" t="s">
        <v>1543</v>
      </c>
      <c r="BM552" t="s">
        <v>10944</v>
      </c>
      <c r="BN552" t="s">
        <v>74</v>
      </c>
      <c r="BO552" t="s">
        <v>857</v>
      </c>
      <c r="BP552" t="s">
        <v>74</v>
      </c>
      <c r="BQ552" t="s">
        <v>74</v>
      </c>
      <c r="BR552" t="s">
        <v>105</v>
      </c>
      <c r="BS552" t="s">
        <v>10966</v>
      </c>
      <c r="BT552" t="str">
        <f>HYPERLINK("https%3A%2F%2Fwww.webofscience.com%2Fwos%2Fwoscc%2Ffull-record%2FWOS:000535123400006","View Full Record in Web of Science")</f>
        <v>View Full Record in Web of Science</v>
      </c>
    </row>
    <row r="553" spans="1:72" x14ac:dyDescent="0.15">
      <c r="A553" t="s">
        <v>72</v>
      </c>
      <c r="B553" t="s">
        <v>10967</v>
      </c>
      <c r="C553" t="s">
        <v>74</v>
      </c>
      <c r="D553" t="s">
        <v>74</v>
      </c>
      <c r="E553" t="s">
        <v>74</v>
      </c>
      <c r="F553" t="s">
        <v>10968</v>
      </c>
      <c r="G553" t="s">
        <v>74</v>
      </c>
      <c r="H553" t="s">
        <v>74</v>
      </c>
      <c r="I553" t="s">
        <v>10969</v>
      </c>
      <c r="J553" t="s">
        <v>10970</v>
      </c>
      <c r="K553" t="s">
        <v>74</v>
      </c>
      <c r="L553" t="s">
        <v>74</v>
      </c>
      <c r="M553" t="s">
        <v>78</v>
      </c>
      <c r="N553" t="s">
        <v>79</v>
      </c>
      <c r="O553" t="s">
        <v>74</v>
      </c>
      <c r="P553" t="s">
        <v>74</v>
      </c>
      <c r="Q553" t="s">
        <v>74</v>
      </c>
      <c r="R553" t="s">
        <v>74</v>
      </c>
      <c r="S553" t="s">
        <v>74</v>
      </c>
      <c r="T553" t="s">
        <v>10971</v>
      </c>
      <c r="U553" t="s">
        <v>10972</v>
      </c>
      <c r="V553" t="s">
        <v>10973</v>
      </c>
      <c r="W553" t="s">
        <v>10974</v>
      </c>
      <c r="X553" t="s">
        <v>10975</v>
      </c>
      <c r="Y553" t="s">
        <v>10976</v>
      </c>
      <c r="Z553" t="s">
        <v>10977</v>
      </c>
      <c r="AA553" t="s">
        <v>10978</v>
      </c>
      <c r="AB553" t="s">
        <v>10979</v>
      </c>
      <c r="AC553" t="s">
        <v>10980</v>
      </c>
      <c r="AD553" t="s">
        <v>10981</v>
      </c>
      <c r="AE553" t="s">
        <v>10982</v>
      </c>
      <c r="AF553" t="s">
        <v>74</v>
      </c>
      <c r="AG553">
        <v>36</v>
      </c>
      <c r="AH553">
        <v>71</v>
      </c>
      <c r="AI553">
        <v>74</v>
      </c>
      <c r="AJ553">
        <v>1</v>
      </c>
      <c r="AK553">
        <v>10</v>
      </c>
      <c r="AL553" t="s">
        <v>5110</v>
      </c>
      <c r="AM553" t="s">
        <v>5111</v>
      </c>
      <c r="AN553" t="s">
        <v>5112</v>
      </c>
      <c r="AO553" t="s">
        <v>10983</v>
      </c>
      <c r="AP553" t="s">
        <v>10984</v>
      </c>
      <c r="AQ553" t="s">
        <v>74</v>
      </c>
      <c r="AR553" t="s">
        <v>10985</v>
      </c>
      <c r="AS553" t="s">
        <v>10986</v>
      </c>
      <c r="AT553" t="s">
        <v>74</v>
      </c>
      <c r="AU553">
        <v>2018</v>
      </c>
      <c r="AV553">
        <v>24</v>
      </c>
      <c r="AW553">
        <v>2</v>
      </c>
      <c r="AX553" t="s">
        <v>74</v>
      </c>
      <c r="AY553" t="s">
        <v>74</v>
      </c>
      <c r="AZ553" t="s">
        <v>74</v>
      </c>
      <c r="BA553" t="s">
        <v>74</v>
      </c>
      <c r="BB553">
        <v>157</v>
      </c>
      <c r="BC553">
        <v>167</v>
      </c>
      <c r="BD553" t="s">
        <v>74</v>
      </c>
      <c r="BE553" t="s">
        <v>10987</v>
      </c>
      <c r="BF553" t="str">
        <f>HYPERLINK("http://dx.doi.org/10.1071/PC18006","http://dx.doi.org/10.1071/PC18006")</f>
        <v>http://dx.doi.org/10.1071/PC18006</v>
      </c>
      <c r="BG553" t="s">
        <v>74</v>
      </c>
      <c r="BH553" t="s">
        <v>74</v>
      </c>
      <c r="BI553">
        <v>11</v>
      </c>
      <c r="BJ553" t="s">
        <v>4277</v>
      </c>
      <c r="BK553" t="s">
        <v>2081</v>
      </c>
      <c r="BL553" t="s">
        <v>4278</v>
      </c>
      <c r="BM553" t="s">
        <v>10988</v>
      </c>
      <c r="BN553" t="s">
        <v>74</v>
      </c>
      <c r="BO553" t="s">
        <v>10989</v>
      </c>
      <c r="BP553" t="s">
        <v>74</v>
      </c>
      <c r="BQ553" t="s">
        <v>74</v>
      </c>
      <c r="BR553" t="s">
        <v>105</v>
      </c>
      <c r="BS553" t="s">
        <v>10990</v>
      </c>
      <c r="BT553" t="str">
        <f>HYPERLINK("https%3A%2F%2Fwww.webofscience.com%2Fwos%2Fwoscc%2Ffull-record%2FWOS:000909192500007","View Full Record in Web of Science")</f>
        <v>View Full Record in Web of Science</v>
      </c>
    </row>
    <row r="554" spans="1:72" x14ac:dyDescent="0.15">
      <c r="A554" t="s">
        <v>72</v>
      </c>
      <c r="B554" t="s">
        <v>10991</v>
      </c>
      <c r="C554" t="s">
        <v>74</v>
      </c>
      <c r="D554" t="s">
        <v>74</v>
      </c>
      <c r="E554" t="s">
        <v>74</v>
      </c>
      <c r="F554" t="s">
        <v>10992</v>
      </c>
      <c r="G554" t="s">
        <v>74</v>
      </c>
      <c r="H554" t="s">
        <v>74</v>
      </c>
      <c r="I554" t="s">
        <v>10993</v>
      </c>
      <c r="J554" t="s">
        <v>10970</v>
      </c>
      <c r="K554" t="s">
        <v>74</v>
      </c>
      <c r="L554" t="s">
        <v>74</v>
      </c>
      <c r="M554" t="s">
        <v>78</v>
      </c>
      <c r="N554" t="s">
        <v>79</v>
      </c>
      <c r="O554" t="s">
        <v>74</v>
      </c>
      <c r="P554" t="s">
        <v>74</v>
      </c>
      <c r="Q554" t="s">
        <v>74</v>
      </c>
      <c r="R554" t="s">
        <v>74</v>
      </c>
      <c r="S554" t="s">
        <v>74</v>
      </c>
      <c r="T554" t="s">
        <v>10994</v>
      </c>
      <c r="U554" t="s">
        <v>74</v>
      </c>
      <c r="V554" t="s">
        <v>10995</v>
      </c>
      <c r="W554" t="s">
        <v>10996</v>
      </c>
      <c r="X554" t="s">
        <v>74</v>
      </c>
      <c r="Y554" t="s">
        <v>10997</v>
      </c>
      <c r="Z554" t="s">
        <v>10998</v>
      </c>
      <c r="AA554" t="s">
        <v>10999</v>
      </c>
      <c r="AB554" t="s">
        <v>11000</v>
      </c>
      <c r="AC554" t="s">
        <v>74</v>
      </c>
      <c r="AD554" t="s">
        <v>74</v>
      </c>
      <c r="AE554" t="s">
        <v>74</v>
      </c>
      <c r="AF554" t="s">
        <v>74</v>
      </c>
      <c r="AG554">
        <v>80</v>
      </c>
      <c r="AH554">
        <v>6</v>
      </c>
      <c r="AI554">
        <v>7</v>
      </c>
      <c r="AJ554">
        <v>0</v>
      </c>
      <c r="AK554">
        <v>4</v>
      </c>
      <c r="AL554" t="s">
        <v>5110</v>
      </c>
      <c r="AM554" t="s">
        <v>5111</v>
      </c>
      <c r="AN554" t="s">
        <v>5112</v>
      </c>
      <c r="AO554" t="s">
        <v>10983</v>
      </c>
      <c r="AP554" t="s">
        <v>10984</v>
      </c>
      <c r="AQ554" t="s">
        <v>74</v>
      </c>
      <c r="AR554" t="s">
        <v>10985</v>
      </c>
      <c r="AS554" t="s">
        <v>10986</v>
      </c>
      <c r="AT554" t="s">
        <v>74</v>
      </c>
      <c r="AU554">
        <v>2018</v>
      </c>
      <c r="AV554">
        <v>24</v>
      </c>
      <c r="AW554">
        <v>3</v>
      </c>
      <c r="AX554" t="s">
        <v>74</v>
      </c>
      <c r="AY554" t="s">
        <v>74</v>
      </c>
      <c r="AZ554" t="s">
        <v>74</v>
      </c>
      <c r="BA554" t="s">
        <v>74</v>
      </c>
      <c r="BB554">
        <v>289</v>
      </c>
      <c r="BC554">
        <v>303</v>
      </c>
      <c r="BD554" t="s">
        <v>74</v>
      </c>
      <c r="BE554" t="s">
        <v>11001</v>
      </c>
      <c r="BF554" t="str">
        <f>HYPERLINK("http://dx.doi.org/10.1071/PC18014","http://dx.doi.org/10.1071/PC18014")</f>
        <v>http://dx.doi.org/10.1071/PC18014</v>
      </c>
      <c r="BG554" t="s">
        <v>74</v>
      </c>
      <c r="BH554" t="s">
        <v>74</v>
      </c>
      <c r="BI554">
        <v>15</v>
      </c>
      <c r="BJ554" t="s">
        <v>4277</v>
      </c>
      <c r="BK554" t="s">
        <v>2081</v>
      </c>
      <c r="BL554" t="s">
        <v>4278</v>
      </c>
      <c r="BM554" t="s">
        <v>11002</v>
      </c>
      <c r="BN554" t="s">
        <v>74</v>
      </c>
      <c r="BO554" t="s">
        <v>74</v>
      </c>
      <c r="BP554" t="s">
        <v>74</v>
      </c>
      <c r="BQ554" t="s">
        <v>74</v>
      </c>
      <c r="BR554" t="s">
        <v>105</v>
      </c>
      <c r="BS554" t="s">
        <v>11003</v>
      </c>
      <c r="BT554" t="str">
        <f>HYPERLINK("https%3A%2F%2Fwww.webofscience.com%2Fwos%2Fwoscc%2Ffull-record%2FWOS:000909201700014","View Full Record in Web of Science")</f>
        <v>View Full Record in Web of Science</v>
      </c>
    </row>
    <row r="555" spans="1:72" x14ac:dyDescent="0.15">
      <c r="A555" t="s">
        <v>2085</v>
      </c>
      <c r="B555" t="s">
        <v>11004</v>
      </c>
      <c r="C555" t="s">
        <v>74</v>
      </c>
      <c r="D555" t="s">
        <v>2270</v>
      </c>
      <c r="E555" t="s">
        <v>74</v>
      </c>
      <c r="F555" t="s">
        <v>11005</v>
      </c>
      <c r="G555" t="s">
        <v>74</v>
      </c>
      <c r="H555" t="s">
        <v>74</v>
      </c>
      <c r="I555" t="s">
        <v>11006</v>
      </c>
      <c r="J555" t="s">
        <v>2273</v>
      </c>
      <c r="K555" t="s">
        <v>74</v>
      </c>
      <c r="L555" t="s">
        <v>74</v>
      </c>
      <c r="M555" t="s">
        <v>78</v>
      </c>
      <c r="N555" t="s">
        <v>1862</v>
      </c>
      <c r="O555" t="s">
        <v>74</v>
      </c>
      <c r="P555" t="s">
        <v>74</v>
      </c>
      <c r="Q555" t="s">
        <v>74</v>
      </c>
      <c r="R555" t="s">
        <v>74</v>
      </c>
      <c r="S555" t="s">
        <v>74</v>
      </c>
      <c r="T555" t="s">
        <v>74</v>
      </c>
      <c r="U555" t="s">
        <v>11007</v>
      </c>
      <c r="V555" t="s">
        <v>74</v>
      </c>
      <c r="W555" t="s">
        <v>11008</v>
      </c>
      <c r="X555" t="s">
        <v>11009</v>
      </c>
      <c r="Y555" t="s">
        <v>11010</v>
      </c>
      <c r="Z555" t="s">
        <v>74</v>
      </c>
      <c r="AA555" t="s">
        <v>74</v>
      </c>
      <c r="AB555" t="s">
        <v>74</v>
      </c>
      <c r="AC555" t="s">
        <v>74</v>
      </c>
      <c r="AD555" t="s">
        <v>74</v>
      </c>
      <c r="AE555" t="s">
        <v>74</v>
      </c>
      <c r="AF555" t="s">
        <v>74</v>
      </c>
      <c r="AG555">
        <v>323</v>
      </c>
      <c r="AH555">
        <v>16</v>
      </c>
      <c r="AI555">
        <v>16</v>
      </c>
      <c r="AJ555">
        <v>0</v>
      </c>
      <c r="AK555">
        <v>3</v>
      </c>
      <c r="AL555" t="s">
        <v>807</v>
      </c>
      <c r="AM555" t="s">
        <v>808</v>
      </c>
      <c r="AN555" t="s">
        <v>2278</v>
      </c>
      <c r="AO555" t="s">
        <v>74</v>
      </c>
      <c r="AP555" t="s">
        <v>74</v>
      </c>
      <c r="AQ555" t="s">
        <v>2279</v>
      </c>
      <c r="AR555" t="s">
        <v>74</v>
      </c>
      <c r="AS555" t="s">
        <v>74</v>
      </c>
      <c r="AT555" t="s">
        <v>74</v>
      </c>
      <c r="AU555">
        <v>2018</v>
      </c>
      <c r="AV555" t="s">
        <v>74</v>
      </c>
      <c r="AW555" t="s">
        <v>74</v>
      </c>
      <c r="AX555" t="s">
        <v>74</v>
      </c>
      <c r="AY555" t="s">
        <v>74</v>
      </c>
      <c r="AZ555" t="s">
        <v>74</v>
      </c>
      <c r="BA555" t="s">
        <v>74</v>
      </c>
      <c r="BB555">
        <v>181</v>
      </c>
      <c r="BC555">
        <v>272</v>
      </c>
      <c r="BD555" t="s">
        <v>74</v>
      </c>
      <c r="BE555" t="s">
        <v>11011</v>
      </c>
      <c r="BF555" t="str">
        <f>HYPERLINK("http://dx.doi.org/10.1016/B978-0-08-100524-8.00030-0","http://dx.doi.org/10.1016/B978-0-08-100524-8.00030-0")</f>
        <v>http://dx.doi.org/10.1016/B978-0-08-100524-8.00030-0</v>
      </c>
      <c r="BG555" t="s">
        <v>74</v>
      </c>
      <c r="BH555" t="s">
        <v>74</v>
      </c>
      <c r="BI555">
        <v>92</v>
      </c>
      <c r="BJ555" t="s">
        <v>233</v>
      </c>
      <c r="BK555" t="s">
        <v>1856</v>
      </c>
      <c r="BL555" t="s">
        <v>234</v>
      </c>
      <c r="BM555" t="s">
        <v>2281</v>
      </c>
      <c r="BN555" t="s">
        <v>74</v>
      </c>
      <c r="BO555" t="s">
        <v>74</v>
      </c>
      <c r="BP555" t="s">
        <v>74</v>
      </c>
      <c r="BQ555" t="s">
        <v>74</v>
      </c>
      <c r="BR555" t="s">
        <v>105</v>
      </c>
      <c r="BS555" t="s">
        <v>11012</v>
      </c>
      <c r="BT555" t="str">
        <f>HYPERLINK("https%3A%2F%2Fwww.webofscience.com%2Fwos%2Fwoscc%2Ffull-record%2FWOS:000462445500008","View Full Record in Web of Science")</f>
        <v>View Full Record in Web of Science</v>
      </c>
    </row>
    <row r="556" spans="1:72" x14ac:dyDescent="0.15">
      <c r="A556" t="s">
        <v>72</v>
      </c>
      <c r="B556" t="s">
        <v>11013</v>
      </c>
      <c r="C556" t="s">
        <v>74</v>
      </c>
      <c r="D556" t="s">
        <v>74</v>
      </c>
      <c r="E556" t="s">
        <v>74</v>
      </c>
      <c r="F556" t="s">
        <v>11014</v>
      </c>
      <c r="G556" t="s">
        <v>74</v>
      </c>
      <c r="H556" t="s">
        <v>74</v>
      </c>
      <c r="I556" t="s">
        <v>11015</v>
      </c>
      <c r="J556" t="s">
        <v>11016</v>
      </c>
      <c r="K556" t="s">
        <v>74</v>
      </c>
      <c r="L556" t="s">
        <v>74</v>
      </c>
      <c r="M556" t="s">
        <v>78</v>
      </c>
      <c r="N556" t="s">
        <v>79</v>
      </c>
      <c r="O556" t="s">
        <v>74</v>
      </c>
      <c r="P556" t="s">
        <v>74</v>
      </c>
      <c r="Q556" t="s">
        <v>74</v>
      </c>
      <c r="R556" t="s">
        <v>74</v>
      </c>
      <c r="S556" t="s">
        <v>74</v>
      </c>
      <c r="T556" t="s">
        <v>11017</v>
      </c>
      <c r="U556" t="s">
        <v>11018</v>
      </c>
      <c r="V556" t="s">
        <v>11019</v>
      </c>
      <c r="W556" t="s">
        <v>11020</v>
      </c>
      <c r="X556" t="s">
        <v>11021</v>
      </c>
      <c r="Y556" t="s">
        <v>11022</v>
      </c>
      <c r="Z556" t="s">
        <v>11023</v>
      </c>
      <c r="AA556" t="s">
        <v>11024</v>
      </c>
      <c r="AB556" t="s">
        <v>11025</v>
      </c>
      <c r="AC556" t="s">
        <v>11026</v>
      </c>
      <c r="AD556" t="s">
        <v>11027</v>
      </c>
      <c r="AE556" t="s">
        <v>11028</v>
      </c>
      <c r="AF556" t="s">
        <v>74</v>
      </c>
      <c r="AG556">
        <v>37</v>
      </c>
      <c r="AH556">
        <v>6</v>
      </c>
      <c r="AI556">
        <v>7</v>
      </c>
      <c r="AJ556">
        <v>0</v>
      </c>
      <c r="AK556">
        <v>5</v>
      </c>
      <c r="AL556" t="s">
        <v>778</v>
      </c>
      <c r="AM556" t="s">
        <v>779</v>
      </c>
      <c r="AN556" t="s">
        <v>780</v>
      </c>
      <c r="AO556" t="s">
        <v>11029</v>
      </c>
      <c r="AP556" t="s">
        <v>11030</v>
      </c>
      <c r="AQ556" t="s">
        <v>74</v>
      </c>
      <c r="AR556" t="s">
        <v>11031</v>
      </c>
      <c r="AS556" t="s">
        <v>11032</v>
      </c>
      <c r="AT556" t="s">
        <v>2468</v>
      </c>
      <c r="AU556">
        <v>2018</v>
      </c>
      <c r="AV556">
        <v>63</v>
      </c>
      <c r="AW556">
        <v>1</v>
      </c>
      <c r="AX556" t="s">
        <v>74</v>
      </c>
      <c r="AY556" t="s">
        <v>74</v>
      </c>
      <c r="AZ556" t="s">
        <v>74</v>
      </c>
      <c r="BA556" t="s">
        <v>74</v>
      </c>
      <c r="BB556" t="s">
        <v>74</v>
      </c>
      <c r="BC556" t="s">
        <v>74</v>
      </c>
      <c r="BD556" t="s">
        <v>11033</v>
      </c>
      <c r="BE556" t="s">
        <v>11034</v>
      </c>
      <c r="BF556" t="str">
        <f>HYPERLINK("http://dx.doi.org/10.1088/1361-6560/aa9502","http://dx.doi.org/10.1088/1361-6560/aa9502")</f>
        <v>http://dx.doi.org/10.1088/1361-6560/aa9502</v>
      </c>
      <c r="BG556" t="s">
        <v>74</v>
      </c>
      <c r="BH556" t="s">
        <v>74</v>
      </c>
      <c r="BI556">
        <v>11</v>
      </c>
      <c r="BJ556" t="s">
        <v>11035</v>
      </c>
      <c r="BK556" t="s">
        <v>101</v>
      </c>
      <c r="BL556" t="s">
        <v>11036</v>
      </c>
      <c r="BM556" t="s">
        <v>11037</v>
      </c>
      <c r="BN556">
        <v>29053110</v>
      </c>
      <c r="BO556" t="s">
        <v>283</v>
      </c>
      <c r="BP556" t="s">
        <v>74</v>
      </c>
      <c r="BQ556" t="s">
        <v>74</v>
      </c>
      <c r="BR556" t="s">
        <v>105</v>
      </c>
      <c r="BS556" t="s">
        <v>11038</v>
      </c>
      <c r="BT556" t="str">
        <f>HYPERLINK("https%3A%2F%2Fwww.webofscience.com%2Fwos%2Fwoscc%2Ffull-record%2FWOS:000418385100001","View Full Record in Web of Science")</f>
        <v>View Full Record in Web of Science</v>
      </c>
    </row>
    <row r="557" spans="1:72" x14ac:dyDescent="0.15">
      <c r="A557" t="s">
        <v>2085</v>
      </c>
      <c r="B557" t="s">
        <v>11039</v>
      </c>
      <c r="C557" t="s">
        <v>11040</v>
      </c>
      <c r="D557" t="s">
        <v>74</v>
      </c>
      <c r="E557" t="s">
        <v>74</v>
      </c>
      <c r="F557" t="s">
        <v>11041</v>
      </c>
      <c r="G557" t="s">
        <v>11040</v>
      </c>
      <c r="H557" t="s">
        <v>74</v>
      </c>
      <c r="I557" t="s">
        <v>11042</v>
      </c>
      <c r="J557" t="s">
        <v>11043</v>
      </c>
      <c r="K557" t="s">
        <v>74</v>
      </c>
      <c r="L557" t="s">
        <v>74</v>
      </c>
      <c r="M557" t="s">
        <v>78</v>
      </c>
      <c r="N557" t="s">
        <v>1862</v>
      </c>
      <c r="O557" t="s">
        <v>74</v>
      </c>
      <c r="P557" t="s">
        <v>74</v>
      </c>
      <c r="Q557" t="s">
        <v>74</v>
      </c>
      <c r="R557" t="s">
        <v>74</v>
      </c>
      <c r="S557" t="s">
        <v>74</v>
      </c>
      <c r="T557" t="s">
        <v>74</v>
      </c>
      <c r="U557" t="s">
        <v>11044</v>
      </c>
      <c r="V557" t="s">
        <v>74</v>
      </c>
      <c r="W557" t="s">
        <v>11045</v>
      </c>
      <c r="X557" t="s">
        <v>1646</v>
      </c>
      <c r="Y557" t="s">
        <v>11046</v>
      </c>
      <c r="Z557" t="s">
        <v>74</v>
      </c>
      <c r="AA557" t="s">
        <v>11047</v>
      </c>
      <c r="AB557" t="s">
        <v>74</v>
      </c>
      <c r="AC557" t="s">
        <v>74</v>
      </c>
      <c r="AD557" t="s">
        <v>74</v>
      </c>
      <c r="AE557" t="s">
        <v>74</v>
      </c>
      <c r="AF557" t="s">
        <v>74</v>
      </c>
      <c r="AG557">
        <v>151</v>
      </c>
      <c r="AH557">
        <v>0</v>
      </c>
      <c r="AI557">
        <v>0</v>
      </c>
      <c r="AJ557">
        <v>0</v>
      </c>
      <c r="AK557">
        <v>2</v>
      </c>
      <c r="AL557" t="s">
        <v>3149</v>
      </c>
      <c r="AM557" t="s">
        <v>8222</v>
      </c>
      <c r="AN557" t="s">
        <v>11048</v>
      </c>
      <c r="AO557" t="s">
        <v>74</v>
      </c>
      <c r="AP557" t="s">
        <v>74</v>
      </c>
      <c r="AQ557" t="s">
        <v>11049</v>
      </c>
      <c r="AR557" t="s">
        <v>74</v>
      </c>
      <c r="AS557" t="s">
        <v>74</v>
      </c>
      <c r="AT557" t="s">
        <v>74</v>
      </c>
      <c r="AU557">
        <v>2018</v>
      </c>
      <c r="AV557" t="s">
        <v>74</v>
      </c>
      <c r="AW557" t="s">
        <v>74</v>
      </c>
      <c r="AX557" t="s">
        <v>74</v>
      </c>
      <c r="AY557" t="s">
        <v>74</v>
      </c>
      <c r="AZ557" t="s">
        <v>74</v>
      </c>
      <c r="BA557" t="s">
        <v>74</v>
      </c>
      <c r="BB557">
        <v>21</v>
      </c>
      <c r="BC557">
        <v>66</v>
      </c>
      <c r="BD557" t="s">
        <v>74</v>
      </c>
      <c r="BE557" t="s">
        <v>74</v>
      </c>
      <c r="BF557" t="s">
        <v>74</v>
      </c>
      <c r="BG557" t="s">
        <v>11050</v>
      </c>
      <c r="BH557" t="s">
        <v>74</v>
      </c>
      <c r="BI557">
        <v>46</v>
      </c>
      <c r="BJ557" t="s">
        <v>11051</v>
      </c>
      <c r="BK557" t="s">
        <v>1856</v>
      </c>
      <c r="BL557" t="s">
        <v>11052</v>
      </c>
      <c r="BM557" t="s">
        <v>11053</v>
      </c>
      <c r="BN557" t="s">
        <v>74</v>
      </c>
      <c r="BO557" t="s">
        <v>306</v>
      </c>
      <c r="BP557" t="s">
        <v>74</v>
      </c>
      <c r="BQ557" t="s">
        <v>74</v>
      </c>
      <c r="BR557" t="s">
        <v>105</v>
      </c>
      <c r="BS557" t="s">
        <v>11054</v>
      </c>
      <c r="BT557" t="str">
        <f>HYPERLINK("https%3A%2F%2Fwww.webofscience.com%2Fwos%2Fwoscc%2Ffull-record%2FWOS:000522817700003","View Full Record in Web of Science")</f>
        <v>View Full Record in Web of Science</v>
      </c>
    </row>
    <row r="558" spans="1:72" x14ac:dyDescent="0.15">
      <c r="A558" t="s">
        <v>2085</v>
      </c>
      <c r="B558" t="s">
        <v>11039</v>
      </c>
      <c r="C558" t="s">
        <v>11040</v>
      </c>
      <c r="D558" t="s">
        <v>74</v>
      </c>
      <c r="E558" t="s">
        <v>74</v>
      </c>
      <c r="F558" t="s">
        <v>11041</v>
      </c>
      <c r="G558" t="s">
        <v>11040</v>
      </c>
      <c r="H558" t="s">
        <v>74</v>
      </c>
      <c r="I558" t="s">
        <v>11055</v>
      </c>
      <c r="J558" t="s">
        <v>11043</v>
      </c>
      <c r="K558" t="s">
        <v>74</v>
      </c>
      <c r="L558" t="s">
        <v>74</v>
      </c>
      <c r="M558" t="s">
        <v>78</v>
      </c>
      <c r="N558" t="s">
        <v>1862</v>
      </c>
      <c r="O558" t="s">
        <v>74</v>
      </c>
      <c r="P558" t="s">
        <v>74</v>
      </c>
      <c r="Q558" t="s">
        <v>74</v>
      </c>
      <c r="R558" t="s">
        <v>74</v>
      </c>
      <c r="S558" t="s">
        <v>74</v>
      </c>
      <c r="T558" t="s">
        <v>74</v>
      </c>
      <c r="U558" t="s">
        <v>11056</v>
      </c>
      <c r="V558" t="s">
        <v>74</v>
      </c>
      <c r="W558" t="s">
        <v>11045</v>
      </c>
      <c r="X558" t="s">
        <v>1646</v>
      </c>
      <c r="Y558" t="s">
        <v>11046</v>
      </c>
      <c r="Z558" t="s">
        <v>74</v>
      </c>
      <c r="AA558" t="s">
        <v>11047</v>
      </c>
      <c r="AB558" t="s">
        <v>74</v>
      </c>
      <c r="AC558" t="s">
        <v>74</v>
      </c>
      <c r="AD558" t="s">
        <v>74</v>
      </c>
      <c r="AE558" t="s">
        <v>74</v>
      </c>
      <c r="AF558" t="s">
        <v>74</v>
      </c>
      <c r="AG558">
        <v>205</v>
      </c>
      <c r="AH558">
        <v>0</v>
      </c>
      <c r="AI558">
        <v>0</v>
      </c>
      <c r="AJ558">
        <v>0</v>
      </c>
      <c r="AK558">
        <v>2</v>
      </c>
      <c r="AL558" t="s">
        <v>3149</v>
      </c>
      <c r="AM558" t="s">
        <v>8222</v>
      </c>
      <c r="AN558" t="s">
        <v>11048</v>
      </c>
      <c r="AO558" t="s">
        <v>74</v>
      </c>
      <c r="AP558" t="s">
        <v>74</v>
      </c>
      <c r="AQ558" t="s">
        <v>11049</v>
      </c>
      <c r="AR558" t="s">
        <v>74</v>
      </c>
      <c r="AS558" t="s">
        <v>74</v>
      </c>
      <c r="AT558" t="s">
        <v>74</v>
      </c>
      <c r="AU558">
        <v>2018</v>
      </c>
      <c r="AV558" t="s">
        <v>74</v>
      </c>
      <c r="AW558" t="s">
        <v>74</v>
      </c>
      <c r="AX558" t="s">
        <v>74</v>
      </c>
      <c r="AY558" t="s">
        <v>74</v>
      </c>
      <c r="AZ558" t="s">
        <v>74</v>
      </c>
      <c r="BA558" t="s">
        <v>74</v>
      </c>
      <c r="BB558">
        <v>165</v>
      </c>
      <c r="BC558">
        <v>234</v>
      </c>
      <c r="BD558" t="s">
        <v>74</v>
      </c>
      <c r="BE558" t="s">
        <v>74</v>
      </c>
      <c r="BF558" t="s">
        <v>74</v>
      </c>
      <c r="BG558" t="s">
        <v>11050</v>
      </c>
      <c r="BH558" t="s">
        <v>74</v>
      </c>
      <c r="BI558">
        <v>70</v>
      </c>
      <c r="BJ558" t="s">
        <v>11051</v>
      </c>
      <c r="BK558" t="s">
        <v>1856</v>
      </c>
      <c r="BL558" t="s">
        <v>11052</v>
      </c>
      <c r="BM558" t="s">
        <v>11053</v>
      </c>
      <c r="BN558" t="s">
        <v>74</v>
      </c>
      <c r="BO558" t="s">
        <v>306</v>
      </c>
      <c r="BP558" t="s">
        <v>74</v>
      </c>
      <c r="BQ558" t="s">
        <v>74</v>
      </c>
      <c r="BR558" t="s">
        <v>105</v>
      </c>
      <c r="BS558" t="s">
        <v>11057</v>
      </c>
      <c r="BT558" t="str">
        <f>HYPERLINK("https%3A%2F%2Fwww.webofscience.com%2Fwos%2Fwoscc%2Ffull-record%2FWOS:000522817700006","View Full Record in Web of Science")</f>
        <v>View Full Record in Web of Science</v>
      </c>
    </row>
    <row r="559" spans="1:72" x14ac:dyDescent="0.15">
      <c r="A559" t="s">
        <v>2085</v>
      </c>
      <c r="B559" t="s">
        <v>11039</v>
      </c>
      <c r="C559" t="s">
        <v>11040</v>
      </c>
      <c r="D559" t="s">
        <v>74</v>
      </c>
      <c r="E559" t="s">
        <v>74</v>
      </c>
      <c r="F559" t="s">
        <v>11041</v>
      </c>
      <c r="G559" t="s">
        <v>11040</v>
      </c>
      <c r="H559" t="s">
        <v>74</v>
      </c>
      <c r="I559" t="s">
        <v>11058</v>
      </c>
      <c r="J559" t="s">
        <v>11043</v>
      </c>
      <c r="K559" t="s">
        <v>74</v>
      </c>
      <c r="L559" t="s">
        <v>74</v>
      </c>
      <c r="M559" t="s">
        <v>78</v>
      </c>
      <c r="N559" t="s">
        <v>1862</v>
      </c>
      <c r="O559" t="s">
        <v>74</v>
      </c>
      <c r="P559" t="s">
        <v>74</v>
      </c>
      <c r="Q559" t="s">
        <v>74</v>
      </c>
      <c r="R559" t="s">
        <v>74</v>
      </c>
      <c r="S559" t="s">
        <v>74</v>
      </c>
      <c r="T559" t="s">
        <v>74</v>
      </c>
      <c r="U559" t="s">
        <v>11059</v>
      </c>
      <c r="V559" t="s">
        <v>74</v>
      </c>
      <c r="W559" t="s">
        <v>11045</v>
      </c>
      <c r="X559" t="s">
        <v>1646</v>
      </c>
      <c r="Y559" t="s">
        <v>11046</v>
      </c>
      <c r="Z559" t="s">
        <v>74</v>
      </c>
      <c r="AA559" t="s">
        <v>11047</v>
      </c>
      <c r="AB559" t="s">
        <v>74</v>
      </c>
      <c r="AC559" t="s">
        <v>74</v>
      </c>
      <c r="AD559" t="s">
        <v>74</v>
      </c>
      <c r="AE559" t="s">
        <v>74</v>
      </c>
      <c r="AF559" t="s">
        <v>74</v>
      </c>
      <c r="AG559">
        <v>109</v>
      </c>
      <c r="AH559">
        <v>1</v>
      </c>
      <c r="AI559">
        <v>1</v>
      </c>
      <c r="AJ559">
        <v>0</v>
      </c>
      <c r="AK559">
        <v>0</v>
      </c>
      <c r="AL559" t="s">
        <v>3149</v>
      </c>
      <c r="AM559" t="s">
        <v>8222</v>
      </c>
      <c r="AN559" t="s">
        <v>11048</v>
      </c>
      <c r="AO559" t="s">
        <v>74</v>
      </c>
      <c r="AP559" t="s">
        <v>74</v>
      </c>
      <c r="AQ559" t="s">
        <v>11049</v>
      </c>
      <c r="AR559" t="s">
        <v>74</v>
      </c>
      <c r="AS559" t="s">
        <v>74</v>
      </c>
      <c r="AT559" t="s">
        <v>74</v>
      </c>
      <c r="AU559">
        <v>2018</v>
      </c>
      <c r="AV559" t="s">
        <v>74</v>
      </c>
      <c r="AW559" t="s">
        <v>74</v>
      </c>
      <c r="AX559" t="s">
        <v>74</v>
      </c>
      <c r="AY559" t="s">
        <v>74</v>
      </c>
      <c r="AZ559" t="s">
        <v>74</v>
      </c>
      <c r="BA559" t="s">
        <v>74</v>
      </c>
      <c r="BB559">
        <v>235</v>
      </c>
      <c r="BC559">
        <v>268</v>
      </c>
      <c r="BD559" t="s">
        <v>74</v>
      </c>
      <c r="BE559" t="s">
        <v>74</v>
      </c>
      <c r="BF559" t="s">
        <v>74</v>
      </c>
      <c r="BG559" t="s">
        <v>11050</v>
      </c>
      <c r="BH559" t="s">
        <v>74</v>
      </c>
      <c r="BI559">
        <v>34</v>
      </c>
      <c r="BJ559" t="s">
        <v>11051</v>
      </c>
      <c r="BK559" t="s">
        <v>1856</v>
      </c>
      <c r="BL559" t="s">
        <v>11052</v>
      </c>
      <c r="BM559" t="s">
        <v>11053</v>
      </c>
      <c r="BN559" t="s">
        <v>74</v>
      </c>
      <c r="BO559" t="s">
        <v>306</v>
      </c>
      <c r="BP559" t="s">
        <v>74</v>
      </c>
      <c r="BQ559" t="s">
        <v>74</v>
      </c>
      <c r="BR559" t="s">
        <v>105</v>
      </c>
      <c r="BS559" t="s">
        <v>11060</v>
      </c>
      <c r="BT559" t="str">
        <f>HYPERLINK("https%3A%2F%2Fwww.webofscience.com%2Fwos%2Fwoscc%2Ffull-record%2FWOS:000522817700007","View Full Record in Web of Science")</f>
        <v>View Full Record in Web of Science</v>
      </c>
    </row>
    <row r="560" spans="1:72" x14ac:dyDescent="0.15">
      <c r="A560" t="s">
        <v>2085</v>
      </c>
      <c r="B560" t="s">
        <v>11039</v>
      </c>
      <c r="C560" t="s">
        <v>11040</v>
      </c>
      <c r="D560" t="s">
        <v>74</v>
      </c>
      <c r="E560" t="s">
        <v>74</v>
      </c>
      <c r="F560" t="s">
        <v>11041</v>
      </c>
      <c r="G560" t="s">
        <v>11040</v>
      </c>
      <c r="H560" t="s">
        <v>74</v>
      </c>
      <c r="I560" t="s">
        <v>11061</v>
      </c>
      <c r="J560" t="s">
        <v>11043</v>
      </c>
      <c r="K560" t="s">
        <v>74</v>
      </c>
      <c r="L560" t="s">
        <v>74</v>
      </c>
      <c r="M560" t="s">
        <v>78</v>
      </c>
      <c r="N560" t="s">
        <v>1862</v>
      </c>
      <c r="O560" t="s">
        <v>74</v>
      </c>
      <c r="P560" t="s">
        <v>74</v>
      </c>
      <c r="Q560" t="s">
        <v>74</v>
      </c>
      <c r="R560" t="s">
        <v>74</v>
      </c>
      <c r="S560" t="s">
        <v>74</v>
      </c>
      <c r="T560" t="s">
        <v>74</v>
      </c>
      <c r="U560" t="s">
        <v>11062</v>
      </c>
      <c r="V560" t="s">
        <v>74</v>
      </c>
      <c r="W560" t="s">
        <v>11045</v>
      </c>
      <c r="X560" t="s">
        <v>1646</v>
      </c>
      <c r="Y560" t="s">
        <v>11046</v>
      </c>
      <c r="Z560" t="s">
        <v>74</v>
      </c>
      <c r="AA560" t="s">
        <v>11047</v>
      </c>
      <c r="AB560" t="s">
        <v>74</v>
      </c>
      <c r="AC560" t="s">
        <v>74</v>
      </c>
      <c r="AD560" t="s">
        <v>74</v>
      </c>
      <c r="AE560" t="s">
        <v>74</v>
      </c>
      <c r="AF560" t="s">
        <v>74</v>
      </c>
      <c r="AG560">
        <v>172</v>
      </c>
      <c r="AH560">
        <v>0</v>
      </c>
      <c r="AI560">
        <v>0</v>
      </c>
      <c r="AJ560">
        <v>0</v>
      </c>
      <c r="AK560">
        <v>0</v>
      </c>
      <c r="AL560" t="s">
        <v>3149</v>
      </c>
      <c r="AM560" t="s">
        <v>8222</v>
      </c>
      <c r="AN560" t="s">
        <v>11048</v>
      </c>
      <c r="AO560" t="s">
        <v>74</v>
      </c>
      <c r="AP560" t="s">
        <v>74</v>
      </c>
      <c r="AQ560" t="s">
        <v>11049</v>
      </c>
      <c r="AR560" t="s">
        <v>74</v>
      </c>
      <c r="AS560" t="s">
        <v>74</v>
      </c>
      <c r="AT560" t="s">
        <v>74</v>
      </c>
      <c r="AU560">
        <v>2018</v>
      </c>
      <c r="AV560" t="s">
        <v>74</v>
      </c>
      <c r="AW560" t="s">
        <v>74</v>
      </c>
      <c r="AX560" t="s">
        <v>74</v>
      </c>
      <c r="AY560" t="s">
        <v>74</v>
      </c>
      <c r="AZ560" t="s">
        <v>74</v>
      </c>
      <c r="BA560" t="s">
        <v>74</v>
      </c>
      <c r="BB560">
        <v>269</v>
      </c>
      <c r="BC560">
        <v>338</v>
      </c>
      <c r="BD560" t="s">
        <v>74</v>
      </c>
      <c r="BE560" t="s">
        <v>74</v>
      </c>
      <c r="BF560" t="s">
        <v>74</v>
      </c>
      <c r="BG560" t="s">
        <v>11050</v>
      </c>
      <c r="BH560" t="s">
        <v>74</v>
      </c>
      <c r="BI560">
        <v>70</v>
      </c>
      <c r="BJ560" t="s">
        <v>11051</v>
      </c>
      <c r="BK560" t="s">
        <v>1856</v>
      </c>
      <c r="BL560" t="s">
        <v>11052</v>
      </c>
      <c r="BM560" t="s">
        <v>11053</v>
      </c>
      <c r="BN560" t="s">
        <v>74</v>
      </c>
      <c r="BO560" t="s">
        <v>306</v>
      </c>
      <c r="BP560" t="s">
        <v>74</v>
      </c>
      <c r="BQ560" t="s">
        <v>74</v>
      </c>
      <c r="BR560" t="s">
        <v>105</v>
      </c>
      <c r="BS560" t="s">
        <v>11063</v>
      </c>
      <c r="BT560" t="str">
        <f>HYPERLINK("https%3A%2F%2Fwww.webofscience.com%2Fwos%2Fwoscc%2Ffull-record%2FWOS:000522817700008","View Full Record in Web of Science")</f>
        <v>View Full Record in Web of Science</v>
      </c>
    </row>
    <row r="561" spans="1:72" x14ac:dyDescent="0.15">
      <c r="A561" t="s">
        <v>72</v>
      </c>
      <c r="B561" t="s">
        <v>11064</v>
      </c>
      <c r="C561" t="s">
        <v>74</v>
      </c>
      <c r="D561" t="s">
        <v>74</v>
      </c>
      <c r="E561" t="s">
        <v>74</v>
      </c>
      <c r="F561" t="s">
        <v>11065</v>
      </c>
      <c r="G561" t="s">
        <v>74</v>
      </c>
      <c r="H561" t="s">
        <v>74</v>
      </c>
      <c r="I561" t="s">
        <v>11066</v>
      </c>
      <c r="J561" t="s">
        <v>7370</v>
      </c>
      <c r="K561" t="s">
        <v>74</v>
      </c>
      <c r="L561" t="s">
        <v>74</v>
      </c>
      <c r="M561" t="s">
        <v>78</v>
      </c>
      <c r="N561" t="s">
        <v>1644</v>
      </c>
      <c r="O561" t="s">
        <v>74</v>
      </c>
      <c r="P561" t="s">
        <v>74</v>
      </c>
      <c r="Q561" t="s">
        <v>74</v>
      </c>
      <c r="R561" t="s">
        <v>74</v>
      </c>
      <c r="S561" t="s">
        <v>74</v>
      </c>
      <c r="T561" t="s">
        <v>74</v>
      </c>
      <c r="U561" t="s">
        <v>74</v>
      </c>
      <c r="V561" t="s">
        <v>11067</v>
      </c>
      <c r="W561" t="s">
        <v>11068</v>
      </c>
      <c r="X561" t="s">
        <v>74</v>
      </c>
      <c r="Y561" t="s">
        <v>11069</v>
      </c>
      <c r="Z561" t="s">
        <v>11070</v>
      </c>
      <c r="AA561" t="s">
        <v>74</v>
      </c>
      <c r="AB561" t="s">
        <v>74</v>
      </c>
      <c r="AC561" t="s">
        <v>74</v>
      </c>
      <c r="AD561" t="s">
        <v>74</v>
      </c>
      <c r="AE561" t="s">
        <v>74</v>
      </c>
      <c r="AF561" t="s">
        <v>74</v>
      </c>
      <c r="AG561">
        <v>12</v>
      </c>
      <c r="AH561">
        <v>0</v>
      </c>
      <c r="AI561">
        <v>0</v>
      </c>
      <c r="AJ561">
        <v>0</v>
      </c>
      <c r="AK561">
        <v>1</v>
      </c>
      <c r="AL561" t="s">
        <v>3149</v>
      </c>
      <c r="AM561" t="s">
        <v>1797</v>
      </c>
      <c r="AN561" t="s">
        <v>3150</v>
      </c>
      <c r="AO561" t="s">
        <v>7375</v>
      </c>
      <c r="AP561" t="s">
        <v>7376</v>
      </c>
      <c r="AQ561" t="s">
        <v>74</v>
      </c>
      <c r="AR561" t="s">
        <v>7377</v>
      </c>
      <c r="AS561" t="s">
        <v>7378</v>
      </c>
      <c r="AT561" t="s">
        <v>2468</v>
      </c>
      <c r="AU561">
        <v>2018</v>
      </c>
      <c r="AV561">
        <v>54</v>
      </c>
      <c r="AW561">
        <v>1</v>
      </c>
      <c r="AX561" t="s">
        <v>74</v>
      </c>
      <c r="AY561" t="s">
        <v>74</v>
      </c>
      <c r="AZ561" t="s">
        <v>74</v>
      </c>
      <c r="BA561" t="s">
        <v>74</v>
      </c>
      <c r="BB561">
        <v>79</v>
      </c>
      <c r="BC561">
        <v>87</v>
      </c>
      <c r="BD561" t="s">
        <v>74</v>
      </c>
      <c r="BE561" t="s">
        <v>11071</v>
      </c>
      <c r="BF561" t="str">
        <f>HYPERLINK("http://dx.doi.org/10.1017/S003224741800013X","http://dx.doi.org/10.1017/S003224741800013X")</f>
        <v>http://dx.doi.org/10.1017/S003224741800013X</v>
      </c>
      <c r="BG561" t="s">
        <v>74</v>
      </c>
      <c r="BH561" t="s">
        <v>74</v>
      </c>
      <c r="BI561">
        <v>9</v>
      </c>
      <c r="BJ561" t="s">
        <v>7380</v>
      </c>
      <c r="BK561" t="s">
        <v>101</v>
      </c>
      <c r="BL561" t="s">
        <v>1120</v>
      </c>
      <c r="BM561" t="s">
        <v>7381</v>
      </c>
      <c r="BN561" t="s">
        <v>74</v>
      </c>
      <c r="BO561" t="s">
        <v>74</v>
      </c>
      <c r="BP561" t="s">
        <v>74</v>
      </c>
      <c r="BQ561" t="s">
        <v>74</v>
      </c>
      <c r="BR561" t="s">
        <v>105</v>
      </c>
      <c r="BS561" t="s">
        <v>11072</v>
      </c>
      <c r="BT561" t="str">
        <f>HYPERLINK("https%3A%2F%2Fwww.webofscience.com%2Fwos%2Fwoscc%2Ffull-record%2FWOS:000433492400010","View Full Record in Web of Science")</f>
        <v>View Full Record in Web of Science</v>
      </c>
    </row>
    <row r="562" spans="1:72" x14ac:dyDescent="0.15">
      <c r="A562" t="s">
        <v>2085</v>
      </c>
      <c r="B562" t="s">
        <v>11073</v>
      </c>
      <c r="C562" t="s">
        <v>74</v>
      </c>
      <c r="D562" t="s">
        <v>11074</v>
      </c>
      <c r="E562" t="s">
        <v>74</v>
      </c>
      <c r="F562" t="s">
        <v>11075</v>
      </c>
      <c r="G562" t="s">
        <v>74</v>
      </c>
      <c r="H562" t="s">
        <v>74</v>
      </c>
      <c r="I562" t="s">
        <v>11076</v>
      </c>
      <c r="J562" t="s">
        <v>11077</v>
      </c>
      <c r="K562" t="s">
        <v>74</v>
      </c>
      <c r="L562" t="s">
        <v>74</v>
      </c>
      <c r="M562" t="s">
        <v>78</v>
      </c>
      <c r="N562" t="s">
        <v>1862</v>
      </c>
      <c r="O562" t="s">
        <v>74</v>
      </c>
      <c r="P562" t="s">
        <v>74</v>
      </c>
      <c r="Q562" t="s">
        <v>74</v>
      </c>
      <c r="R562" t="s">
        <v>74</v>
      </c>
      <c r="S562" t="s">
        <v>74</v>
      </c>
      <c r="T562" t="s">
        <v>74</v>
      </c>
      <c r="U562" t="s">
        <v>11078</v>
      </c>
      <c r="V562" t="s">
        <v>74</v>
      </c>
      <c r="W562" t="s">
        <v>11079</v>
      </c>
      <c r="X562" t="s">
        <v>11080</v>
      </c>
      <c r="Y562" t="s">
        <v>11081</v>
      </c>
      <c r="Z562" t="s">
        <v>74</v>
      </c>
      <c r="AA562" t="s">
        <v>74</v>
      </c>
      <c r="AB562" t="s">
        <v>74</v>
      </c>
      <c r="AC562" t="s">
        <v>11082</v>
      </c>
      <c r="AD562" t="s">
        <v>11083</v>
      </c>
      <c r="AE562" t="s">
        <v>11084</v>
      </c>
      <c r="AF562" t="s">
        <v>74</v>
      </c>
      <c r="AG562">
        <v>168</v>
      </c>
      <c r="AH562">
        <v>1</v>
      </c>
      <c r="AI562">
        <v>1</v>
      </c>
      <c r="AJ562">
        <v>1</v>
      </c>
      <c r="AK562">
        <v>1</v>
      </c>
      <c r="AL562" t="s">
        <v>1186</v>
      </c>
      <c r="AM562" t="s">
        <v>808</v>
      </c>
      <c r="AN562" t="s">
        <v>11085</v>
      </c>
      <c r="AO562" t="s">
        <v>74</v>
      </c>
      <c r="AP562" t="s">
        <v>74</v>
      </c>
      <c r="AQ562" t="s">
        <v>11086</v>
      </c>
      <c r="AR562" t="s">
        <v>74</v>
      </c>
      <c r="AS562" t="s">
        <v>74</v>
      </c>
      <c r="AT562" t="s">
        <v>74</v>
      </c>
      <c r="AU562">
        <v>2018</v>
      </c>
      <c r="AV562" t="s">
        <v>74</v>
      </c>
      <c r="AW562" t="s">
        <v>74</v>
      </c>
      <c r="AX562" t="s">
        <v>74</v>
      </c>
      <c r="AY562" t="s">
        <v>74</v>
      </c>
      <c r="AZ562" t="s">
        <v>74</v>
      </c>
      <c r="BA562" t="s">
        <v>74</v>
      </c>
      <c r="BB562">
        <v>371</v>
      </c>
      <c r="BC562">
        <v>408</v>
      </c>
      <c r="BD562" t="s">
        <v>74</v>
      </c>
      <c r="BE562" t="s">
        <v>11087</v>
      </c>
      <c r="BF562" t="str">
        <f>HYPERLINK("http://dx.doi.org/10.1016/B978-0-12-813325-5.00006-9","http://dx.doi.org/10.1016/B978-0-12-813325-5.00006-9")</f>
        <v>http://dx.doi.org/10.1016/B978-0-12-813325-5.00006-9</v>
      </c>
      <c r="BG562" t="s">
        <v>11088</v>
      </c>
      <c r="BH562" t="s">
        <v>74</v>
      </c>
      <c r="BI562">
        <v>38</v>
      </c>
      <c r="BJ562" t="s">
        <v>11089</v>
      </c>
      <c r="BK562" t="s">
        <v>1856</v>
      </c>
      <c r="BL562" t="s">
        <v>11090</v>
      </c>
      <c r="BM562" t="s">
        <v>11091</v>
      </c>
      <c r="BN562" t="s">
        <v>74</v>
      </c>
      <c r="BO562" t="s">
        <v>74</v>
      </c>
      <c r="BP562" t="s">
        <v>74</v>
      </c>
      <c r="BQ562" t="s">
        <v>74</v>
      </c>
      <c r="BR562" t="s">
        <v>105</v>
      </c>
      <c r="BS562" t="s">
        <v>11092</v>
      </c>
      <c r="BT562" t="str">
        <f>HYPERLINK("https%3A%2F%2Fwww.webofscience.com%2Fwos%2Fwoscc%2Ffull-record%2FWOS:000538777000006","View Full Record in Web of Science")</f>
        <v>View Full Record in Web of Science</v>
      </c>
    </row>
    <row r="563" spans="1:72" x14ac:dyDescent="0.15">
      <c r="A563" t="s">
        <v>1831</v>
      </c>
      <c r="B563" t="s">
        <v>11093</v>
      </c>
      <c r="C563" t="s">
        <v>11093</v>
      </c>
      <c r="D563" t="s">
        <v>74</v>
      </c>
      <c r="E563" t="s">
        <v>74</v>
      </c>
      <c r="F563" t="s">
        <v>11094</v>
      </c>
      <c r="G563" t="s">
        <v>11093</v>
      </c>
      <c r="H563" t="s">
        <v>74</v>
      </c>
      <c r="I563" t="s">
        <v>11095</v>
      </c>
      <c r="J563" t="s">
        <v>11096</v>
      </c>
      <c r="K563" t="s">
        <v>11097</v>
      </c>
      <c r="L563" t="s">
        <v>74</v>
      </c>
      <c r="M563" t="s">
        <v>78</v>
      </c>
      <c r="N563" t="s">
        <v>1862</v>
      </c>
      <c r="O563" t="s">
        <v>74</v>
      </c>
      <c r="P563" t="s">
        <v>74</v>
      </c>
      <c r="Q563" t="s">
        <v>74</v>
      </c>
      <c r="R563" t="s">
        <v>74</v>
      </c>
      <c r="S563" t="s">
        <v>74</v>
      </c>
      <c r="T563" t="s">
        <v>74</v>
      </c>
      <c r="U563" t="s">
        <v>74</v>
      </c>
      <c r="V563" t="s">
        <v>11098</v>
      </c>
      <c r="W563" t="s">
        <v>11099</v>
      </c>
      <c r="X563" t="s">
        <v>11100</v>
      </c>
      <c r="Y563" t="s">
        <v>11101</v>
      </c>
      <c r="Z563" t="s">
        <v>74</v>
      </c>
      <c r="AA563" t="s">
        <v>11102</v>
      </c>
      <c r="AB563" t="s">
        <v>11103</v>
      </c>
      <c r="AC563" t="s">
        <v>74</v>
      </c>
      <c r="AD563" t="s">
        <v>74</v>
      </c>
      <c r="AE563" t="s">
        <v>74</v>
      </c>
      <c r="AF563" t="s">
        <v>74</v>
      </c>
      <c r="AG563">
        <v>30</v>
      </c>
      <c r="AH563">
        <v>0</v>
      </c>
      <c r="AI563">
        <v>0</v>
      </c>
      <c r="AJ563">
        <v>0</v>
      </c>
      <c r="AK563">
        <v>0</v>
      </c>
      <c r="AL563" t="s">
        <v>1898</v>
      </c>
      <c r="AM563" t="s">
        <v>1899</v>
      </c>
      <c r="AN563" t="s">
        <v>1900</v>
      </c>
      <c r="AO563" t="s">
        <v>11104</v>
      </c>
      <c r="AP563" t="s">
        <v>11105</v>
      </c>
      <c r="AQ563" t="s">
        <v>11106</v>
      </c>
      <c r="AR563" t="s">
        <v>11107</v>
      </c>
      <c r="AS563" t="s">
        <v>74</v>
      </c>
      <c r="AT563" t="s">
        <v>74</v>
      </c>
      <c r="AU563">
        <v>2018</v>
      </c>
      <c r="AV563" t="s">
        <v>74</v>
      </c>
      <c r="AW563" t="s">
        <v>74</v>
      </c>
      <c r="AX563" t="s">
        <v>74</v>
      </c>
      <c r="AY563" t="s">
        <v>74</v>
      </c>
      <c r="AZ563" t="s">
        <v>74</v>
      </c>
      <c r="BA563" t="s">
        <v>74</v>
      </c>
      <c r="BB563">
        <v>355</v>
      </c>
      <c r="BC563">
        <v>399</v>
      </c>
      <c r="BD563" t="s">
        <v>74</v>
      </c>
      <c r="BE563" t="s">
        <v>11108</v>
      </c>
      <c r="BF563" t="str">
        <f>HYPERLINK("http://dx.doi.org/10.1007/978-3-319-96854-4_10","http://dx.doi.org/10.1007/978-3-319-96854-4_10")</f>
        <v>http://dx.doi.org/10.1007/978-3-319-96854-4_10</v>
      </c>
      <c r="BG563" t="s">
        <v>11109</v>
      </c>
      <c r="BH563" t="s">
        <v>74</v>
      </c>
      <c r="BI563">
        <v>45</v>
      </c>
      <c r="BJ563" t="s">
        <v>6324</v>
      </c>
      <c r="BK563" t="s">
        <v>1856</v>
      </c>
      <c r="BL563" t="s">
        <v>2082</v>
      </c>
      <c r="BM563" t="s">
        <v>11110</v>
      </c>
      <c r="BN563" t="s">
        <v>74</v>
      </c>
      <c r="BO563" t="s">
        <v>74</v>
      </c>
      <c r="BP563" t="s">
        <v>74</v>
      </c>
      <c r="BQ563" t="s">
        <v>74</v>
      </c>
      <c r="BR563" t="s">
        <v>105</v>
      </c>
      <c r="BS563" t="s">
        <v>11111</v>
      </c>
      <c r="BT563" t="str">
        <f>HYPERLINK("https%3A%2F%2Fwww.webofscience.com%2Fwos%2Fwoscc%2Ffull-record%2FWOS:000582664500011","View Full Record in Web of Science")</f>
        <v>View Full Record in Web of Science</v>
      </c>
    </row>
    <row r="564" spans="1:72" x14ac:dyDescent="0.15">
      <c r="A564" t="s">
        <v>1776</v>
      </c>
      <c r="B564" t="s">
        <v>11112</v>
      </c>
      <c r="C564" t="s">
        <v>74</v>
      </c>
      <c r="D564" t="s">
        <v>74</v>
      </c>
      <c r="E564" t="s">
        <v>1778</v>
      </c>
      <c r="F564" t="s">
        <v>11113</v>
      </c>
      <c r="G564" t="s">
        <v>74</v>
      </c>
      <c r="H564" t="s">
        <v>74</v>
      </c>
      <c r="I564" t="s">
        <v>11114</v>
      </c>
      <c r="J564" t="s">
        <v>11115</v>
      </c>
      <c r="K564" t="s">
        <v>11116</v>
      </c>
      <c r="L564" t="s">
        <v>74</v>
      </c>
      <c r="M564" t="s">
        <v>78</v>
      </c>
      <c r="N564" t="s">
        <v>1782</v>
      </c>
      <c r="O564" t="s">
        <v>11117</v>
      </c>
      <c r="P564" t="s">
        <v>11118</v>
      </c>
      <c r="Q564" t="s">
        <v>11119</v>
      </c>
      <c r="R564" t="s">
        <v>74</v>
      </c>
      <c r="S564" t="s">
        <v>74</v>
      </c>
      <c r="T564" t="s">
        <v>74</v>
      </c>
      <c r="U564" t="s">
        <v>74</v>
      </c>
      <c r="V564" t="s">
        <v>11120</v>
      </c>
      <c r="W564" t="s">
        <v>11121</v>
      </c>
      <c r="X564" t="s">
        <v>11122</v>
      </c>
      <c r="Y564" t="s">
        <v>11123</v>
      </c>
      <c r="Z564" t="s">
        <v>11124</v>
      </c>
      <c r="AA564" t="s">
        <v>11125</v>
      </c>
      <c r="AB564" t="s">
        <v>11126</v>
      </c>
      <c r="AC564" t="s">
        <v>11127</v>
      </c>
      <c r="AD564" t="s">
        <v>2846</v>
      </c>
      <c r="AE564" t="s">
        <v>11128</v>
      </c>
      <c r="AF564" t="s">
        <v>74</v>
      </c>
      <c r="AG564">
        <v>13</v>
      </c>
      <c r="AH564">
        <v>0</v>
      </c>
      <c r="AI564">
        <v>0</v>
      </c>
      <c r="AJ564">
        <v>0</v>
      </c>
      <c r="AK564">
        <v>0</v>
      </c>
      <c r="AL564" t="s">
        <v>1778</v>
      </c>
      <c r="AM564" t="s">
        <v>1797</v>
      </c>
      <c r="AN564" t="s">
        <v>1798</v>
      </c>
      <c r="AO564" t="s">
        <v>11129</v>
      </c>
      <c r="AP564" t="s">
        <v>11130</v>
      </c>
      <c r="AQ564" t="s">
        <v>11131</v>
      </c>
      <c r="AR564" t="s">
        <v>11132</v>
      </c>
      <c r="AS564" t="s">
        <v>74</v>
      </c>
      <c r="AT564" t="s">
        <v>74</v>
      </c>
      <c r="AU564">
        <v>2018</v>
      </c>
      <c r="AV564" t="s">
        <v>74</v>
      </c>
      <c r="AW564" t="s">
        <v>74</v>
      </c>
      <c r="AX564" t="s">
        <v>74</v>
      </c>
      <c r="AY564" t="s">
        <v>74</v>
      </c>
      <c r="AZ564" t="s">
        <v>74</v>
      </c>
      <c r="BA564" t="s">
        <v>74</v>
      </c>
      <c r="BB564" t="s">
        <v>74</v>
      </c>
      <c r="BC564" t="s">
        <v>74</v>
      </c>
      <c r="BD564" t="s">
        <v>74</v>
      </c>
      <c r="BE564" t="s">
        <v>74</v>
      </c>
      <c r="BF564" t="s">
        <v>74</v>
      </c>
      <c r="BG564" t="s">
        <v>74</v>
      </c>
      <c r="BH564" t="s">
        <v>74</v>
      </c>
      <c r="BI564">
        <v>9</v>
      </c>
      <c r="BJ564" t="s">
        <v>2229</v>
      </c>
      <c r="BK564" t="s">
        <v>1801</v>
      </c>
      <c r="BL564" t="s">
        <v>2155</v>
      </c>
      <c r="BM564" t="s">
        <v>11133</v>
      </c>
      <c r="BN564" t="s">
        <v>74</v>
      </c>
      <c r="BO564" t="s">
        <v>74</v>
      </c>
      <c r="BP564" t="s">
        <v>74</v>
      </c>
      <c r="BQ564" t="s">
        <v>74</v>
      </c>
      <c r="BR564" t="s">
        <v>105</v>
      </c>
      <c r="BS564" t="s">
        <v>11134</v>
      </c>
      <c r="BT564" t="str">
        <f>HYPERLINK("https%3A%2F%2Fwww.webofscience.com%2Fwos%2Fwoscc%2Ffull-record%2FWOS:000517795800129","View Full Record in Web of Science")</f>
        <v>View Full Record in Web of Science</v>
      </c>
    </row>
    <row r="565" spans="1:72" x14ac:dyDescent="0.15">
      <c r="A565" t="s">
        <v>1776</v>
      </c>
      <c r="B565" t="s">
        <v>11135</v>
      </c>
      <c r="C565" t="s">
        <v>74</v>
      </c>
      <c r="D565" t="s">
        <v>74</v>
      </c>
      <c r="E565" t="s">
        <v>11136</v>
      </c>
      <c r="F565" t="s">
        <v>11137</v>
      </c>
      <c r="G565" t="s">
        <v>74</v>
      </c>
      <c r="H565" t="s">
        <v>74</v>
      </c>
      <c r="I565" t="s">
        <v>11138</v>
      </c>
      <c r="J565" t="s">
        <v>11139</v>
      </c>
      <c r="K565" t="s">
        <v>11140</v>
      </c>
      <c r="L565" t="s">
        <v>74</v>
      </c>
      <c r="M565" t="s">
        <v>78</v>
      </c>
      <c r="N565" t="s">
        <v>1782</v>
      </c>
      <c r="O565" t="s">
        <v>11141</v>
      </c>
      <c r="P565" t="s">
        <v>11142</v>
      </c>
      <c r="Q565" t="s">
        <v>11143</v>
      </c>
      <c r="R565" t="s">
        <v>74</v>
      </c>
      <c r="S565" t="s">
        <v>74</v>
      </c>
      <c r="T565" t="s">
        <v>74</v>
      </c>
      <c r="U565" t="s">
        <v>74</v>
      </c>
      <c r="V565" t="s">
        <v>11144</v>
      </c>
      <c r="W565" t="s">
        <v>11145</v>
      </c>
      <c r="X565" t="s">
        <v>11146</v>
      </c>
      <c r="Y565" t="s">
        <v>11147</v>
      </c>
      <c r="Z565" t="s">
        <v>74</v>
      </c>
      <c r="AA565" t="s">
        <v>11148</v>
      </c>
      <c r="AB565" t="s">
        <v>11149</v>
      </c>
      <c r="AC565" t="s">
        <v>11150</v>
      </c>
      <c r="AD565" t="s">
        <v>11151</v>
      </c>
      <c r="AE565" t="s">
        <v>11152</v>
      </c>
      <c r="AF565" t="s">
        <v>74</v>
      </c>
      <c r="AG565">
        <v>24</v>
      </c>
      <c r="AH565">
        <v>5</v>
      </c>
      <c r="AI565">
        <v>5</v>
      </c>
      <c r="AJ565">
        <v>0</v>
      </c>
      <c r="AK565">
        <v>1</v>
      </c>
      <c r="AL565" t="s">
        <v>11153</v>
      </c>
      <c r="AM565" t="s">
        <v>272</v>
      </c>
      <c r="AN565" t="s">
        <v>11154</v>
      </c>
      <c r="AO565" t="s">
        <v>11155</v>
      </c>
      <c r="AP565" t="s">
        <v>11156</v>
      </c>
      <c r="AQ565" t="s">
        <v>74</v>
      </c>
      <c r="AR565" t="s">
        <v>11157</v>
      </c>
      <c r="AS565" t="s">
        <v>74</v>
      </c>
      <c r="AT565" t="s">
        <v>74</v>
      </c>
      <c r="AU565">
        <v>2018</v>
      </c>
      <c r="AV565" t="s">
        <v>74</v>
      </c>
      <c r="AW565" t="s">
        <v>74</v>
      </c>
      <c r="AX565" t="s">
        <v>74</v>
      </c>
      <c r="AY565" t="s">
        <v>74</v>
      </c>
      <c r="AZ565" t="s">
        <v>74</v>
      </c>
      <c r="BA565" t="s">
        <v>74</v>
      </c>
      <c r="BB565">
        <v>3596</v>
      </c>
      <c r="BC565">
        <v>3610</v>
      </c>
      <c r="BD565" t="s">
        <v>74</v>
      </c>
      <c r="BE565" t="s">
        <v>11158</v>
      </c>
      <c r="BF565" t="str">
        <f>HYPERLINK("http://dx.doi.org/10.33012/2018.15913","http://dx.doi.org/10.33012/2018.15913")</f>
        <v>http://dx.doi.org/10.33012/2018.15913</v>
      </c>
      <c r="BG565" t="s">
        <v>74</v>
      </c>
      <c r="BH565" t="s">
        <v>74</v>
      </c>
      <c r="BI565">
        <v>15</v>
      </c>
      <c r="BJ565" t="s">
        <v>11159</v>
      </c>
      <c r="BK565" t="s">
        <v>1801</v>
      </c>
      <c r="BL565" t="s">
        <v>11159</v>
      </c>
      <c r="BM565" t="s">
        <v>11160</v>
      </c>
      <c r="BN565" t="s">
        <v>74</v>
      </c>
      <c r="BO565" t="s">
        <v>74</v>
      </c>
      <c r="BP565" t="s">
        <v>74</v>
      </c>
      <c r="BQ565" t="s">
        <v>74</v>
      </c>
      <c r="BR565" t="s">
        <v>105</v>
      </c>
      <c r="BS565" t="s">
        <v>11161</v>
      </c>
      <c r="BT565" t="str">
        <f>HYPERLINK("https%3A%2F%2Fwww.webofscience.com%2Fwos%2Fwoscc%2Ffull-record%2FWOS:000545000103054","View Full Record in Web of Science")</f>
        <v>View Full Record in Web of Science</v>
      </c>
    </row>
    <row r="566" spans="1:72" x14ac:dyDescent="0.15">
      <c r="A566" t="s">
        <v>1776</v>
      </c>
      <c r="B566" t="s">
        <v>10167</v>
      </c>
      <c r="C566" t="s">
        <v>74</v>
      </c>
      <c r="D566" t="s">
        <v>11162</v>
      </c>
      <c r="E566" t="s">
        <v>74</v>
      </c>
      <c r="F566" t="s">
        <v>10169</v>
      </c>
      <c r="G566" t="s">
        <v>74</v>
      </c>
      <c r="H566" t="s">
        <v>74</v>
      </c>
      <c r="I566" t="s">
        <v>11163</v>
      </c>
      <c r="J566" t="s">
        <v>11164</v>
      </c>
      <c r="K566" t="s">
        <v>74</v>
      </c>
      <c r="L566" t="s">
        <v>74</v>
      </c>
      <c r="M566" t="s">
        <v>78</v>
      </c>
      <c r="N566" t="s">
        <v>1782</v>
      </c>
      <c r="O566" t="s">
        <v>11165</v>
      </c>
      <c r="P566" t="s">
        <v>11166</v>
      </c>
      <c r="Q566" t="s">
        <v>11167</v>
      </c>
      <c r="R566" t="s">
        <v>74</v>
      </c>
      <c r="S566" t="s">
        <v>11168</v>
      </c>
      <c r="T566" t="s">
        <v>11169</v>
      </c>
      <c r="U566" t="s">
        <v>74</v>
      </c>
      <c r="V566" t="s">
        <v>11170</v>
      </c>
      <c r="W566" t="s">
        <v>11171</v>
      </c>
      <c r="X566" t="s">
        <v>10176</v>
      </c>
      <c r="Y566" t="s">
        <v>11172</v>
      </c>
      <c r="Z566" t="s">
        <v>74</v>
      </c>
      <c r="AA566" t="s">
        <v>74</v>
      </c>
      <c r="AB566" t="s">
        <v>74</v>
      </c>
      <c r="AC566" t="s">
        <v>74</v>
      </c>
      <c r="AD566" t="s">
        <v>74</v>
      </c>
      <c r="AE566" t="s">
        <v>74</v>
      </c>
      <c r="AF566" t="s">
        <v>74</v>
      </c>
      <c r="AG566">
        <v>42</v>
      </c>
      <c r="AH566">
        <v>1</v>
      </c>
      <c r="AI566">
        <v>1</v>
      </c>
      <c r="AJ566">
        <v>0</v>
      </c>
      <c r="AK566">
        <v>1</v>
      </c>
      <c r="AL566" t="s">
        <v>11173</v>
      </c>
      <c r="AM566" t="s">
        <v>11174</v>
      </c>
      <c r="AN566" t="s">
        <v>11175</v>
      </c>
      <c r="AO566" t="s">
        <v>74</v>
      </c>
      <c r="AP566" t="s">
        <v>74</v>
      </c>
      <c r="AQ566" t="s">
        <v>11176</v>
      </c>
      <c r="AR566" t="s">
        <v>74</v>
      </c>
      <c r="AS566" t="s">
        <v>74</v>
      </c>
      <c r="AT566" t="s">
        <v>74</v>
      </c>
      <c r="AU566">
        <v>2018</v>
      </c>
      <c r="AV566" t="s">
        <v>74</v>
      </c>
      <c r="AW566" t="s">
        <v>74</v>
      </c>
      <c r="AX566" t="s">
        <v>74</v>
      </c>
      <c r="AY566" t="s">
        <v>74</v>
      </c>
      <c r="AZ566" t="s">
        <v>74</v>
      </c>
      <c r="BA566" t="s">
        <v>74</v>
      </c>
      <c r="BB566">
        <v>441</v>
      </c>
      <c r="BC566">
        <v>461</v>
      </c>
      <c r="BD566" t="s">
        <v>74</v>
      </c>
      <c r="BE566" t="s">
        <v>11177</v>
      </c>
      <c r="BF566" t="str">
        <f>HYPERLINK("http://dx.doi.org/10.1075/z.217.24wat","http://dx.doi.org/10.1075/z.217.24wat")</f>
        <v>http://dx.doi.org/10.1075/z.217.24wat</v>
      </c>
      <c r="BG566" t="s">
        <v>74</v>
      </c>
      <c r="BH566" t="s">
        <v>74</v>
      </c>
      <c r="BI566">
        <v>21</v>
      </c>
      <c r="BJ566" t="s">
        <v>11178</v>
      </c>
      <c r="BK566" t="s">
        <v>6129</v>
      </c>
      <c r="BL566" t="s">
        <v>11179</v>
      </c>
      <c r="BM566" t="s">
        <v>11180</v>
      </c>
      <c r="BN566" t="s">
        <v>74</v>
      </c>
      <c r="BO566" t="s">
        <v>74</v>
      </c>
      <c r="BP566" t="s">
        <v>74</v>
      </c>
      <c r="BQ566" t="s">
        <v>74</v>
      </c>
      <c r="BR566" t="s">
        <v>105</v>
      </c>
      <c r="BS566" t="s">
        <v>11181</v>
      </c>
      <c r="BT566" t="str">
        <f>HYPERLINK("https%3A%2F%2Fwww.webofscience.com%2Fwos%2Fwoscc%2Ffull-record%2FWOS:000594372000024","View Full Record in Web of Science")</f>
        <v>View Full Record in Web of Science</v>
      </c>
    </row>
    <row r="567" spans="1:72" x14ac:dyDescent="0.15">
      <c r="A567" t="s">
        <v>72</v>
      </c>
      <c r="B567" t="s">
        <v>11182</v>
      </c>
      <c r="C567" t="s">
        <v>74</v>
      </c>
      <c r="D567" t="s">
        <v>74</v>
      </c>
      <c r="E567" t="s">
        <v>74</v>
      </c>
      <c r="F567" t="s">
        <v>11183</v>
      </c>
      <c r="G567" t="s">
        <v>74</v>
      </c>
      <c r="H567" t="s">
        <v>74</v>
      </c>
      <c r="I567" t="s">
        <v>11184</v>
      </c>
      <c r="J567" t="s">
        <v>11185</v>
      </c>
      <c r="K567" t="s">
        <v>74</v>
      </c>
      <c r="L567" t="s">
        <v>74</v>
      </c>
      <c r="M567" t="s">
        <v>78</v>
      </c>
      <c r="N567" t="s">
        <v>79</v>
      </c>
      <c r="O567" t="s">
        <v>74</v>
      </c>
      <c r="P567" t="s">
        <v>74</v>
      </c>
      <c r="Q567" t="s">
        <v>74</v>
      </c>
      <c r="R567" t="s">
        <v>74</v>
      </c>
      <c r="S567" t="s">
        <v>74</v>
      </c>
      <c r="T567" t="s">
        <v>11186</v>
      </c>
      <c r="U567" t="s">
        <v>74</v>
      </c>
      <c r="V567" t="s">
        <v>74</v>
      </c>
      <c r="W567" t="s">
        <v>11187</v>
      </c>
      <c r="X567" t="s">
        <v>11188</v>
      </c>
      <c r="Y567" t="s">
        <v>11189</v>
      </c>
      <c r="Z567" t="s">
        <v>11190</v>
      </c>
      <c r="AA567" t="s">
        <v>11191</v>
      </c>
      <c r="AB567" t="s">
        <v>74</v>
      </c>
      <c r="AC567" t="s">
        <v>74</v>
      </c>
      <c r="AD567" t="s">
        <v>74</v>
      </c>
      <c r="AE567" t="s">
        <v>74</v>
      </c>
      <c r="AF567" t="s">
        <v>74</v>
      </c>
      <c r="AG567">
        <v>2</v>
      </c>
      <c r="AH567">
        <v>0</v>
      </c>
      <c r="AI567">
        <v>0</v>
      </c>
      <c r="AJ567">
        <v>0</v>
      </c>
      <c r="AK567">
        <v>1</v>
      </c>
      <c r="AL567" t="s">
        <v>11192</v>
      </c>
      <c r="AM567" t="s">
        <v>4769</v>
      </c>
      <c r="AN567" t="s">
        <v>11193</v>
      </c>
      <c r="AO567" t="s">
        <v>11194</v>
      </c>
      <c r="AP567" t="s">
        <v>11195</v>
      </c>
      <c r="AQ567" t="s">
        <v>74</v>
      </c>
      <c r="AR567" t="s">
        <v>11196</v>
      </c>
      <c r="AS567" t="s">
        <v>11197</v>
      </c>
      <c r="AT567" t="s">
        <v>74</v>
      </c>
      <c r="AU567">
        <v>2018</v>
      </c>
      <c r="AV567">
        <v>79</v>
      </c>
      <c r="AW567" t="s">
        <v>74</v>
      </c>
      <c r="AX567">
        <v>3</v>
      </c>
      <c r="AY567" t="s">
        <v>74</v>
      </c>
      <c r="AZ567" t="s">
        <v>74</v>
      </c>
      <c r="BA567" t="s">
        <v>74</v>
      </c>
      <c r="BB567">
        <v>63</v>
      </c>
      <c r="BC567">
        <v>64</v>
      </c>
      <c r="BD567" t="s">
        <v>74</v>
      </c>
      <c r="BE567" t="s">
        <v>74</v>
      </c>
      <c r="BF567" t="s">
        <v>74</v>
      </c>
      <c r="BG567" t="s">
        <v>74</v>
      </c>
      <c r="BH567" t="s">
        <v>74</v>
      </c>
      <c r="BI567">
        <v>2</v>
      </c>
      <c r="BJ567" t="s">
        <v>280</v>
      </c>
      <c r="BK567" t="s">
        <v>2081</v>
      </c>
      <c r="BL567" t="s">
        <v>281</v>
      </c>
      <c r="BM567" t="s">
        <v>11198</v>
      </c>
      <c r="BN567" t="s">
        <v>74</v>
      </c>
      <c r="BO567" t="s">
        <v>74</v>
      </c>
      <c r="BP567" t="s">
        <v>74</v>
      </c>
      <c r="BQ567" t="s">
        <v>74</v>
      </c>
      <c r="BR567" t="s">
        <v>105</v>
      </c>
      <c r="BS567" t="s">
        <v>11199</v>
      </c>
      <c r="BT567" t="str">
        <f>HYPERLINK("https%3A%2F%2Fwww.webofscience.com%2Fwos%2Fwoscc%2Ffull-record%2FWOS:000670425500025","View Full Record in Web of Science")</f>
        <v>View Full Record in Web of Science</v>
      </c>
    </row>
    <row r="568" spans="1:72" x14ac:dyDescent="0.15">
      <c r="A568" t="s">
        <v>72</v>
      </c>
      <c r="B568" t="s">
        <v>11200</v>
      </c>
      <c r="C568" t="s">
        <v>74</v>
      </c>
      <c r="D568" t="s">
        <v>74</v>
      </c>
      <c r="E568" t="s">
        <v>74</v>
      </c>
      <c r="F568" t="s">
        <v>11201</v>
      </c>
      <c r="G568" t="s">
        <v>74</v>
      </c>
      <c r="H568" t="s">
        <v>74</v>
      </c>
      <c r="I568" t="s">
        <v>11202</v>
      </c>
      <c r="J568" t="s">
        <v>11185</v>
      </c>
      <c r="K568" t="s">
        <v>74</v>
      </c>
      <c r="L568" t="s">
        <v>74</v>
      </c>
      <c r="M568" t="s">
        <v>78</v>
      </c>
      <c r="N568" t="s">
        <v>79</v>
      </c>
      <c r="O568" t="s">
        <v>74</v>
      </c>
      <c r="P568" t="s">
        <v>74</v>
      </c>
      <c r="Q568" t="s">
        <v>74</v>
      </c>
      <c r="R568" t="s">
        <v>74</v>
      </c>
      <c r="S568" t="s">
        <v>74</v>
      </c>
      <c r="T568" t="s">
        <v>11203</v>
      </c>
      <c r="U568" t="s">
        <v>74</v>
      </c>
      <c r="V568" t="s">
        <v>74</v>
      </c>
      <c r="W568" t="s">
        <v>11204</v>
      </c>
      <c r="X568" t="s">
        <v>11188</v>
      </c>
      <c r="Y568" t="s">
        <v>11189</v>
      </c>
      <c r="Z568" t="s">
        <v>11205</v>
      </c>
      <c r="AA568" t="s">
        <v>11206</v>
      </c>
      <c r="AB568" t="s">
        <v>11207</v>
      </c>
      <c r="AC568" t="s">
        <v>74</v>
      </c>
      <c r="AD568" t="s">
        <v>74</v>
      </c>
      <c r="AE568" t="s">
        <v>74</v>
      </c>
      <c r="AF568" t="s">
        <v>74</v>
      </c>
      <c r="AG568">
        <v>2</v>
      </c>
      <c r="AH568">
        <v>4</v>
      </c>
      <c r="AI568">
        <v>4</v>
      </c>
      <c r="AJ568">
        <v>0</v>
      </c>
      <c r="AK568">
        <v>2</v>
      </c>
      <c r="AL568" t="s">
        <v>11192</v>
      </c>
      <c r="AM568" t="s">
        <v>4769</v>
      </c>
      <c r="AN568" t="s">
        <v>11193</v>
      </c>
      <c r="AO568" t="s">
        <v>11194</v>
      </c>
      <c r="AP568" t="s">
        <v>11195</v>
      </c>
      <c r="AQ568" t="s">
        <v>74</v>
      </c>
      <c r="AR568" t="s">
        <v>11196</v>
      </c>
      <c r="AS568" t="s">
        <v>11197</v>
      </c>
      <c r="AT568" t="s">
        <v>74</v>
      </c>
      <c r="AU568">
        <v>2018</v>
      </c>
      <c r="AV568">
        <v>79</v>
      </c>
      <c r="AW568" t="s">
        <v>74</v>
      </c>
      <c r="AX568">
        <v>3</v>
      </c>
      <c r="AY568" t="s">
        <v>74</v>
      </c>
      <c r="AZ568" t="s">
        <v>74</v>
      </c>
      <c r="BA568" t="s">
        <v>74</v>
      </c>
      <c r="BB568">
        <v>65</v>
      </c>
      <c r="BC568">
        <v>66</v>
      </c>
      <c r="BD568" t="s">
        <v>74</v>
      </c>
      <c r="BE568" t="s">
        <v>74</v>
      </c>
      <c r="BF568" t="s">
        <v>74</v>
      </c>
      <c r="BG568" t="s">
        <v>74</v>
      </c>
      <c r="BH568" t="s">
        <v>74</v>
      </c>
      <c r="BI568">
        <v>2</v>
      </c>
      <c r="BJ568" t="s">
        <v>280</v>
      </c>
      <c r="BK568" t="s">
        <v>2081</v>
      </c>
      <c r="BL568" t="s">
        <v>281</v>
      </c>
      <c r="BM568" t="s">
        <v>11198</v>
      </c>
      <c r="BN568" t="s">
        <v>74</v>
      </c>
      <c r="BO568" t="s">
        <v>74</v>
      </c>
      <c r="BP568" t="s">
        <v>74</v>
      </c>
      <c r="BQ568" t="s">
        <v>74</v>
      </c>
      <c r="BR568" t="s">
        <v>105</v>
      </c>
      <c r="BS568" t="s">
        <v>11208</v>
      </c>
      <c r="BT568" t="str">
        <f>HYPERLINK("https%3A%2F%2Fwww.webofscience.com%2Fwos%2Fwoscc%2Ffull-record%2FWOS:000670425500026","View Full Record in Web of Science")</f>
        <v>View Full Record in Web of Science</v>
      </c>
    </row>
    <row r="569" spans="1:72" x14ac:dyDescent="0.15">
      <c r="A569" t="s">
        <v>1776</v>
      </c>
      <c r="B569" t="s">
        <v>11209</v>
      </c>
      <c r="C569" t="s">
        <v>74</v>
      </c>
      <c r="D569" t="s">
        <v>11210</v>
      </c>
      <c r="E569" t="s">
        <v>74</v>
      </c>
      <c r="F569" t="s">
        <v>11211</v>
      </c>
      <c r="G569" t="s">
        <v>74</v>
      </c>
      <c r="H569" t="s">
        <v>74</v>
      </c>
      <c r="I569" t="s">
        <v>11212</v>
      </c>
      <c r="J569" t="s">
        <v>11213</v>
      </c>
      <c r="K569" t="s">
        <v>74</v>
      </c>
      <c r="L569" t="s">
        <v>74</v>
      </c>
      <c r="M569" t="s">
        <v>78</v>
      </c>
      <c r="N569" t="s">
        <v>1782</v>
      </c>
      <c r="O569" t="s">
        <v>11214</v>
      </c>
      <c r="P569" t="s">
        <v>11215</v>
      </c>
      <c r="Q569" t="s">
        <v>11216</v>
      </c>
      <c r="R569" t="s">
        <v>74</v>
      </c>
      <c r="S569" t="s">
        <v>74</v>
      </c>
      <c r="T569" t="s">
        <v>11217</v>
      </c>
      <c r="U569" t="s">
        <v>74</v>
      </c>
      <c r="V569" t="s">
        <v>11218</v>
      </c>
      <c r="W569" t="s">
        <v>11219</v>
      </c>
      <c r="X569" t="s">
        <v>74</v>
      </c>
      <c r="Y569" t="s">
        <v>11220</v>
      </c>
      <c r="Z569" t="s">
        <v>11221</v>
      </c>
      <c r="AA569" t="s">
        <v>74</v>
      </c>
      <c r="AB569" t="s">
        <v>74</v>
      </c>
      <c r="AC569" t="s">
        <v>74</v>
      </c>
      <c r="AD569" t="s">
        <v>74</v>
      </c>
      <c r="AE569" t="s">
        <v>74</v>
      </c>
      <c r="AF569" t="s">
        <v>74</v>
      </c>
      <c r="AG569">
        <v>5</v>
      </c>
      <c r="AH569">
        <v>0</v>
      </c>
      <c r="AI569">
        <v>0</v>
      </c>
      <c r="AJ569">
        <v>0</v>
      </c>
      <c r="AK569">
        <v>1</v>
      </c>
      <c r="AL569" t="s">
        <v>11222</v>
      </c>
      <c r="AM569" t="s">
        <v>808</v>
      </c>
      <c r="AN569" t="s">
        <v>11223</v>
      </c>
      <c r="AO569" t="s">
        <v>74</v>
      </c>
      <c r="AP569" t="s">
        <v>74</v>
      </c>
      <c r="AQ569" t="s">
        <v>11224</v>
      </c>
      <c r="AR569" t="s">
        <v>74</v>
      </c>
      <c r="AS569" t="s">
        <v>74</v>
      </c>
      <c r="AT569" t="s">
        <v>74</v>
      </c>
      <c r="AU569">
        <v>2018</v>
      </c>
      <c r="AV569" t="s">
        <v>74</v>
      </c>
      <c r="AW569" t="s">
        <v>74</v>
      </c>
      <c r="AX569" t="s">
        <v>74</v>
      </c>
      <c r="AY569" t="s">
        <v>74</v>
      </c>
      <c r="AZ569" t="s">
        <v>74</v>
      </c>
      <c r="BA569" t="s">
        <v>74</v>
      </c>
      <c r="BB569">
        <v>786</v>
      </c>
      <c r="BC569">
        <v>794</v>
      </c>
      <c r="BD569" t="s">
        <v>74</v>
      </c>
      <c r="BE569" t="s">
        <v>11225</v>
      </c>
      <c r="BF569" t="str">
        <f>HYPERLINK("http://dx.doi.org/10.3233/978-1-61499-870-9-786","http://dx.doi.org/10.3233/978-1-61499-870-9-786")</f>
        <v>http://dx.doi.org/10.3233/978-1-61499-870-9-786</v>
      </c>
      <c r="BG569" t="s">
        <v>74</v>
      </c>
      <c r="BH569" t="s">
        <v>74</v>
      </c>
      <c r="BI569">
        <v>9</v>
      </c>
      <c r="BJ569" t="s">
        <v>2403</v>
      </c>
      <c r="BK569" t="s">
        <v>1801</v>
      </c>
      <c r="BL569" t="s">
        <v>2155</v>
      </c>
      <c r="BM569" t="s">
        <v>11226</v>
      </c>
      <c r="BN569" t="s">
        <v>74</v>
      </c>
      <c r="BO569" t="s">
        <v>74</v>
      </c>
      <c r="BP569" t="s">
        <v>74</v>
      </c>
      <c r="BQ569" t="s">
        <v>74</v>
      </c>
      <c r="BR569" t="s">
        <v>105</v>
      </c>
      <c r="BS569" t="s">
        <v>11227</v>
      </c>
      <c r="BT569" t="str">
        <f>HYPERLINK("https%3A%2F%2Fwww.webofscience.com%2Fwos%2Fwoscc%2Ffull-record%2FWOS:000567876300092","View Full Record in Web of Science")</f>
        <v>View Full Record in Web of Science</v>
      </c>
    </row>
    <row r="570" spans="1:72" x14ac:dyDescent="0.15">
      <c r="A570" t="s">
        <v>2085</v>
      </c>
      <c r="B570" t="s">
        <v>11228</v>
      </c>
      <c r="C570" t="s">
        <v>11229</v>
      </c>
      <c r="D570" t="s">
        <v>74</v>
      </c>
      <c r="E570" t="s">
        <v>74</v>
      </c>
      <c r="F570" t="s">
        <v>11230</v>
      </c>
      <c r="G570" t="s">
        <v>11229</v>
      </c>
      <c r="H570" t="s">
        <v>74</v>
      </c>
      <c r="I570" t="s">
        <v>11231</v>
      </c>
      <c r="J570" t="s">
        <v>11232</v>
      </c>
      <c r="K570" t="s">
        <v>74</v>
      </c>
      <c r="L570" t="s">
        <v>74</v>
      </c>
      <c r="M570" t="s">
        <v>78</v>
      </c>
      <c r="N570" t="s">
        <v>1862</v>
      </c>
      <c r="O570" t="s">
        <v>74</v>
      </c>
      <c r="P570" t="s">
        <v>74</v>
      </c>
      <c r="Q570" t="s">
        <v>74</v>
      </c>
      <c r="R570" t="s">
        <v>74</v>
      </c>
      <c r="S570" t="s">
        <v>74</v>
      </c>
      <c r="T570" t="s">
        <v>74</v>
      </c>
      <c r="U570" t="s">
        <v>74</v>
      </c>
      <c r="V570" t="s">
        <v>74</v>
      </c>
      <c r="W570" t="s">
        <v>11233</v>
      </c>
      <c r="X570" t="s">
        <v>11234</v>
      </c>
      <c r="Y570" t="s">
        <v>11235</v>
      </c>
      <c r="Z570" t="s">
        <v>11236</v>
      </c>
      <c r="AA570" t="s">
        <v>11237</v>
      </c>
      <c r="AB570" t="s">
        <v>5042</v>
      </c>
      <c r="AC570" t="s">
        <v>74</v>
      </c>
      <c r="AD570" t="s">
        <v>74</v>
      </c>
      <c r="AE570" t="s">
        <v>74</v>
      </c>
      <c r="AF570" t="s">
        <v>74</v>
      </c>
      <c r="AG570">
        <v>0</v>
      </c>
      <c r="AH570">
        <v>0</v>
      </c>
      <c r="AI570">
        <v>0</v>
      </c>
      <c r="AJ570">
        <v>0</v>
      </c>
      <c r="AK570">
        <v>0</v>
      </c>
      <c r="AL570" t="s">
        <v>11238</v>
      </c>
      <c r="AM570" t="s">
        <v>11239</v>
      </c>
      <c r="AN570" t="s">
        <v>11240</v>
      </c>
      <c r="AO570" t="s">
        <v>74</v>
      </c>
      <c r="AP570" t="s">
        <v>74</v>
      </c>
      <c r="AQ570" t="s">
        <v>11241</v>
      </c>
      <c r="AR570" t="s">
        <v>74</v>
      </c>
      <c r="AS570" t="s">
        <v>74</v>
      </c>
      <c r="AT570" t="s">
        <v>74</v>
      </c>
      <c r="AU570">
        <v>2018</v>
      </c>
      <c r="AV570" t="s">
        <v>74</v>
      </c>
      <c r="AW570" t="s">
        <v>74</v>
      </c>
      <c r="AX570" t="s">
        <v>74</v>
      </c>
      <c r="AY570" t="s">
        <v>74</v>
      </c>
      <c r="AZ570" t="s">
        <v>74</v>
      </c>
      <c r="BA570" t="s">
        <v>74</v>
      </c>
      <c r="BB570">
        <v>281</v>
      </c>
      <c r="BC570">
        <v>294</v>
      </c>
      <c r="BD570" t="s">
        <v>74</v>
      </c>
      <c r="BE570" t="s">
        <v>74</v>
      </c>
      <c r="BF570" t="s">
        <v>74</v>
      </c>
      <c r="BG570" t="s">
        <v>74</v>
      </c>
      <c r="BH570" t="s">
        <v>74</v>
      </c>
      <c r="BI570">
        <v>14</v>
      </c>
      <c r="BJ570" t="s">
        <v>11242</v>
      </c>
      <c r="BK570" t="s">
        <v>2102</v>
      </c>
      <c r="BL570" t="s">
        <v>11243</v>
      </c>
      <c r="BM570" t="s">
        <v>11244</v>
      </c>
      <c r="BN570" t="s">
        <v>74</v>
      </c>
      <c r="BO570" t="s">
        <v>74</v>
      </c>
      <c r="BP570" t="s">
        <v>74</v>
      </c>
      <c r="BQ570" t="s">
        <v>74</v>
      </c>
      <c r="BR570" t="s">
        <v>105</v>
      </c>
      <c r="BS570" t="s">
        <v>11245</v>
      </c>
      <c r="BT570" t="str">
        <f>HYPERLINK("https%3A%2F%2Fwww.webofscience.com%2Fwos%2Fwoscc%2Ffull-record%2FWOS:000577145900016","View Full Record in Web of Science")</f>
        <v>View Full Record in Web of Science</v>
      </c>
    </row>
    <row r="571" spans="1:72" x14ac:dyDescent="0.15">
      <c r="A571" t="s">
        <v>2085</v>
      </c>
      <c r="B571" t="s">
        <v>11246</v>
      </c>
      <c r="C571" t="s">
        <v>74</v>
      </c>
      <c r="D571" t="s">
        <v>11247</v>
      </c>
      <c r="E571" t="s">
        <v>74</v>
      </c>
      <c r="F571" t="s">
        <v>11248</v>
      </c>
      <c r="G571" t="s">
        <v>74</v>
      </c>
      <c r="H571" t="s">
        <v>74</v>
      </c>
      <c r="I571" t="s">
        <v>11249</v>
      </c>
      <c r="J571" t="s">
        <v>11250</v>
      </c>
      <c r="K571" t="s">
        <v>74</v>
      </c>
      <c r="L571" t="s">
        <v>74</v>
      </c>
      <c r="M571" t="s">
        <v>78</v>
      </c>
      <c r="N571" t="s">
        <v>1862</v>
      </c>
      <c r="O571" t="s">
        <v>74</v>
      </c>
      <c r="P571" t="s">
        <v>74</v>
      </c>
      <c r="Q571" t="s">
        <v>74</v>
      </c>
      <c r="R571" t="s">
        <v>74</v>
      </c>
      <c r="S571" t="s">
        <v>74</v>
      </c>
      <c r="T571" t="s">
        <v>74</v>
      </c>
      <c r="U571" t="s">
        <v>11251</v>
      </c>
      <c r="V571" t="s">
        <v>74</v>
      </c>
      <c r="W571" t="s">
        <v>11252</v>
      </c>
      <c r="X571" t="s">
        <v>11253</v>
      </c>
      <c r="Y571" t="s">
        <v>11254</v>
      </c>
      <c r="Z571" t="s">
        <v>74</v>
      </c>
      <c r="AA571" t="s">
        <v>11255</v>
      </c>
      <c r="AB571" t="s">
        <v>11256</v>
      </c>
      <c r="AC571" t="s">
        <v>11257</v>
      </c>
      <c r="AD571" t="s">
        <v>11258</v>
      </c>
      <c r="AE571" t="s">
        <v>11259</v>
      </c>
      <c r="AF571" t="s">
        <v>74</v>
      </c>
      <c r="AG571">
        <v>64</v>
      </c>
      <c r="AH571">
        <v>2</v>
      </c>
      <c r="AI571">
        <v>2</v>
      </c>
      <c r="AJ571">
        <v>1</v>
      </c>
      <c r="AK571">
        <v>2</v>
      </c>
      <c r="AL571" t="s">
        <v>10221</v>
      </c>
      <c r="AM571" t="s">
        <v>92</v>
      </c>
      <c r="AN571" t="s">
        <v>10222</v>
      </c>
      <c r="AO571" t="s">
        <v>74</v>
      </c>
      <c r="AP571" t="s">
        <v>74</v>
      </c>
      <c r="AQ571" t="s">
        <v>11260</v>
      </c>
      <c r="AR571" t="s">
        <v>74</v>
      </c>
      <c r="AS571" t="s">
        <v>74</v>
      </c>
      <c r="AT571" t="s">
        <v>74</v>
      </c>
      <c r="AU571">
        <v>2018</v>
      </c>
      <c r="AV571" t="s">
        <v>74</v>
      </c>
      <c r="AW571" t="s">
        <v>74</v>
      </c>
      <c r="AX571" t="s">
        <v>74</v>
      </c>
      <c r="AY571" t="s">
        <v>74</v>
      </c>
      <c r="AZ571" t="s">
        <v>74</v>
      </c>
      <c r="BA571" t="s">
        <v>74</v>
      </c>
      <c r="BB571">
        <v>629</v>
      </c>
      <c r="BC571">
        <v>643</v>
      </c>
      <c r="BD571" t="s">
        <v>74</v>
      </c>
      <c r="BE571" t="s">
        <v>11261</v>
      </c>
      <c r="BF571" t="str">
        <f>HYPERLINK("http://dx.doi.org/10.1016/B978-0-12-813012-4.00026-7","http://dx.doi.org/10.1016/B978-0-12-813012-4.00026-7")</f>
        <v>http://dx.doi.org/10.1016/B978-0-12-813012-4.00026-7</v>
      </c>
      <c r="BG571" t="s">
        <v>11262</v>
      </c>
      <c r="BH571" t="s">
        <v>74</v>
      </c>
      <c r="BI571">
        <v>15</v>
      </c>
      <c r="BJ571" t="s">
        <v>9542</v>
      </c>
      <c r="BK571" t="s">
        <v>1856</v>
      </c>
      <c r="BL571" t="s">
        <v>9542</v>
      </c>
      <c r="BM571" t="s">
        <v>11263</v>
      </c>
      <c r="BN571" t="s">
        <v>74</v>
      </c>
      <c r="BO571" t="s">
        <v>74</v>
      </c>
      <c r="BP571" t="s">
        <v>74</v>
      </c>
      <c r="BQ571" t="s">
        <v>74</v>
      </c>
      <c r="BR571" t="s">
        <v>105</v>
      </c>
      <c r="BS571" t="s">
        <v>11264</v>
      </c>
      <c r="BT571" t="str">
        <f>HYPERLINK("https%3A%2F%2Fwww.webofscience.com%2Fwos%2Fwoscc%2Ffull-record%2FWOS:000538773200027","View Full Record in Web of Science")</f>
        <v>View Full Record in Web of Science</v>
      </c>
    </row>
    <row r="572" spans="1:72" x14ac:dyDescent="0.15">
      <c r="A572" t="s">
        <v>72</v>
      </c>
      <c r="B572" t="s">
        <v>11265</v>
      </c>
      <c r="C572" t="s">
        <v>74</v>
      </c>
      <c r="D572" t="s">
        <v>74</v>
      </c>
      <c r="E572" t="s">
        <v>74</v>
      </c>
      <c r="F572" t="s">
        <v>11266</v>
      </c>
      <c r="G572" t="s">
        <v>74</v>
      </c>
      <c r="H572" t="s">
        <v>74</v>
      </c>
      <c r="I572" t="s">
        <v>11267</v>
      </c>
      <c r="J572" t="s">
        <v>11268</v>
      </c>
      <c r="K572" t="s">
        <v>74</v>
      </c>
      <c r="L572" t="s">
        <v>74</v>
      </c>
      <c r="M572" t="s">
        <v>78</v>
      </c>
      <c r="N572" t="s">
        <v>79</v>
      </c>
      <c r="O572" t="s">
        <v>74</v>
      </c>
      <c r="P572" t="s">
        <v>74</v>
      </c>
      <c r="Q572" t="s">
        <v>74</v>
      </c>
      <c r="R572" t="s">
        <v>74</v>
      </c>
      <c r="S572" t="s">
        <v>74</v>
      </c>
      <c r="T572" t="s">
        <v>11269</v>
      </c>
      <c r="U572" t="s">
        <v>11270</v>
      </c>
      <c r="V572" t="s">
        <v>11271</v>
      </c>
      <c r="W572" t="s">
        <v>11272</v>
      </c>
      <c r="X572" t="s">
        <v>11273</v>
      </c>
      <c r="Y572" t="s">
        <v>11274</v>
      </c>
      <c r="Z572" t="s">
        <v>11275</v>
      </c>
      <c r="AA572" t="s">
        <v>11276</v>
      </c>
      <c r="AB572" t="s">
        <v>11277</v>
      </c>
      <c r="AC572" t="s">
        <v>11278</v>
      </c>
      <c r="AD572" t="s">
        <v>11279</v>
      </c>
      <c r="AE572" t="s">
        <v>11280</v>
      </c>
      <c r="AF572" t="s">
        <v>74</v>
      </c>
      <c r="AG572">
        <v>46</v>
      </c>
      <c r="AH572">
        <v>2</v>
      </c>
      <c r="AI572">
        <v>2</v>
      </c>
      <c r="AJ572">
        <v>1</v>
      </c>
      <c r="AK572">
        <v>12</v>
      </c>
      <c r="AL572" t="s">
        <v>11281</v>
      </c>
      <c r="AM572" t="s">
        <v>11282</v>
      </c>
      <c r="AN572" t="s">
        <v>11283</v>
      </c>
      <c r="AO572" t="s">
        <v>11284</v>
      </c>
      <c r="AP572" t="s">
        <v>11285</v>
      </c>
      <c r="AQ572" t="s">
        <v>74</v>
      </c>
      <c r="AR572" t="s">
        <v>11286</v>
      </c>
      <c r="AS572" t="s">
        <v>11287</v>
      </c>
      <c r="AT572" t="s">
        <v>74</v>
      </c>
      <c r="AU572">
        <v>2018</v>
      </c>
      <c r="AV572">
        <v>42</v>
      </c>
      <c r="AW572">
        <v>4</v>
      </c>
      <c r="AX572" t="s">
        <v>74</v>
      </c>
      <c r="AY572" t="s">
        <v>74</v>
      </c>
      <c r="AZ572" t="s">
        <v>74</v>
      </c>
      <c r="BA572" t="s">
        <v>74</v>
      </c>
      <c r="BB572">
        <v>371</v>
      </c>
      <c r="BC572">
        <v>381</v>
      </c>
      <c r="BD572" t="s">
        <v>74</v>
      </c>
      <c r="BE572" t="s">
        <v>11288</v>
      </c>
      <c r="BF572" t="str">
        <f>HYPERLINK("http://dx.doi.org/10.3906/bot-1710-60","http://dx.doi.org/10.3906/bot-1710-60")</f>
        <v>http://dx.doi.org/10.3906/bot-1710-60</v>
      </c>
      <c r="BG572" t="s">
        <v>74</v>
      </c>
      <c r="BH572" t="s">
        <v>74</v>
      </c>
      <c r="BI572">
        <v>11</v>
      </c>
      <c r="BJ572" t="s">
        <v>492</v>
      </c>
      <c r="BK572" t="s">
        <v>101</v>
      </c>
      <c r="BL572" t="s">
        <v>492</v>
      </c>
      <c r="BM572" t="s">
        <v>11289</v>
      </c>
      <c r="BN572" t="s">
        <v>74</v>
      </c>
      <c r="BO572" t="s">
        <v>306</v>
      </c>
      <c r="BP572" t="s">
        <v>74</v>
      </c>
      <c r="BQ572" t="s">
        <v>74</v>
      </c>
      <c r="BR572" t="s">
        <v>105</v>
      </c>
      <c r="BS572" t="s">
        <v>11290</v>
      </c>
      <c r="BT572" t="str">
        <f>HYPERLINK("https%3A%2F%2Fwww.webofscience.com%2Fwos%2Fwoscc%2Ffull-record%2FWOS:000439576800001","View Full Record in Web of Science")</f>
        <v>View Full Record in Web of Science</v>
      </c>
    </row>
    <row r="573" spans="1:72" x14ac:dyDescent="0.15">
      <c r="A573" t="s">
        <v>72</v>
      </c>
      <c r="B573" t="s">
        <v>11291</v>
      </c>
      <c r="C573" t="s">
        <v>74</v>
      </c>
      <c r="D573" t="s">
        <v>74</v>
      </c>
      <c r="E573" t="s">
        <v>74</v>
      </c>
      <c r="F573" t="s">
        <v>11292</v>
      </c>
      <c r="G573" t="s">
        <v>74</v>
      </c>
      <c r="H573" t="s">
        <v>74</v>
      </c>
      <c r="I573" t="s">
        <v>11293</v>
      </c>
      <c r="J573" t="s">
        <v>11294</v>
      </c>
      <c r="K573" t="s">
        <v>74</v>
      </c>
      <c r="L573" t="s">
        <v>74</v>
      </c>
      <c r="M573" t="s">
        <v>78</v>
      </c>
      <c r="N573" t="s">
        <v>79</v>
      </c>
      <c r="O573" t="s">
        <v>74</v>
      </c>
      <c r="P573" t="s">
        <v>74</v>
      </c>
      <c r="Q573" t="s">
        <v>74</v>
      </c>
      <c r="R573" t="s">
        <v>74</v>
      </c>
      <c r="S573" t="s">
        <v>74</v>
      </c>
      <c r="T573" t="s">
        <v>11295</v>
      </c>
      <c r="U573" t="s">
        <v>74</v>
      </c>
      <c r="V573" t="s">
        <v>11296</v>
      </c>
      <c r="W573" t="s">
        <v>11297</v>
      </c>
      <c r="X573" t="s">
        <v>11298</v>
      </c>
      <c r="Y573" t="s">
        <v>11299</v>
      </c>
      <c r="Z573" t="s">
        <v>11300</v>
      </c>
      <c r="AA573" t="s">
        <v>74</v>
      </c>
      <c r="AB573" t="s">
        <v>74</v>
      </c>
      <c r="AC573" t="s">
        <v>11301</v>
      </c>
      <c r="AD573" t="s">
        <v>11301</v>
      </c>
      <c r="AE573" t="s">
        <v>11302</v>
      </c>
      <c r="AF573" t="s">
        <v>74</v>
      </c>
      <c r="AG573">
        <v>32</v>
      </c>
      <c r="AH573">
        <v>2</v>
      </c>
      <c r="AI573">
        <v>2</v>
      </c>
      <c r="AJ573">
        <v>0</v>
      </c>
      <c r="AK573">
        <v>4</v>
      </c>
      <c r="AL573" t="s">
        <v>11303</v>
      </c>
      <c r="AM573" t="s">
        <v>11304</v>
      </c>
      <c r="AN573" t="s">
        <v>11305</v>
      </c>
      <c r="AO573" t="s">
        <v>11306</v>
      </c>
      <c r="AP573" t="s">
        <v>74</v>
      </c>
      <c r="AQ573" t="s">
        <v>74</v>
      </c>
      <c r="AR573" t="s">
        <v>11307</v>
      </c>
      <c r="AS573" t="s">
        <v>11308</v>
      </c>
      <c r="AT573" t="s">
        <v>74</v>
      </c>
      <c r="AU573">
        <v>2018</v>
      </c>
      <c r="AV573">
        <v>38</v>
      </c>
      <c r="AW573">
        <v>1</v>
      </c>
      <c r="AX573" t="s">
        <v>74</v>
      </c>
      <c r="AY573" t="s">
        <v>74</v>
      </c>
      <c r="AZ573" t="s">
        <v>74</v>
      </c>
      <c r="BA573" t="s">
        <v>74</v>
      </c>
      <c r="BB573">
        <v>16</v>
      </c>
      <c r="BC573">
        <v>26</v>
      </c>
      <c r="BD573" t="s">
        <v>74</v>
      </c>
      <c r="BE573" t="s">
        <v>74</v>
      </c>
      <c r="BF573" t="s">
        <v>74</v>
      </c>
      <c r="BG573" t="s">
        <v>74</v>
      </c>
      <c r="BH573" t="s">
        <v>74</v>
      </c>
      <c r="BI573">
        <v>11</v>
      </c>
      <c r="BJ573" t="s">
        <v>430</v>
      </c>
      <c r="BK573" t="s">
        <v>2081</v>
      </c>
      <c r="BL573" t="s">
        <v>430</v>
      </c>
      <c r="BM573" t="s">
        <v>11309</v>
      </c>
      <c r="BN573" t="s">
        <v>74</v>
      </c>
      <c r="BO573" t="s">
        <v>74</v>
      </c>
      <c r="BP573" t="s">
        <v>74</v>
      </c>
      <c r="BQ573" t="s">
        <v>74</v>
      </c>
      <c r="BR573" t="s">
        <v>105</v>
      </c>
      <c r="BS573" t="s">
        <v>11310</v>
      </c>
      <c r="BT573" t="str">
        <f>HYPERLINK("https%3A%2F%2Fwww.webofscience.com%2Fwos%2Fwoscc%2Ffull-record%2FWOS:000608916300002","View Full Record in Web of Science")</f>
        <v>View Full Record in Web of Science</v>
      </c>
    </row>
    <row r="574" spans="1:72" x14ac:dyDescent="0.15">
      <c r="A574" t="s">
        <v>1831</v>
      </c>
      <c r="B574" t="s">
        <v>11311</v>
      </c>
      <c r="C574" t="s">
        <v>74</v>
      </c>
      <c r="D574" t="s">
        <v>11312</v>
      </c>
      <c r="E574" t="s">
        <v>74</v>
      </c>
      <c r="F574" t="s">
        <v>11313</v>
      </c>
      <c r="G574" t="s">
        <v>74</v>
      </c>
      <c r="H574" t="s">
        <v>74</v>
      </c>
      <c r="I574" t="s">
        <v>11314</v>
      </c>
      <c r="J574" t="s">
        <v>11315</v>
      </c>
      <c r="K574" t="s">
        <v>11316</v>
      </c>
      <c r="L574" t="s">
        <v>74</v>
      </c>
      <c r="M574" t="s">
        <v>78</v>
      </c>
      <c r="N574" t="s">
        <v>1862</v>
      </c>
      <c r="O574" t="s">
        <v>74</v>
      </c>
      <c r="P574" t="s">
        <v>74</v>
      </c>
      <c r="Q574" t="s">
        <v>74</v>
      </c>
      <c r="R574" t="s">
        <v>74</v>
      </c>
      <c r="S574" t="s">
        <v>74</v>
      </c>
      <c r="T574" t="s">
        <v>74</v>
      </c>
      <c r="U574" t="s">
        <v>74</v>
      </c>
      <c r="V574" t="s">
        <v>11317</v>
      </c>
      <c r="W574" t="s">
        <v>11318</v>
      </c>
      <c r="X574" t="s">
        <v>11319</v>
      </c>
      <c r="Y574" t="s">
        <v>11320</v>
      </c>
      <c r="Z574" t="s">
        <v>74</v>
      </c>
      <c r="AA574" t="s">
        <v>74</v>
      </c>
      <c r="AB574" t="s">
        <v>74</v>
      </c>
      <c r="AC574" t="s">
        <v>74</v>
      </c>
      <c r="AD574" t="s">
        <v>74</v>
      </c>
      <c r="AE574" t="s">
        <v>74</v>
      </c>
      <c r="AF574" t="s">
        <v>74</v>
      </c>
      <c r="AG574">
        <v>5</v>
      </c>
      <c r="AH574">
        <v>0</v>
      </c>
      <c r="AI574">
        <v>0</v>
      </c>
      <c r="AJ574">
        <v>0</v>
      </c>
      <c r="AK574">
        <v>1</v>
      </c>
      <c r="AL574" t="s">
        <v>11321</v>
      </c>
      <c r="AM574" t="s">
        <v>1649</v>
      </c>
      <c r="AN574" t="s">
        <v>11322</v>
      </c>
      <c r="AO574" t="s">
        <v>11323</v>
      </c>
      <c r="AP574" t="s">
        <v>74</v>
      </c>
      <c r="AQ574" t="s">
        <v>11324</v>
      </c>
      <c r="AR574" t="s">
        <v>11325</v>
      </c>
      <c r="AS574" t="s">
        <v>11326</v>
      </c>
      <c r="AT574" t="s">
        <v>74</v>
      </c>
      <c r="AU574">
        <v>2018</v>
      </c>
      <c r="AV574">
        <v>214</v>
      </c>
      <c r="AW574" t="s">
        <v>74</v>
      </c>
      <c r="AX574" t="s">
        <v>74</v>
      </c>
      <c r="AY574" t="s">
        <v>74</v>
      </c>
      <c r="AZ574" t="s">
        <v>74</v>
      </c>
      <c r="BA574" t="s">
        <v>74</v>
      </c>
      <c r="BB574">
        <v>51</v>
      </c>
      <c r="BC574">
        <v>57</v>
      </c>
      <c r="BD574" t="s">
        <v>74</v>
      </c>
      <c r="BE574" t="s">
        <v>11327</v>
      </c>
      <c r="BF574" t="str">
        <f>HYPERLINK("http://dx.doi.org/10.1130/2018.1214(05)","http://dx.doi.org/10.1130/2018.1214(05)")</f>
        <v>http://dx.doi.org/10.1130/2018.1214(05)</v>
      </c>
      <c r="BG574" t="s">
        <v>74</v>
      </c>
      <c r="BH574" t="s">
        <v>74</v>
      </c>
      <c r="BI574">
        <v>7</v>
      </c>
      <c r="BJ574" t="s">
        <v>11328</v>
      </c>
      <c r="BK574" t="s">
        <v>2799</v>
      </c>
      <c r="BL574" t="s">
        <v>11329</v>
      </c>
      <c r="BM574" t="s">
        <v>11330</v>
      </c>
      <c r="BN574" t="s">
        <v>74</v>
      </c>
      <c r="BO574" t="s">
        <v>74</v>
      </c>
      <c r="BP574" t="s">
        <v>74</v>
      </c>
      <c r="BQ574" t="s">
        <v>74</v>
      </c>
      <c r="BR574" t="s">
        <v>105</v>
      </c>
      <c r="BS574" t="s">
        <v>11331</v>
      </c>
      <c r="BT574" t="str">
        <f>HYPERLINK("https%3A%2F%2Fwww.webofscience.com%2Fwos%2Fwoscc%2Ffull-record%2FWOS:000540564800006","View Full Record in Web of Science")</f>
        <v>View Full Record in Web of Science</v>
      </c>
    </row>
    <row r="575" spans="1:72" x14ac:dyDescent="0.15">
      <c r="A575" t="s">
        <v>72</v>
      </c>
      <c r="B575" t="s">
        <v>11332</v>
      </c>
      <c r="C575" t="s">
        <v>74</v>
      </c>
      <c r="D575" t="s">
        <v>74</v>
      </c>
      <c r="E575" t="s">
        <v>74</v>
      </c>
      <c r="F575" t="s">
        <v>11333</v>
      </c>
      <c r="G575" t="s">
        <v>74</v>
      </c>
      <c r="H575" t="s">
        <v>74</v>
      </c>
      <c r="I575" t="s">
        <v>11334</v>
      </c>
      <c r="J575" t="s">
        <v>11335</v>
      </c>
      <c r="K575" t="s">
        <v>74</v>
      </c>
      <c r="L575" t="s">
        <v>74</v>
      </c>
      <c r="M575" t="s">
        <v>78</v>
      </c>
      <c r="N575" t="s">
        <v>79</v>
      </c>
      <c r="O575" t="s">
        <v>74</v>
      </c>
      <c r="P575" t="s">
        <v>74</v>
      </c>
      <c r="Q575" t="s">
        <v>74</v>
      </c>
      <c r="R575" t="s">
        <v>74</v>
      </c>
      <c r="S575" t="s">
        <v>74</v>
      </c>
      <c r="T575" t="s">
        <v>11336</v>
      </c>
      <c r="U575" t="s">
        <v>11337</v>
      </c>
      <c r="V575" t="s">
        <v>11338</v>
      </c>
      <c r="W575" t="s">
        <v>11339</v>
      </c>
      <c r="X575" t="s">
        <v>11340</v>
      </c>
      <c r="Y575" t="s">
        <v>11341</v>
      </c>
      <c r="Z575" t="s">
        <v>11342</v>
      </c>
      <c r="AA575" t="s">
        <v>11343</v>
      </c>
      <c r="AB575" t="s">
        <v>11344</v>
      </c>
      <c r="AC575" t="s">
        <v>11345</v>
      </c>
      <c r="AD575" t="s">
        <v>11345</v>
      </c>
      <c r="AE575" t="s">
        <v>11346</v>
      </c>
      <c r="AF575" t="s">
        <v>74</v>
      </c>
      <c r="AG575">
        <v>82</v>
      </c>
      <c r="AH575">
        <v>30</v>
      </c>
      <c r="AI575">
        <v>34</v>
      </c>
      <c r="AJ575">
        <v>0</v>
      </c>
      <c r="AK575">
        <v>24</v>
      </c>
      <c r="AL575" t="s">
        <v>4270</v>
      </c>
      <c r="AM575" t="s">
        <v>4271</v>
      </c>
      <c r="AN575" t="s">
        <v>4272</v>
      </c>
      <c r="AO575" t="s">
        <v>11347</v>
      </c>
      <c r="AP575" t="s">
        <v>11348</v>
      </c>
      <c r="AQ575" t="s">
        <v>74</v>
      </c>
      <c r="AR575" t="s">
        <v>11349</v>
      </c>
      <c r="AS575" t="s">
        <v>11350</v>
      </c>
      <c r="AT575" t="s">
        <v>2468</v>
      </c>
      <c r="AU575">
        <v>2018</v>
      </c>
      <c r="AV575">
        <v>87</v>
      </c>
      <c r="AW575">
        <v>1</v>
      </c>
      <c r="AX575" t="s">
        <v>74</v>
      </c>
      <c r="AY575" t="s">
        <v>74</v>
      </c>
      <c r="AZ575" t="s">
        <v>74</v>
      </c>
      <c r="BA575" t="s">
        <v>74</v>
      </c>
      <c r="BB575">
        <v>199</v>
      </c>
      <c r="BC575">
        <v>211</v>
      </c>
      <c r="BD575" t="s">
        <v>74</v>
      </c>
      <c r="BE575" t="s">
        <v>11351</v>
      </c>
      <c r="BF575" t="str">
        <f>HYPERLINK("http://dx.doi.org/10.1111/1365-2656.12775","http://dx.doi.org/10.1111/1365-2656.12775")</f>
        <v>http://dx.doi.org/10.1111/1365-2656.12775</v>
      </c>
      <c r="BG575" t="s">
        <v>74</v>
      </c>
      <c r="BH575" t="s">
        <v>74</v>
      </c>
      <c r="BI575">
        <v>13</v>
      </c>
      <c r="BJ575" t="s">
        <v>11352</v>
      </c>
      <c r="BK575" t="s">
        <v>101</v>
      </c>
      <c r="BL575" t="s">
        <v>11353</v>
      </c>
      <c r="BM575" t="s">
        <v>11354</v>
      </c>
      <c r="BN575">
        <v>29063588</v>
      </c>
      <c r="BO575" t="s">
        <v>306</v>
      </c>
      <c r="BP575" t="s">
        <v>74</v>
      </c>
      <c r="BQ575" t="s">
        <v>74</v>
      </c>
      <c r="BR575" t="s">
        <v>105</v>
      </c>
      <c r="BS575" t="s">
        <v>11355</v>
      </c>
      <c r="BT575" t="str">
        <f>HYPERLINK("https%3A%2F%2Fwww.webofscience.com%2Fwos%2Fwoscc%2Ffull-record%2FWOS:000417935100019","View Full Record in Web of Science")</f>
        <v>View Full Record in Web of Science</v>
      </c>
    </row>
    <row r="576" spans="1:72" x14ac:dyDescent="0.15">
      <c r="A576" t="s">
        <v>72</v>
      </c>
      <c r="B576" t="s">
        <v>11356</v>
      </c>
      <c r="C576" t="s">
        <v>74</v>
      </c>
      <c r="D576" t="s">
        <v>74</v>
      </c>
      <c r="E576" t="s">
        <v>74</v>
      </c>
      <c r="F576" t="s">
        <v>11357</v>
      </c>
      <c r="G576" t="s">
        <v>74</v>
      </c>
      <c r="H576" t="s">
        <v>74</v>
      </c>
      <c r="I576" t="s">
        <v>11358</v>
      </c>
      <c r="J576" t="s">
        <v>11359</v>
      </c>
      <c r="K576" t="s">
        <v>74</v>
      </c>
      <c r="L576" t="s">
        <v>74</v>
      </c>
      <c r="M576" t="s">
        <v>78</v>
      </c>
      <c r="N576" t="s">
        <v>79</v>
      </c>
      <c r="O576" t="s">
        <v>74</v>
      </c>
      <c r="P576" t="s">
        <v>74</v>
      </c>
      <c r="Q576" t="s">
        <v>74</v>
      </c>
      <c r="R576" t="s">
        <v>74</v>
      </c>
      <c r="S576" t="s">
        <v>74</v>
      </c>
      <c r="T576" t="s">
        <v>11360</v>
      </c>
      <c r="U576" t="s">
        <v>11361</v>
      </c>
      <c r="V576" t="s">
        <v>11362</v>
      </c>
      <c r="W576" t="s">
        <v>11363</v>
      </c>
      <c r="X576" t="s">
        <v>11364</v>
      </c>
      <c r="Y576" t="s">
        <v>11365</v>
      </c>
      <c r="Z576" t="s">
        <v>11366</v>
      </c>
      <c r="AA576" t="s">
        <v>11367</v>
      </c>
      <c r="AB576" t="s">
        <v>11368</v>
      </c>
      <c r="AC576" t="s">
        <v>11369</v>
      </c>
      <c r="AD576" t="s">
        <v>11370</v>
      </c>
      <c r="AE576" t="s">
        <v>11371</v>
      </c>
      <c r="AF576" t="s">
        <v>74</v>
      </c>
      <c r="AG576">
        <v>77</v>
      </c>
      <c r="AH576">
        <v>9</v>
      </c>
      <c r="AI576">
        <v>11</v>
      </c>
      <c r="AJ576">
        <v>2</v>
      </c>
      <c r="AK576">
        <v>33</v>
      </c>
      <c r="AL576" t="s">
        <v>807</v>
      </c>
      <c r="AM576" t="s">
        <v>808</v>
      </c>
      <c r="AN576" t="s">
        <v>809</v>
      </c>
      <c r="AO576" t="s">
        <v>11372</v>
      </c>
      <c r="AP576" t="s">
        <v>11373</v>
      </c>
      <c r="AQ576" t="s">
        <v>74</v>
      </c>
      <c r="AR576" t="s">
        <v>11374</v>
      </c>
      <c r="AS576" t="s">
        <v>11375</v>
      </c>
      <c r="AT576" t="s">
        <v>2468</v>
      </c>
      <c r="AU576">
        <v>2018</v>
      </c>
      <c r="AV576">
        <v>131</v>
      </c>
      <c r="AW576" t="s">
        <v>74</v>
      </c>
      <c r="AX576" t="s">
        <v>74</v>
      </c>
      <c r="AY576" t="s">
        <v>74</v>
      </c>
      <c r="AZ576" t="s">
        <v>74</v>
      </c>
      <c r="BA576" t="s">
        <v>74</v>
      </c>
      <c r="BB576">
        <v>1</v>
      </c>
      <c r="BC576">
        <v>11</v>
      </c>
      <c r="BD576" t="s">
        <v>74</v>
      </c>
      <c r="BE576" t="s">
        <v>11376</v>
      </c>
      <c r="BF576" t="str">
        <f>HYPERLINK("http://dx.doi.org/10.1016/j.seares.2017.08.008","http://dx.doi.org/10.1016/j.seares.2017.08.008")</f>
        <v>http://dx.doi.org/10.1016/j.seares.2017.08.008</v>
      </c>
      <c r="BG576" t="s">
        <v>74</v>
      </c>
      <c r="BH576" t="s">
        <v>74</v>
      </c>
      <c r="BI576">
        <v>11</v>
      </c>
      <c r="BJ576" t="s">
        <v>1543</v>
      </c>
      <c r="BK576" t="s">
        <v>101</v>
      </c>
      <c r="BL576" t="s">
        <v>1543</v>
      </c>
      <c r="BM576" t="s">
        <v>11377</v>
      </c>
      <c r="BN576" t="s">
        <v>74</v>
      </c>
      <c r="BO576" t="s">
        <v>74</v>
      </c>
      <c r="BP576" t="s">
        <v>74</v>
      </c>
      <c r="BQ576" t="s">
        <v>74</v>
      </c>
      <c r="BR576" t="s">
        <v>105</v>
      </c>
      <c r="BS576" t="s">
        <v>11378</v>
      </c>
      <c r="BT576" t="str">
        <f>HYPERLINK("https%3A%2F%2Fwww.webofscience.com%2Fwos%2Fwoscc%2Ffull-record%2FWOS:000416003900001","View Full Record in Web of Science")</f>
        <v>View Full Record in Web of Science</v>
      </c>
    </row>
    <row r="577" spans="1:72" x14ac:dyDescent="0.15">
      <c r="A577" t="s">
        <v>72</v>
      </c>
      <c r="B577" t="s">
        <v>11379</v>
      </c>
      <c r="C577" t="s">
        <v>74</v>
      </c>
      <c r="D577" t="s">
        <v>74</v>
      </c>
      <c r="E577" t="s">
        <v>74</v>
      </c>
      <c r="F577" t="s">
        <v>11380</v>
      </c>
      <c r="G577" t="s">
        <v>74</v>
      </c>
      <c r="H577" t="s">
        <v>74</v>
      </c>
      <c r="I577" t="s">
        <v>11381</v>
      </c>
      <c r="J577" t="s">
        <v>11382</v>
      </c>
      <c r="K577" t="s">
        <v>74</v>
      </c>
      <c r="L577" t="s">
        <v>74</v>
      </c>
      <c r="M577" t="s">
        <v>78</v>
      </c>
      <c r="N577" t="s">
        <v>289</v>
      </c>
      <c r="O577" t="s">
        <v>74</v>
      </c>
      <c r="P577" t="s">
        <v>74</v>
      </c>
      <c r="Q577" t="s">
        <v>74</v>
      </c>
      <c r="R577" t="s">
        <v>74</v>
      </c>
      <c r="S577" t="s">
        <v>74</v>
      </c>
      <c r="T577" t="s">
        <v>11383</v>
      </c>
      <c r="U577" t="s">
        <v>11384</v>
      </c>
      <c r="V577" t="s">
        <v>11385</v>
      </c>
      <c r="W577" t="s">
        <v>11386</v>
      </c>
      <c r="X577" t="s">
        <v>11387</v>
      </c>
      <c r="Y577" t="s">
        <v>11388</v>
      </c>
      <c r="Z577" t="s">
        <v>11389</v>
      </c>
      <c r="AA577" t="s">
        <v>74</v>
      </c>
      <c r="AB577" t="s">
        <v>74</v>
      </c>
      <c r="AC577" t="s">
        <v>11390</v>
      </c>
      <c r="AD577" t="s">
        <v>11391</v>
      </c>
      <c r="AE577" t="s">
        <v>11392</v>
      </c>
      <c r="AF577" t="s">
        <v>74</v>
      </c>
      <c r="AG577">
        <v>174</v>
      </c>
      <c r="AH577">
        <v>20</v>
      </c>
      <c r="AI577">
        <v>22</v>
      </c>
      <c r="AJ577">
        <v>3</v>
      </c>
      <c r="AK577">
        <v>21</v>
      </c>
      <c r="AL577" t="s">
        <v>4270</v>
      </c>
      <c r="AM577" t="s">
        <v>4271</v>
      </c>
      <c r="AN577" t="s">
        <v>4272</v>
      </c>
      <c r="AO577" t="s">
        <v>11393</v>
      </c>
      <c r="AP577" t="s">
        <v>11394</v>
      </c>
      <c r="AQ577" t="s">
        <v>74</v>
      </c>
      <c r="AR577" t="s">
        <v>11382</v>
      </c>
      <c r="AS577" t="s">
        <v>11395</v>
      </c>
      <c r="AT577" t="s">
        <v>2468</v>
      </c>
      <c r="AU577">
        <v>2018</v>
      </c>
      <c r="AV577">
        <v>65</v>
      </c>
      <c r="AW577">
        <v>1</v>
      </c>
      <c r="AX577" t="s">
        <v>74</v>
      </c>
      <c r="AY577" t="s">
        <v>74</v>
      </c>
      <c r="AZ577" t="s">
        <v>74</v>
      </c>
      <c r="BA577" t="s">
        <v>74</v>
      </c>
      <c r="BB577">
        <v>1</v>
      </c>
      <c r="BC577">
        <v>61</v>
      </c>
      <c r="BD577" t="s">
        <v>74</v>
      </c>
      <c r="BE577" t="s">
        <v>11396</v>
      </c>
      <c r="BF577" t="str">
        <f>HYPERLINK("http://dx.doi.org/10.1111/sed.12413","http://dx.doi.org/10.1111/sed.12413")</f>
        <v>http://dx.doi.org/10.1111/sed.12413</v>
      </c>
      <c r="BG577" t="s">
        <v>74</v>
      </c>
      <c r="BH577" t="s">
        <v>74</v>
      </c>
      <c r="BI577">
        <v>61</v>
      </c>
      <c r="BJ577" t="s">
        <v>281</v>
      </c>
      <c r="BK577" t="s">
        <v>101</v>
      </c>
      <c r="BL577" t="s">
        <v>281</v>
      </c>
      <c r="BM577" t="s">
        <v>11397</v>
      </c>
      <c r="BN577" t="s">
        <v>74</v>
      </c>
      <c r="BO577" t="s">
        <v>306</v>
      </c>
      <c r="BP577" t="s">
        <v>74</v>
      </c>
      <c r="BQ577" t="s">
        <v>74</v>
      </c>
      <c r="BR577" t="s">
        <v>105</v>
      </c>
      <c r="BS577" t="s">
        <v>11398</v>
      </c>
      <c r="BT577" t="str">
        <f>HYPERLINK("https%3A%2F%2Fwww.webofscience.com%2Fwos%2Fwoscc%2Ffull-record%2FWOS:000417617200001","View Full Record in Web of Science")</f>
        <v>View Full Record in Web of Science</v>
      </c>
    </row>
    <row r="578" spans="1:72" x14ac:dyDescent="0.15">
      <c r="A578" t="s">
        <v>72</v>
      </c>
      <c r="B578" t="s">
        <v>11399</v>
      </c>
      <c r="C578" t="s">
        <v>74</v>
      </c>
      <c r="D578" t="s">
        <v>74</v>
      </c>
      <c r="E578" t="s">
        <v>74</v>
      </c>
      <c r="F578" t="s">
        <v>11400</v>
      </c>
      <c r="G578" t="s">
        <v>74</v>
      </c>
      <c r="H578" t="s">
        <v>74</v>
      </c>
      <c r="I578" t="s">
        <v>11401</v>
      </c>
      <c r="J578" t="s">
        <v>11402</v>
      </c>
      <c r="K578" t="s">
        <v>74</v>
      </c>
      <c r="L578" t="s">
        <v>74</v>
      </c>
      <c r="M578" t="s">
        <v>78</v>
      </c>
      <c r="N578" t="s">
        <v>79</v>
      </c>
      <c r="O578" t="s">
        <v>74</v>
      </c>
      <c r="P578" t="s">
        <v>74</v>
      </c>
      <c r="Q578" t="s">
        <v>74</v>
      </c>
      <c r="R578" t="s">
        <v>74</v>
      </c>
      <c r="S578" t="s">
        <v>74</v>
      </c>
      <c r="T578" t="s">
        <v>11403</v>
      </c>
      <c r="U578" t="s">
        <v>11404</v>
      </c>
      <c r="V578" t="s">
        <v>11405</v>
      </c>
      <c r="W578" t="s">
        <v>11406</v>
      </c>
      <c r="X578" t="s">
        <v>11407</v>
      </c>
      <c r="Y578" t="s">
        <v>11408</v>
      </c>
      <c r="Z578" t="s">
        <v>11409</v>
      </c>
      <c r="AA578" t="s">
        <v>11410</v>
      </c>
      <c r="AB578" t="s">
        <v>74</v>
      </c>
      <c r="AC578" t="s">
        <v>11411</v>
      </c>
      <c r="AD578" t="s">
        <v>11412</v>
      </c>
      <c r="AE578" t="s">
        <v>11413</v>
      </c>
      <c r="AF578" t="s">
        <v>74</v>
      </c>
      <c r="AG578">
        <v>39</v>
      </c>
      <c r="AH578">
        <v>25</v>
      </c>
      <c r="AI578">
        <v>31</v>
      </c>
      <c r="AJ578">
        <v>13</v>
      </c>
      <c r="AK578">
        <v>88</v>
      </c>
      <c r="AL578" t="s">
        <v>807</v>
      </c>
      <c r="AM578" t="s">
        <v>808</v>
      </c>
      <c r="AN578" t="s">
        <v>809</v>
      </c>
      <c r="AO578" t="s">
        <v>11414</v>
      </c>
      <c r="AP578" t="s">
        <v>11415</v>
      </c>
      <c r="AQ578" t="s">
        <v>74</v>
      </c>
      <c r="AR578" t="s">
        <v>11416</v>
      </c>
      <c r="AS578" t="s">
        <v>11417</v>
      </c>
      <c r="AT578" t="s">
        <v>2468</v>
      </c>
      <c r="AU578">
        <v>2018</v>
      </c>
      <c r="AV578">
        <v>87</v>
      </c>
      <c r="AW578" t="s">
        <v>74</v>
      </c>
      <c r="AX578" t="s">
        <v>74</v>
      </c>
      <c r="AY578" t="s">
        <v>74</v>
      </c>
      <c r="AZ578" t="s">
        <v>74</v>
      </c>
      <c r="BA578" t="s">
        <v>74</v>
      </c>
      <c r="BB578">
        <v>142</v>
      </c>
      <c r="BC578">
        <v>150</v>
      </c>
      <c r="BD578" t="s">
        <v>74</v>
      </c>
      <c r="BE578" t="s">
        <v>11418</v>
      </c>
      <c r="BF578" t="str">
        <f>HYPERLINK("http://dx.doi.org/10.1016/j.lwt.2017.08.078","http://dx.doi.org/10.1016/j.lwt.2017.08.078")</f>
        <v>http://dx.doi.org/10.1016/j.lwt.2017.08.078</v>
      </c>
      <c r="BG578" t="s">
        <v>74</v>
      </c>
      <c r="BH578" t="s">
        <v>74</v>
      </c>
      <c r="BI578">
        <v>9</v>
      </c>
      <c r="BJ578" t="s">
        <v>4481</v>
      </c>
      <c r="BK578" t="s">
        <v>101</v>
      </c>
      <c r="BL578" t="s">
        <v>4481</v>
      </c>
      <c r="BM578" t="s">
        <v>11419</v>
      </c>
      <c r="BN578" t="s">
        <v>74</v>
      </c>
      <c r="BO578" t="s">
        <v>74</v>
      </c>
      <c r="BP578" t="s">
        <v>74</v>
      </c>
      <c r="BQ578" t="s">
        <v>74</v>
      </c>
      <c r="BR578" t="s">
        <v>105</v>
      </c>
      <c r="BS578" t="s">
        <v>11420</v>
      </c>
      <c r="BT578" t="str">
        <f>HYPERLINK("https%3A%2F%2Fwww.webofscience.com%2Fwos%2Fwoscc%2Ffull-record%2FWOS:000415769500018","View Full Record in Web of Science")</f>
        <v>View Full Record in Web of Science</v>
      </c>
    </row>
    <row r="579" spans="1:72" x14ac:dyDescent="0.15">
      <c r="A579" t="s">
        <v>72</v>
      </c>
      <c r="B579" t="s">
        <v>11421</v>
      </c>
      <c r="C579" t="s">
        <v>74</v>
      </c>
      <c r="D579" t="s">
        <v>74</v>
      </c>
      <c r="E579" t="s">
        <v>74</v>
      </c>
      <c r="F579" t="s">
        <v>11422</v>
      </c>
      <c r="G579" t="s">
        <v>74</v>
      </c>
      <c r="H579" t="s">
        <v>74</v>
      </c>
      <c r="I579" t="s">
        <v>11423</v>
      </c>
      <c r="J579" t="s">
        <v>11424</v>
      </c>
      <c r="K579" t="s">
        <v>74</v>
      </c>
      <c r="L579" t="s">
        <v>74</v>
      </c>
      <c r="M579" t="s">
        <v>78</v>
      </c>
      <c r="N579" t="s">
        <v>79</v>
      </c>
      <c r="O579" t="s">
        <v>74</v>
      </c>
      <c r="P579" t="s">
        <v>74</v>
      </c>
      <c r="Q579" t="s">
        <v>74</v>
      </c>
      <c r="R579" t="s">
        <v>74</v>
      </c>
      <c r="S579" t="s">
        <v>74</v>
      </c>
      <c r="T579" t="s">
        <v>11425</v>
      </c>
      <c r="U579" t="s">
        <v>11426</v>
      </c>
      <c r="V579" t="s">
        <v>11427</v>
      </c>
      <c r="W579" t="s">
        <v>11428</v>
      </c>
      <c r="X579" t="s">
        <v>11429</v>
      </c>
      <c r="Y579" t="s">
        <v>11430</v>
      </c>
      <c r="Z579" t="s">
        <v>11431</v>
      </c>
      <c r="AA579" t="s">
        <v>11432</v>
      </c>
      <c r="AB579" t="s">
        <v>11433</v>
      </c>
      <c r="AC579" t="s">
        <v>11434</v>
      </c>
      <c r="AD579" t="s">
        <v>11435</v>
      </c>
      <c r="AE579" t="s">
        <v>11436</v>
      </c>
      <c r="AF579" t="s">
        <v>74</v>
      </c>
      <c r="AG579">
        <v>31</v>
      </c>
      <c r="AH579">
        <v>11</v>
      </c>
      <c r="AI579">
        <v>11</v>
      </c>
      <c r="AJ579">
        <v>2</v>
      </c>
      <c r="AK579">
        <v>31</v>
      </c>
      <c r="AL579" t="s">
        <v>1139</v>
      </c>
      <c r="AM579" t="s">
        <v>1140</v>
      </c>
      <c r="AN579" t="s">
        <v>1141</v>
      </c>
      <c r="AO579" t="s">
        <v>11437</v>
      </c>
      <c r="AP579" t="s">
        <v>11438</v>
      </c>
      <c r="AQ579" t="s">
        <v>74</v>
      </c>
      <c r="AR579" t="s">
        <v>11424</v>
      </c>
      <c r="AS579" t="s">
        <v>11439</v>
      </c>
      <c r="AT579" t="s">
        <v>2468</v>
      </c>
      <c r="AU579">
        <v>2018</v>
      </c>
      <c r="AV579">
        <v>190</v>
      </c>
      <c r="AW579" t="s">
        <v>74</v>
      </c>
      <c r="AX579" t="s">
        <v>74</v>
      </c>
      <c r="AY579" t="s">
        <v>74</v>
      </c>
      <c r="AZ579" t="s">
        <v>74</v>
      </c>
      <c r="BA579" t="s">
        <v>74</v>
      </c>
      <c r="BB579">
        <v>442</v>
      </c>
      <c r="BC579">
        <v>453</v>
      </c>
      <c r="BD579" t="s">
        <v>74</v>
      </c>
      <c r="BE579" t="s">
        <v>11440</v>
      </c>
      <c r="BF579" t="str">
        <f>HYPERLINK("http://dx.doi.org/10.1016/j.chemosphere.2017.09.142","http://dx.doi.org/10.1016/j.chemosphere.2017.09.142")</f>
        <v>http://dx.doi.org/10.1016/j.chemosphere.2017.09.142</v>
      </c>
      <c r="BG579" t="s">
        <v>74</v>
      </c>
      <c r="BH579" t="s">
        <v>74</v>
      </c>
      <c r="BI579">
        <v>12</v>
      </c>
      <c r="BJ579" t="s">
        <v>1119</v>
      </c>
      <c r="BK579" t="s">
        <v>101</v>
      </c>
      <c r="BL579" t="s">
        <v>1120</v>
      </c>
      <c r="BM579" t="s">
        <v>11441</v>
      </c>
      <c r="BN579">
        <v>29028599</v>
      </c>
      <c r="BO579" t="s">
        <v>74</v>
      </c>
      <c r="BP579" t="s">
        <v>74</v>
      </c>
      <c r="BQ579" t="s">
        <v>74</v>
      </c>
      <c r="BR579" t="s">
        <v>105</v>
      </c>
      <c r="BS579" t="s">
        <v>11442</v>
      </c>
      <c r="BT579" t="str">
        <f>HYPERLINK("https%3A%2F%2Fwww.webofscience.com%2Fwos%2Fwoscc%2Ffull-record%2FWOS:000414881600047","View Full Record in Web of Science")</f>
        <v>View Full Record in Web of Science</v>
      </c>
    </row>
    <row r="580" spans="1:72" x14ac:dyDescent="0.15">
      <c r="A580" t="s">
        <v>72</v>
      </c>
      <c r="B580" t="s">
        <v>11443</v>
      </c>
      <c r="C580" t="s">
        <v>74</v>
      </c>
      <c r="D580" t="s">
        <v>74</v>
      </c>
      <c r="E580" t="s">
        <v>74</v>
      </c>
      <c r="F580" t="s">
        <v>11444</v>
      </c>
      <c r="G580" t="s">
        <v>74</v>
      </c>
      <c r="H580" t="s">
        <v>74</v>
      </c>
      <c r="I580" t="s">
        <v>11445</v>
      </c>
      <c r="J580" t="s">
        <v>1100</v>
      </c>
      <c r="K580" t="s">
        <v>74</v>
      </c>
      <c r="L580" t="s">
        <v>74</v>
      </c>
      <c r="M580" t="s">
        <v>78</v>
      </c>
      <c r="N580" t="s">
        <v>79</v>
      </c>
      <c r="O580" t="s">
        <v>74</v>
      </c>
      <c r="P580" t="s">
        <v>74</v>
      </c>
      <c r="Q580" t="s">
        <v>74</v>
      </c>
      <c r="R580" t="s">
        <v>74</v>
      </c>
      <c r="S580" t="s">
        <v>74</v>
      </c>
      <c r="T580" t="s">
        <v>11446</v>
      </c>
      <c r="U580" t="s">
        <v>11447</v>
      </c>
      <c r="V580" t="s">
        <v>11448</v>
      </c>
      <c r="W580" t="s">
        <v>11449</v>
      </c>
      <c r="X580" t="s">
        <v>11450</v>
      </c>
      <c r="Y580" t="s">
        <v>11451</v>
      </c>
      <c r="Z580" t="s">
        <v>11452</v>
      </c>
      <c r="AA580" t="s">
        <v>11453</v>
      </c>
      <c r="AB580" t="s">
        <v>11454</v>
      </c>
      <c r="AC580" t="s">
        <v>74</v>
      </c>
      <c r="AD580" t="s">
        <v>74</v>
      </c>
      <c r="AE580" t="s">
        <v>74</v>
      </c>
      <c r="AF580" t="s">
        <v>74</v>
      </c>
      <c r="AG580">
        <v>42</v>
      </c>
      <c r="AH580">
        <v>15</v>
      </c>
      <c r="AI580">
        <v>15</v>
      </c>
      <c r="AJ580">
        <v>4</v>
      </c>
      <c r="AK580">
        <v>157</v>
      </c>
      <c r="AL580" t="s">
        <v>807</v>
      </c>
      <c r="AM580" t="s">
        <v>808</v>
      </c>
      <c r="AN580" t="s">
        <v>809</v>
      </c>
      <c r="AO580" t="s">
        <v>1113</v>
      </c>
      <c r="AP580" t="s">
        <v>1114</v>
      </c>
      <c r="AQ580" t="s">
        <v>74</v>
      </c>
      <c r="AR580" t="s">
        <v>1115</v>
      </c>
      <c r="AS580" t="s">
        <v>1116</v>
      </c>
      <c r="AT580" t="s">
        <v>11455</v>
      </c>
      <c r="AU580">
        <v>2017</v>
      </c>
      <c r="AV580">
        <v>607</v>
      </c>
      <c r="AW580" t="s">
        <v>74</v>
      </c>
      <c r="AX580" t="s">
        <v>74</v>
      </c>
      <c r="AY580" t="s">
        <v>74</v>
      </c>
      <c r="AZ580" t="s">
        <v>74</v>
      </c>
      <c r="BA580" t="s">
        <v>74</v>
      </c>
      <c r="BB580">
        <v>454</v>
      </c>
      <c r="BC580">
        <v>462</v>
      </c>
      <c r="BD580" t="s">
        <v>74</v>
      </c>
      <c r="BE580" t="s">
        <v>11456</v>
      </c>
      <c r="BF580" t="str">
        <f>HYPERLINK("http://dx.doi.org/10.1016/j.scitotenv.2017.07.041","http://dx.doi.org/10.1016/j.scitotenv.2017.07.041")</f>
        <v>http://dx.doi.org/10.1016/j.scitotenv.2017.07.041</v>
      </c>
      <c r="BG580" t="s">
        <v>74</v>
      </c>
      <c r="BH580" t="s">
        <v>74</v>
      </c>
      <c r="BI580">
        <v>9</v>
      </c>
      <c r="BJ580" t="s">
        <v>1119</v>
      </c>
      <c r="BK580" t="s">
        <v>101</v>
      </c>
      <c r="BL580" t="s">
        <v>1120</v>
      </c>
      <c r="BM580" t="s">
        <v>11457</v>
      </c>
      <c r="BN580">
        <v>28711841</v>
      </c>
      <c r="BO580" t="s">
        <v>432</v>
      </c>
      <c r="BP580" t="s">
        <v>74</v>
      </c>
      <c r="BQ580" t="s">
        <v>74</v>
      </c>
      <c r="BR580" t="s">
        <v>105</v>
      </c>
      <c r="BS580" t="s">
        <v>11458</v>
      </c>
      <c r="BT580" t="str">
        <f>HYPERLINK("https%3A%2F%2Fwww.webofscience.com%2Fwos%2Fwoscc%2Ffull-record%2FWOS:000408755300046","View Full Record in Web of Science")</f>
        <v>View Full Record in Web of Science</v>
      </c>
    </row>
    <row r="581" spans="1:72" x14ac:dyDescent="0.15">
      <c r="A581" t="s">
        <v>72</v>
      </c>
      <c r="B581" t="s">
        <v>11459</v>
      </c>
      <c r="C581" t="s">
        <v>74</v>
      </c>
      <c r="D581" t="s">
        <v>74</v>
      </c>
      <c r="E581" t="s">
        <v>74</v>
      </c>
      <c r="F581" t="s">
        <v>11460</v>
      </c>
      <c r="G581" t="s">
        <v>74</v>
      </c>
      <c r="H581" t="s">
        <v>74</v>
      </c>
      <c r="I581" t="s">
        <v>11461</v>
      </c>
      <c r="J581" t="s">
        <v>1100</v>
      </c>
      <c r="K581" t="s">
        <v>74</v>
      </c>
      <c r="L581" t="s">
        <v>74</v>
      </c>
      <c r="M581" t="s">
        <v>78</v>
      </c>
      <c r="N581" t="s">
        <v>79</v>
      </c>
      <c r="O581" t="s">
        <v>74</v>
      </c>
      <c r="P581" t="s">
        <v>74</v>
      </c>
      <c r="Q581" t="s">
        <v>74</v>
      </c>
      <c r="R581" t="s">
        <v>74</v>
      </c>
      <c r="S581" t="s">
        <v>74</v>
      </c>
      <c r="T581" t="s">
        <v>11462</v>
      </c>
      <c r="U581" t="s">
        <v>11463</v>
      </c>
      <c r="V581" t="s">
        <v>11464</v>
      </c>
      <c r="W581" t="s">
        <v>11465</v>
      </c>
      <c r="X581" t="s">
        <v>11466</v>
      </c>
      <c r="Y581" t="s">
        <v>11467</v>
      </c>
      <c r="Z581" t="s">
        <v>11468</v>
      </c>
      <c r="AA581" t="s">
        <v>11469</v>
      </c>
      <c r="AB581" t="s">
        <v>11470</v>
      </c>
      <c r="AC581" t="s">
        <v>11471</v>
      </c>
      <c r="AD581" t="s">
        <v>11472</v>
      </c>
      <c r="AE581" t="s">
        <v>11473</v>
      </c>
      <c r="AF581" t="s">
        <v>74</v>
      </c>
      <c r="AG581">
        <v>54</v>
      </c>
      <c r="AH581">
        <v>7</v>
      </c>
      <c r="AI581">
        <v>7</v>
      </c>
      <c r="AJ581">
        <v>1</v>
      </c>
      <c r="AK581">
        <v>151</v>
      </c>
      <c r="AL581" t="s">
        <v>807</v>
      </c>
      <c r="AM581" t="s">
        <v>808</v>
      </c>
      <c r="AN581" t="s">
        <v>809</v>
      </c>
      <c r="AO581" t="s">
        <v>1113</v>
      </c>
      <c r="AP581" t="s">
        <v>1114</v>
      </c>
      <c r="AQ581" t="s">
        <v>74</v>
      </c>
      <c r="AR581" t="s">
        <v>1115</v>
      </c>
      <c r="AS581" t="s">
        <v>1116</v>
      </c>
      <c r="AT581" t="s">
        <v>11455</v>
      </c>
      <c r="AU581">
        <v>2017</v>
      </c>
      <c r="AV581">
        <v>609</v>
      </c>
      <c r="AW581" t="s">
        <v>74</v>
      </c>
      <c r="AX581" t="s">
        <v>74</v>
      </c>
      <c r="AY581" t="s">
        <v>74</v>
      </c>
      <c r="AZ581" t="s">
        <v>74</v>
      </c>
      <c r="BA581" t="s">
        <v>74</v>
      </c>
      <c r="BB581">
        <v>225</v>
      </c>
      <c r="BC581">
        <v>231</v>
      </c>
      <c r="BD581" t="s">
        <v>74</v>
      </c>
      <c r="BE581" t="s">
        <v>11474</v>
      </c>
      <c r="BF581" t="str">
        <f>HYPERLINK("http://dx.doi.org/10.1016/j.scitotenv.2017.07.127","http://dx.doi.org/10.1016/j.scitotenv.2017.07.127")</f>
        <v>http://dx.doi.org/10.1016/j.scitotenv.2017.07.127</v>
      </c>
      <c r="BG581" t="s">
        <v>74</v>
      </c>
      <c r="BH581" t="s">
        <v>74</v>
      </c>
      <c r="BI581">
        <v>7</v>
      </c>
      <c r="BJ581" t="s">
        <v>1119</v>
      </c>
      <c r="BK581" t="s">
        <v>101</v>
      </c>
      <c r="BL581" t="s">
        <v>1120</v>
      </c>
      <c r="BM581" t="s">
        <v>11475</v>
      </c>
      <c r="BN581">
        <v>28743008</v>
      </c>
      <c r="BO581" t="s">
        <v>74</v>
      </c>
      <c r="BP581" t="s">
        <v>74</v>
      </c>
      <c r="BQ581" t="s">
        <v>74</v>
      </c>
      <c r="BR581" t="s">
        <v>105</v>
      </c>
      <c r="BS581" t="s">
        <v>11476</v>
      </c>
      <c r="BT581" t="str">
        <f>HYPERLINK("https%3A%2F%2Fwww.webofscience.com%2Fwos%2Fwoscc%2Ffull-record%2FWOS:000410352900025","View Full Record in Web of Science")</f>
        <v>View Full Record in Web of Science</v>
      </c>
    </row>
    <row r="582" spans="1:72" x14ac:dyDescent="0.15">
      <c r="A582" t="s">
        <v>72</v>
      </c>
      <c r="B582" t="s">
        <v>11477</v>
      </c>
      <c r="C582" t="s">
        <v>74</v>
      </c>
      <c r="D582" t="s">
        <v>74</v>
      </c>
      <c r="E582" t="s">
        <v>74</v>
      </c>
      <c r="F582" t="s">
        <v>11478</v>
      </c>
      <c r="G582" t="s">
        <v>74</v>
      </c>
      <c r="H582" t="s">
        <v>74</v>
      </c>
      <c r="I582" t="s">
        <v>11479</v>
      </c>
      <c r="J582" t="s">
        <v>110</v>
      </c>
      <c r="K582" t="s">
        <v>74</v>
      </c>
      <c r="L582" t="s">
        <v>74</v>
      </c>
      <c r="M582" t="s">
        <v>78</v>
      </c>
      <c r="N582" t="s">
        <v>79</v>
      </c>
      <c r="O582" t="s">
        <v>74</v>
      </c>
      <c r="P582" t="s">
        <v>74</v>
      </c>
      <c r="Q582" t="s">
        <v>74</v>
      </c>
      <c r="R582" t="s">
        <v>74</v>
      </c>
      <c r="S582" t="s">
        <v>74</v>
      </c>
      <c r="T582" t="s">
        <v>74</v>
      </c>
      <c r="U582" t="s">
        <v>11480</v>
      </c>
      <c r="V582" t="s">
        <v>11481</v>
      </c>
      <c r="W582" t="s">
        <v>11482</v>
      </c>
      <c r="X582" t="s">
        <v>11483</v>
      </c>
      <c r="Y582" t="s">
        <v>11484</v>
      </c>
      <c r="Z582" t="s">
        <v>11485</v>
      </c>
      <c r="AA582" t="s">
        <v>11486</v>
      </c>
      <c r="AB582" t="s">
        <v>11487</v>
      </c>
      <c r="AC582" t="s">
        <v>11488</v>
      </c>
      <c r="AD582" t="s">
        <v>11489</v>
      </c>
      <c r="AE582" t="s">
        <v>11490</v>
      </c>
      <c r="AF582" t="s">
        <v>74</v>
      </c>
      <c r="AG582">
        <v>38</v>
      </c>
      <c r="AH582">
        <v>10</v>
      </c>
      <c r="AI582">
        <v>10</v>
      </c>
      <c r="AJ582">
        <v>0</v>
      </c>
      <c r="AK582">
        <v>2</v>
      </c>
      <c r="AL582" t="s">
        <v>122</v>
      </c>
      <c r="AM582" t="s">
        <v>123</v>
      </c>
      <c r="AN582" t="s">
        <v>124</v>
      </c>
      <c r="AO582" t="s">
        <v>125</v>
      </c>
      <c r="AP582" t="s">
        <v>74</v>
      </c>
      <c r="AQ582" t="s">
        <v>74</v>
      </c>
      <c r="AR582" t="s">
        <v>110</v>
      </c>
      <c r="AS582" t="s">
        <v>126</v>
      </c>
      <c r="AT582" t="s">
        <v>11491</v>
      </c>
      <c r="AU582">
        <v>2017</v>
      </c>
      <c r="AV582">
        <v>12</v>
      </c>
      <c r="AW582">
        <v>12</v>
      </c>
      <c r="AX582" t="s">
        <v>74</v>
      </c>
      <c r="AY582" t="s">
        <v>74</v>
      </c>
      <c r="AZ582" t="s">
        <v>74</v>
      </c>
      <c r="BA582" t="s">
        <v>74</v>
      </c>
      <c r="BB582" t="s">
        <v>74</v>
      </c>
      <c r="BC582" t="s">
        <v>74</v>
      </c>
      <c r="BD582" t="s">
        <v>11492</v>
      </c>
      <c r="BE582" t="s">
        <v>11493</v>
      </c>
      <c r="BF582" t="str">
        <f>HYPERLINK("http://dx.doi.org/10.1371/journal.pone.0190115","http://dx.doi.org/10.1371/journal.pone.0190115")</f>
        <v>http://dx.doi.org/10.1371/journal.pone.0190115</v>
      </c>
      <c r="BG582" t="s">
        <v>74</v>
      </c>
      <c r="BH582" t="s">
        <v>74</v>
      </c>
      <c r="BI582">
        <v>13</v>
      </c>
      <c r="BJ582" t="s">
        <v>129</v>
      </c>
      <c r="BK582" t="s">
        <v>101</v>
      </c>
      <c r="BL582" t="s">
        <v>130</v>
      </c>
      <c r="BM582" t="s">
        <v>11494</v>
      </c>
      <c r="BN582">
        <v>29287095</v>
      </c>
      <c r="BO582" t="s">
        <v>560</v>
      </c>
      <c r="BP582" t="s">
        <v>74</v>
      </c>
      <c r="BQ582" t="s">
        <v>74</v>
      </c>
      <c r="BR582" t="s">
        <v>105</v>
      </c>
      <c r="BS582" t="s">
        <v>11495</v>
      </c>
      <c r="BT582" t="str">
        <f>HYPERLINK("https%3A%2F%2Fwww.webofscience.com%2Fwos%2Fwoscc%2Ffull-record%2FWOS:000419096600028","View Full Record in Web of Science")</f>
        <v>View Full Record in Web of Science</v>
      </c>
    </row>
    <row r="583" spans="1:72" x14ac:dyDescent="0.15">
      <c r="A583" t="s">
        <v>72</v>
      </c>
      <c r="B583" t="s">
        <v>11496</v>
      </c>
      <c r="C583" t="s">
        <v>74</v>
      </c>
      <c r="D583" t="s">
        <v>74</v>
      </c>
      <c r="E583" t="s">
        <v>74</v>
      </c>
      <c r="F583" t="s">
        <v>11497</v>
      </c>
      <c r="G583" t="s">
        <v>74</v>
      </c>
      <c r="H583" t="s">
        <v>74</v>
      </c>
      <c r="I583" t="s">
        <v>11498</v>
      </c>
      <c r="J583" t="s">
        <v>11499</v>
      </c>
      <c r="K583" t="s">
        <v>74</v>
      </c>
      <c r="L583" t="s">
        <v>74</v>
      </c>
      <c r="M583" t="s">
        <v>78</v>
      </c>
      <c r="N583" t="s">
        <v>2311</v>
      </c>
      <c r="O583" t="s">
        <v>11500</v>
      </c>
      <c r="P583" t="s">
        <v>11501</v>
      </c>
      <c r="Q583" t="s">
        <v>11502</v>
      </c>
      <c r="R583" t="s">
        <v>74</v>
      </c>
      <c r="S583" t="s">
        <v>11503</v>
      </c>
      <c r="T583" t="s">
        <v>11504</v>
      </c>
      <c r="U583" t="s">
        <v>11505</v>
      </c>
      <c r="V583" t="s">
        <v>11506</v>
      </c>
      <c r="W583" t="s">
        <v>11507</v>
      </c>
      <c r="X583" t="s">
        <v>11508</v>
      </c>
      <c r="Y583" t="s">
        <v>11509</v>
      </c>
      <c r="Z583" t="s">
        <v>11510</v>
      </c>
      <c r="AA583" t="s">
        <v>11511</v>
      </c>
      <c r="AB583" t="s">
        <v>11512</v>
      </c>
      <c r="AC583" t="s">
        <v>11513</v>
      </c>
      <c r="AD583" t="s">
        <v>2846</v>
      </c>
      <c r="AE583" t="s">
        <v>11514</v>
      </c>
      <c r="AF583" t="s">
        <v>74</v>
      </c>
      <c r="AG583">
        <v>89</v>
      </c>
      <c r="AH583">
        <v>28</v>
      </c>
      <c r="AI583">
        <v>30</v>
      </c>
      <c r="AJ583">
        <v>1</v>
      </c>
      <c r="AK583">
        <v>42</v>
      </c>
      <c r="AL583" t="s">
        <v>578</v>
      </c>
      <c r="AM583" t="s">
        <v>92</v>
      </c>
      <c r="AN583" t="s">
        <v>579</v>
      </c>
      <c r="AO583" t="s">
        <v>11515</v>
      </c>
      <c r="AP583" t="s">
        <v>74</v>
      </c>
      <c r="AQ583" t="s">
        <v>74</v>
      </c>
      <c r="AR583" t="s">
        <v>11516</v>
      </c>
      <c r="AS583" t="s">
        <v>11517</v>
      </c>
      <c r="AT583" t="s">
        <v>11518</v>
      </c>
      <c r="AU583">
        <v>2017</v>
      </c>
      <c r="AV583">
        <v>18</v>
      </c>
      <c r="AW583" t="s">
        <v>74</v>
      </c>
      <c r="AX583" t="s">
        <v>74</v>
      </c>
      <c r="AY583">
        <v>1</v>
      </c>
      <c r="AZ583" t="s">
        <v>74</v>
      </c>
      <c r="BA583" t="s">
        <v>74</v>
      </c>
      <c r="BB583" t="s">
        <v>74</v>
      </c>
      <c r="BC583" t="s">
        <v>74</v>
      </c>
      <c r="BD583">
        <v>111</v>
      </c>
      <c r="BE583" t="s">
        <v>11519</v>
      </c>
      <c r="BF583" t="str">
        <f>HYPERLINK("http://dx.doi.org/10.1186/s12863-017-0580-9","http://dx.doi.org/10.1186/s12863-017-0580-9")</f>
        <v>http://dx.doi.org/10.1186/s12863-017-0580-9</v>
      </c>
      <c r="BG583" t="s">
        <v>74</v>
      </c>
      <c r="BH583" t="s">
        <v>74</v>
      </c>
      <c r="BI583">
        <v>11</v>
      </c>
      <c r="BJ583" t="s">
        <v>6750</v>
      </c>
      <c r="BK583" t="s">
        <v>2330</v>
      </c>
      <c r="BL583" t="s">
        <v>6750</v>
      </c>
      <c r="BM583" t="s">
        <v>11520</v>
      </c>
      <c r="BN583">
        <v>29297313</v>
      </c>
      <c r="BO583" t="s">
        <v>11521</v>
      </c>
      <c r="BP583" t="s">
        <v>74</v>
      </c>
      <c r="BQ583" t="s">
        <v>74</v>
      </c>
      <c r="BR583" t="s">
        <v>105</v>
      </c>
      <c r="BS583" t="s">
        <v>11522</v>
      </c>
      <c r="BT583" t="str">
        <f>HYPERLINK("https%3A%2F%2Fwww.webofscience.com%2Fwos%2Fwoscc%2Ffull-record%2FWOS:000419175700004","View Full Record in Web of Science")</f>
        <v>View Full Record in Web of Science</v>
      </c>
    </row>
    <row r="584" spans="1:72" x14ac:dyDescent="0.15">
      <c r="A584" t="s">
        <v>72</v>
      </c>
      <c r="B584" t="s">
        <v>11523</v>
      </c>
      <c r="C584" t="s">
        <v>74</v>
      </c>
      <c r="D584" t="s">
        <v>74</v>
      </c>
      <c r="E584" t="s">
        <v>74</v>
      </c>
      <c r="F584" t="s">
        <v>11524</v>
      </c>
      <c r="G584" t="s">
        <v>74</v>
      </c>
      <c r="H584" t="s">
        <v>74</v>
      </c>
      <c r="I584" t="s">
        <v>11525</v>
      </c>
      <c r="J584" t="s">
        <v>259</v>
      </c>
      <c r="K584" t="s">
        <v>74</v>
      </c>
      <c r="L584" t="s">
        <v>74</v>
      </c>
      <c r="M584" t="s">
        <v>78</v>
      </c>
      <c r="N584" t="s">
        <v>79</v>
      </c>
      <c r="O584" t="s">
        <v>74</v>
      </c>
      <c r="P584" t="s">
        <v>74</v>
      </c>
      <c r="Q584" t="s">
        <v>74</v>
      </c>
      <c r="R584" t="s">
        <v>74</v>
      </c>
      <c r="S584" t="s">
        <v>74</v>
      </c>
      <c r="T584" t="s">
        <v>11526</v>
      </c>
      <c r="U584" t="s">
        <v>11527</v>
      </c>
      <c r="V584" t="s">
        <v>11528</v>
      </c>
      <c r="W584" t="s">
        <v>11529</v>
      </c>
      <c r="X584" t="s">
        <v>11530</v>
      </c>
      <c r="Y584" t="s">
        <v>11531</v>
      </c>
      <c r="Z584" t="s">
        <v>11532</v>
      </c>
      <c r="AA584" t="s">
        <v>11533</v>
      </c>
      <c r="AB584" t="s">
        <v>11534</v>
      </c>
      <c r="AC584" t="s">
        <v>11535</v>
      </c>
      <c r="AD584" t="s">
        <v>4789</v>
      </c>
      <c r="AE584" t="s">
        <v>11536</v>
      </c>
      <c r="AF584" t="s">
        <v>74</v>
      </c>
      <c r="AG584">
        <v>53</v>
      </c>
      <c r="AH584">
        <v>28</v>
      </c>
      <c r="AI584">
        <v>32</v>
      </c>
      <c r="AJ584">
        <v>5</v>
      </c>
      <c r="AK584">
        <v>84</v>
      </c>
      <c r="AL584" t="s">
        <v>271</v>
      </c>
      <c r="AM584" t="s">
        <v>272</v>
      </c>
      <c r="AN584" t="s">
        <v>273</v>
      </c>
      <c r="AO584" t="s">
        <v>274</v>
      </c>
      <c r="AP584" t="s">
        <v>275</v>
      </c>
      <c r="AQ584" t="s">
        <v>74</v>
      </c>
      <c r="AR584" t="s">
        <v>276</v>
      </c>
      <c r="AS584" t="s">
        <v>277</v>
      </c>
      <c r="AT584" t="s">
        <v>11518</v>
      </c>
      <c r="AU584">
        <v>2017</v>
      </c>
      <c r="AV584">
        <v>44</v>
      </c>
      <c r="AW584">
        <v>24</v>
      </c>
      <c r="AX584" t="s">
        <v>74</v>
      </c>
      <c r="AY584" t="s">
        <v>74</v>
      </c>
      <c r="AZ584" t="s">
        <v>74</v>
      </c>
      <c r="BA584" t="s">
        <v>74</v>
      </c>
      <c r="BB584">
        <v>12289</v>
      </c>
      <c r="BC584">
        <v>12297</v>
      </c>
      <c r="BD584" t="s">
        <v>74</v>
      </c>
      <c r="BE584" t="s">
        <v>11537</v>
      </c>
      <c r="BF584" t="str">
        <f>HYPERLINK("http://dx.doi.org/10.1002/2017GL075951","http://dx.doi.org/10.1002/2017GL075951")</f>
        <v>http://dx.doi.org/10.1002/2017GL075951</v>
      </c>
      <c r="BG584" t="s">
        <v>74</v>
      </c>
      <c r="BH584" t="s">
        <v>74</v>
      </c>
      <c r="BI584">
        <v>9</v>
      </c>
      <c r="BJ584" t="s">
        <v>280</v>
      </c>
      <c r="BK584" t="s">
        <v>101</v>
      </c>
      <c r="BL584" t="s">
        <v>281</v>
      </c>
      <c r="BM584" t="s">
        <v>11538</v>
      </c>
      <c r="BN584" t="s">
        <v>74</v>
      </c>
      <c r="BO584" t="s">
        <v>1568</v>
      </c>
      <c r="BP584" t="s">
        <v>74</v>
      </c>
      <c r="BQ584" t="s">
        <v>74</v>
      </c>
      <c r="BR584" t="s">
        <v>105</v>
      </c>
      <c r="BS584" t="s">
        <v>11539</v>
      </c>
      <c r="BT584" t="str">
        <f>HYPERLINK("https%3A%2F%2Fwww.webofscience.com%2Fwos%2Fwoscc%2Ffull-record%2FWOS:000422954700003","View Full Record in Web of Science")</f>
        <v>View Full Record in Web of Science</v>
      </c>
    </row>
    <row r="585" spans="1:72" x14ac:dyDescent="0.15">
      <c r="A585" t="s">
        <v>72</v>
      </c>
      <c r="B585" t="s">
        <v>11540</v>
      </c>
      <c r="C585" t="s">
        <v>74</v>
      </c>
      <c r="D585" t="s">
        <v>74</v>
      </c>
      <c r="E585" t="s">
        <v>74</v>
      </c>
      <c r="F585" t="s">
        <v>11541</v>
      </c>
      <c r="G585" t="s">
        <v>74</v>
      </c>
      <c r="H585" t="s">
        <v>74</v>
      </c>
      <c r="I585" t="s">
        <v>11542</v>
      </c>
      <c r="J585" t="s">
        <v>259</v>
      </c>
      <c r="K585" t="s">
        <v>74</v>
      </c>
      <c r="L585" t="s">
        <v>74</v>
      </c>
      <c r="M585" t="s">
        <v>78</v>
      </c>
      <c r="N585" t="s">
        <v>79</v>
      </c>
      <c r="O585" t="s">
        <v>74</v>
      </c>
      <c r="P585" t="s">
        <v>74</v>
      </c>
      <c r="Q585" t="s">
        <v>74</v>
      </c>
      <c r="R585" t="s">
        <v>74</v>
      </c>
      <c r="S585" t="s">
        <v>74</v>
      </c>
      <c r="T585" t="s">
        <v>11543</v>
      </c>
      <c r="U585" t="s">
        <v>11544</v>
      </c>
      <c r="V585" t="s">
        <v>11545</v>
      </c>
      <c r="W585" t="s">
        <v>11546</v>
      </c>
      <c r="X585" t="s">
        <v>11547</v>
      </c>
      <c r="Y585" t="s">
        <v>11548</v>
      </c>
      <c r="Z585" t="s">
        <v>11549</v>
      </c>
      <c r="AA585" t="s">
        <v>11550</v>
      </c>
      <c r="AB585" t="s">
        <v>11551</v>
      </c>
      <c r="AC585" t="s">
        <v>11552</v>
      </c>
      <c r="AD585" t="s">
        <v>11553</v>
      </c>
      <c r="AE585" t="s">
        <v>11554</v>
      </c>
      <c r="AF585" t="s">
        <v>74</v>
      </c>
      <c r="AG585">
        <v>47</v>
      </c>
      <c r="AH585">
        <v>42</v>
      </c>
      <c r="AI585">
        <v>43</v>
      </c>
      <c r="AJ585">
        <v>1</v>
      </c>
      <c r="AK585">
        <v>10</v>
      </c>
      <c r="AL585" t="s">
        <v>271</v>
      </c>
      <c r="AM585" t="s">
        <v>272</v>
      </c>
      <c r="AN585" t="s">
        <v>273</v>
      </c>
      <c r="AO585" t="s">
        <v>274</v>
      </c>
      <c r="AP585" t="s">
        <v>275</v>
      </c>
      <c r="AQ585" t="s">
        <v>74</v>
      </c>
      <c r="AR585" t="s">
        <v>276</v>
      </c>
      <c r="AS585" t="s">
        <v>277</v>
      </c>
      <c r="AT585" t="s">
        <v>11518</v>
      </c>
      <c r="AU585">
        <v>2017</v>
      </c>
      <c r="AV585">
        <v>44</v>
      </c>
      <c r="AW585">
        <v>24</v>
      </c>
      <c r="AX585" t="s">
        <v>74</v>
      </c>
      <c r="AY585" t="s">
        <v>74</v>
      </c>
      <c r="AZ585" t="s">
        <v>74</v>
      </c>
      <c r="BA585" t="s">
        <v>74</v>
      </c>
      <c r="BB585">
        <v>12306</v>
      </c>
      <c r="BC585">
        <v>12314</v>
      </c>
      <c r="BD585" t="s">
        <v>74</v>
      </c>
      <c r="BE585" t="s">
        <v>11555</v>
      </c>
      <c r="BF585" t="str">
        <f>HYPERLINK("http://dx.doi.org/10.1002/2017GL075419","http://dx.doi.org/10.1002/2017GL075419")</f>
        <v>http://dx.doi.org/10.1002/2017GL075419</v>
      </c>
      <c r="BG585" t="s">
        <v>74</v>
      </c>
      <c r="BH585" t="s">
        <v>74</v>
      </c>
      <c r="BI585">
        <v>9</v>
      </c>
      <c r="BJ585" t="s">
        <v>280</v>
      </c>
      <c r="BK585" t="s">
        <v>101</v>
      </c>
      <c r="BL585" t="s">
        <v>281</v>
      </c>
      <c r="BM585" t="s">
        <v>11538</v>
      </c>
      <c r="BN585" t="s">
        <v>74</v>
      </c>
      <c r="BO585" t="s">
        <v>7675</v>
      </c>
      <c r="BP585" t="s">
        <v>74</v>
      </c>
      <c r="BQ585" t="s">
        <v>74</v>
      </c>
      <c r="BR585" t="s">
        <v>105</v>
      </c>
      <c r="BS585" t="s">
        <v>11556</v>
      </c>
      <c r="BT585" t="str">
        <f>HYPERLINK("https%3A%2F%2Fwww.webofscience.com%2Fwos%2Fwoscc%2Ffull-record%2FWOS:000422954700007","View Full Record in Web of Science")</f>
        <v>View Full Record in Web of Science</v>
      </c>
    </row>
    <row r="586" spans="1:72" x14ac:dyDescent="0.15">
      <c r="A586" t="s">
        <v>72</v>
      </c>
      <c r="B586" t="s">
        <v>11557</v>
      </c>
      <c r="C586" t="s">
        <v>74</v>
      </c>
      <c r="D586" t="s">
        <v>74</v>
      </c>
      <c r="E586" t="s">
        <v>74</v>
      </c>
      <c r="F586" t="s">
        <v>11558</v>
      </c>
      <c r="G586" t="s">
        <v>74</v>
      </c>
      <c r="H586" t="s">
        <v>74</v>
      </c>
      <c r="I586" t="s">
        <v>11559</v>
      </c>
      <c r="J586" t="s">
        <v>11560</v>
      </c>
      <c r="K586" t="s">
        <v>74</v>
      </c>
      <c r="L586" t="s">
        <v>74</v>
      </c>
      <c r="M586" t="s">
        <v>78</v>
      </c>
      <c r="N586" t="s">
        <v>79</v>
      </c>
      <c r="O586" t="s">
        <v>74</v>
      </c>
      <c r="P586" t="s">
        <v>74</v>
      </c>
      <c r="Q586" t="s">
        <v>74</v>
      </c>
      <c r="R586" t="s">
        <v>74</v>
      </c>
      <c r="S586" t="s">
        <v>74</v>
      </c>
      <c r="T586" t="s">
        <v>11561</v>
      </c>
      <c r="U586" t="s">
        <v>11562</v>
      </c>
      <c r="V586" t="s">
        <v>11563</v>
      </c>
      <c r="W586" t="s">
        <v>11564</v>
      </c>
      <c r="X586" t="s">
        <v>11565</v>
      </c>
      <c r="Y586" t="s">
        <v>11566</v>
      </c>
      <c r="Z586" t="s">
        <v>11567</v>
      </c>
      <c r="AA586" t="s">
        <v>74</v>
      </c>
      <c r="AB586" t="s">
        <v>11568</v>
      </c>
      <c r="AC586" t="s">
        <v>11569</v>
      </c>
      <c r="AD586" t="s">
        <v>11570</v>
      </c>
      <c r="AE586" t="s">
        <v>11571</v>
      </c>
      <c r="AF586" t="s">
        <v>74</v>
      </c>
      <c r="AG586">
        <v>79</v>
      </c>
      <c r="AH586">
        <v>11</v>
      </c>
      <c r="AI586">
        <v>11</v>
      </c>
      <c r="AJ586">
        <v>1</v>
      </c>
      <c r="AK586">
        <v>28</v>
      </c>
      <c r="AL586" t="s">
        <v>578</v>
      </c>
      <c r="AM586" t="s">
        <v>92</v>
      </c>
      <c r="AN586" t="s">
        <v>579</v>
      </c>
      <c r="AO586" t="s">
        <v>11572</v>
      </c>
      <c r="AP586" t="s">
        <v>74</v>
      </c>
      <c r="AQ586" t="s">
        <v>74</v>
      </c>
      <c r="AR586" t="s">
        <v>11573</v>
      </c>
      <c r="AS586" t="s">
        <v>11574</v>
      </c>
      <c r="AT586" t="s">
        <v>11575</v>
      </c>
      <c r="AU586">
        <v>2017</v>
      </c>
      <c r="AV586">
        <v>14</v>
      </c>
      <c r="AW586" t="s">
        <v>74</v>
      </c>
      <c r="AX586" t="s">
        <v>74</v>
      </c>
      <c r="AY586" t="s">
        <v>74</v>
      </c>
      <c r="AZ586" t="s">
        <v>74</v>
      </c>
      <c r="BA586" t="s">
        <v>74</v>
      </c>
      <c r="BB586" t="s">
        <v>74</v>
      </c>
      <c r="BC586" t="s">
        <v>74</v>
      </c>
      <c r="BD586">
        <v>59</v>
      </c>
      <c r="BE586" t="s">
        <v>11576</v>
      </c>
      <c r="BF586" t="str">
        <f>HYPERLINK("http://dx.doi.org/10.1186/s12983-017-0248-3","http://dx.doi.org/10.1186/s12983-017-0248-3")</f>
        <v>http://dx.doi.org/10.1186/s12983-017-0248-3</v>
      </c>
      <c r="BG586" t="s">
        <v>74</v>
      </c>
      <c r="BH586" t="s">
        <v>74</v>
      </c>
      <c r="BI586">
        <v>15</v>
      </c>
      <c r="BJ586" t="s">
        <v>655</v>
      </c>
      <c r="BK586" t="s">
        <v>101</v>
      </c>
      <c r="BL586" t="s">
        <v>655</v>
      </c>
      <c r="BM586" t="s">
        <v>11577</v>
      </c>
      <c r="BN586">
        <v>29299038</v>
      </c>
      <c r="BO586" t="s">
        <v>681</v>
      </c>
      <c r="BP586" t="s">
        <v>74</v>
      </c>
      <c r="BQ586" t="s">
        <v>74</v>
      </c>
      <c r="BR586" t="s">
        <v>105</v>
      </c>
      <c r="BS586" t="s">
        <v>11578</v>
      </c>
      <c r="BT586" t="str">
        <f>HYPERLINK("https%3A%2F%2Fwww.webofscience.com%2Fwos%2Fwoscc%2Ffull-record%2FWOS:000419185400001","View Full Record in Web of Science")</f>
        <v>View Full Record in Web of Science</v>
      </c>
    </row>
    <row r="587" spans="1:72" x14ac:dyDescent="0.15">
      <c r="A587" t="s">
        <v>72</v>
      </c>
      <c r="B587" t="s">
        <v>11579</v>
      </c>
      <c r="C587" t="s">
        <v>74</v>
      </c>
      <c r="D587" t="s">
        <v>74</v>
      </c>
      <c r="E587" t="s">
        <v>74</v>
      </c>
      <c r="F587" t="s">
        <v>11580</v>
      </c>
      <c r="G587" t="s">
        <v>74</v>
      </c>
      <c r="H587" t="s">
        <v>74</v>
      </c>
      <c r="I587" t="s">
        <v>11581</v>
      </c>
      <c r="J587" t="s">
        <v>411</v>
      </c>
      <c r="K587" t="s">
        <v>74</v>
      </c>
      <c r="L587" t="s">
        <v>74</v>
      </c>
      <c r="M587" t="s">
        <v>78</v>
      </c>
      <c r="N587" t="s">
        <v>79</v>
      </c>
      <c r="O587" t="s">
        <v>74</v>
      </c>
      <c r="P587" t="s">
        <v>74</v>
      </c>
      <c r="Q587" t="s">
        <v>74</v>
      </c>
      <c r="R587" t="s">
        <v>74</v>
      </c>
      <c r="S587" t="s">
        <v>74</v>
      </c>
      <c r="T587" t="s">
        <v>11582</v>
      </c>
      <c r="U587" t="s">
        <v>11583</v>
      </c>
      <c r="V587" t="s">
        <v>11584</v>
      </c>
      <c r="W587" t="s">
        <v>11585</v>
      </c>
      <c r="X587" t="s">
        <v>11586</v>
      </c>
      <c r="Y587" t="s">
        <v>11587</v>
      </c>
      <c r="Z587" t="s">
        <v>11588</v>
      </c>
      <c r="AA587" t="s">
        <v>11589</v>
      </c>
      <c r="AB587" t="s">
        <v>11590</v>
      </c>
      <c r="AC587" t="s">
        <v>11591</v>
      </c>
      <c r="AD587" t="s">
        <v>11592</v>
      </c>
      <c r="AE587" t="s">
        <v>11593</v>
      </c>
      <c r="AF587" t="s">
        <v>74</v>
      </c>
      <c r="AG587">
        <v>66</v>
      </c>
      <c r="AH587">
        <v>6</v>
      </c>
      <c r="AI587">
        <v>6</v>
      </c>
      <c r="AJ587">
        <v>0</v>
      </c>
      <c r="AK587">
        <v>11</v>
      </c>
      <c r="AL587" t="s">
        <v>271</v>
      </c>
      <c r="AM587" t="s">
        <v>272</v>
      </c>
      <c r="AN587" t="s">
        <v>273</v>
      </c>
      <c r="AO587" t="s">
        <v>424</v>
      </c>
      <c r="AP587" t="s">
        <v>425</v>
      </c>
      <c r="AQ587" t="s">
        <v>74</v>
      </c>
      <c r="AR587" t="s">
        <v>426</v>
      </c>
      <c r="AS587" t="s">
        <v>427</v>
      </c>
      <c r="AT587" t="s">
        <v>11575</v>
      </c>
      <c r="AU587">
        <v>2017</v>
      </c>
      <c r="AV587">
        <v>122</v>
      </c>
      <c r="AW587">
        <v>24</v>
      </c>
      <c r="AX587" t="s">
        <v>74</v>
      </c>
      <c r="AY587" t="s">
        <v>74</v>
      </c>
      <c r="AZ587" t="s">
        <v>74</v>
      </c>
      <c r="BA587" t="s">
        <v>74</v>
      </c>
      <c r="BB587">
        <v>13525</v>
      </c>
      <c r="BC587">
        <v>13544</v>
      </c>
      <c r="BD587" t="s">
        <v>74</v>
      </c>
      <c r="BE587" t="s">
        <v>11594</v>
      </c>
      <c r="BF587" t="str">
        <f>HYPERLINK("http://dx.doi.org/10.1002/2017JD026833","http://dx.doi.org/10.1002/2017JD026833")</f>
        <v>http://dx.doi.org/10.1002/2017JD026833</v>
      </c>
      <c r="BG587" t="s">
        <v>74</v>
      </c>
      <c r="BH587" t="s">
        <v>74</v>
      </c>
      <c r="BI587">
        <v>20</v>
      </c>
      <c r="BJ587" t="s">
        <v>430</v>
      </c>
      <c r="BK587" t="s">
        <v>101</v>
      </c>
      <c r="BL587" t="s">
        <v>430</v>
      </c>
      <c r="BM587" t="s">
        <v>11595</v>
      </c>
      <c r="BN587" t="s">
        <v>74</v>
      </c>
      <c r="BO587" t="s">
        <v>306</v>
      </c>
      <c r="BP587" t="s">
        <v>74</v>
      </c>
      <c r="BQ587" t="s">
        <v>74</v>
      </c>
      <c r="BR587" t="s">
        <v>105</v>
      </c>
      <c r="BS587" t="s">
        <v>11596</v>
      </c>
      <c r="BT587" t="str">
        <f>HYPERLINK("https%3A%2F%2Fwww.webofscience.com%2Fwos%2Fwoscc%2Ffull-record%2FWOS:000419950200010","View Full Record in Web of Science")</f>
        <v>View Full Record in Web of Science</v>
      </c>
    </row>
    <row r="588" spans="1:72" x14ac:dyDescent="0.15">
      <c r="A588" t="s">
        <v>72</v>
      </c>
      <c r="B588" t="s">
        <v>11597</v>
      </c>
      <c r="C588" t="s">
        <v>74</v>
      </c>
      <c r="D588" t="s">
        <v>74</v>
      </c>
      <c r="E588" t="s">
        <v>74</v>
      </c>
      <c r="F588" t="s">
        <v>11598</v>
      </c>
      <c r="G588" t="s">
        <v>74</v>
      </c>
      <c r="H588" t="s">
        <v>74</v>
      </c>
      <c r="I588" t="s">
        <v>11599</v>
      </c>
      <c r="J588" t="s">
        <v>11600</v>
      </c>
      <c r="K588" t="s">
        <v>74</v>
      </c>
      <c r="L588" t="s">
        <v>74</v>
      </c>
      <c r="M588" t="s">
        <v>78</v>
      </c>
      <c r="N588" t="s">
        <v>6137</v>
      </c>
      <c r="O588" t="s">
        <v>74</v>
      </c>
      <c r="P588" t="s">
        <v>74</v>
      </c>
      <c r="Q588" t="s">
        <v>74</v>
      </c>
      <c r="R588" t="s">
        <v>74</v>
      </c>
      <c r="S588" t="s">
        <v>74</v>
      </c>
      <c r="T588" t="s">
        <v>74</v>
      </c>
      <c r="U588" t="s">
        <v>74</v>
      </c>
      <c r="V588" t="s">
        <v>74</v>
      </c>
      <c r="W588" t="s">
        <v>11601</v>
      </c>
      <c r="X588" t="s">
        <v>7225</v>
      </c>
      <c r="Y588" t="s">
        <v>11602</v>
      </c>
      <c r="Z588" t="s">
        <v>11603</v>
      </c>
      <c r="AA588" t="s">
        <v>11604</v>
      </c>
      <c r="AB588" t="s">
        <v>11605</v>
      </c>
      <c r="AC588" t="s">
        <v>74</v>
      </c>
      <c r="AD588" t="s">
        <v>74</v>
      </c>
      <c r="AE588" t="s">
        <v>74</v>
      </c>
      <c r="AF588" t="s">
        <v>74</v>
      </c>
      <c r="AG588">
        <v>8</v>
      </c>
      <c r="AH588">
        <v>2</v>
      </c>
      <c r="AI588">
        <v>2</v>
      </c>
      <c r="AJ588">
        <v>0</v>
      </c>
      <c r="AK588">
        <v>3</v>
      </c>
      <c r="AL588" t="s">
        <v>11606</v>
      </c>
      <c r="AM588" t="s">
        <v>11607</v>
      </c>
      <c r="AN588" t="s">
        <v>11608</v>
      </c>
      <c r="AO588" t="s">
        <v>11609</v>
      </c>
      <c r="AP588" t="s">
        <v>74</v>
      </c>
      <c r="AQ588" t="s">
        <v>74</v>
      </c>
      <c r="AR588" t="s">
        <v>11610</v>
      </c>
      <c r="AS588" t="s">
        <v>11611</v>
      </c>
      <c r="AT588" t="s">
        <v>11612</v>
      </c>
      <c r="AU588">
        <v>2017</v>
      </c>
      <c r="AV588">
        <v>113</v>
      </c>
      <c r="AW588">
        <v>12</v>
      </c>
      <c r="AX588" t="s">
        <v>74</v>
      </c>
      <c r="AY588" t="s">
        <v>74</v>
      </c>
      <c r="AZ588" t="s">
        <v>74</v>
      </c>
      <c r="BA588" t="s">
        <v>74</v>
      </c>
      <c r="BB588">
        <v>2243</v>
      </c>
      <c r="BC588">
        <v>2244</v>
      </c>
      <c r="BD588" t="s">
        <v>74</v>
      </c>
      <c r="BE588" t="s">
        <v>74</v>
      </c>
      <c r="BF588" t="s">
        <v>74</v>
      </c>
      <c r="BG588" t="s">
        <v>74</v>
      </c>
      <c r="BH588" t="s">
        <v>74</v>
      </c>
      <c r="BI588">
        <v>2</v>
      </c>
      <c r="BJ588" t="s">
        <v>129</v>
      </c>
      <c r="BK588" t="s">
        <v>101</v>
      </c>
      <c r="BL588" t="s">
        <v>130</v>
      </c>
      <c r="BM588" t="s">
        <v>11613</v>
      </c>
      <c r="BN588" t="s">
        <v>74</v>
      </c>
      <c r="BO588" t="s">
        <v>74</v>
      </c>
      <c r="BP588" t="s">
        <v>74</v>
      </c>
      <c r="BQ588" t="s">
        <v>74</v>
      </c>
      <c r="BR588" t="s">
        <v>105</v>
      </c>
      <c r="BS588" t="s">
        <v>11614</v>
      </c>
      <c r="BT588" t="str">
        <f>HYPERLINK("https%3A%2F%2Fwww.webofscience.com%2Fwos%2Fwoscc%2Ffull-record%2FWOS:000418776200008","View Full Record in Web of Science")</f>
        <v>View Full Record in Web of Science</v>
      </c>
    </row>
    <row r="589" spans="1:72" x14ac:dyDescent="0.15">
      <c r="A589" t="s">
        <v>72</v>
      </c>
      <c r="B589" t="s">
        <v>11615</v>
      </c>
      <c r="C589" t="s">
        <v>74</v>
      </c>
      <c r="D589" t="s">
        <v>74</v>
      </c>
      <c r="E589" t="s">
        <v>74</v>
      </c>
      <c r="F589" t="s">
        <v>11616</v>
      </c>
      <c r="G589" t="s">
        <v>74</v>
      </c>
      <c r="H589" t="s">
        <v>74</v>
      </c>
      <c r="I589" t="s">
        <v>11617</v>
      </c>
      <c r="J589" t="s">
        <v>11618</v>
      </c>
      <c r="K589" t="s">
        <v>74</v>
      </c>
      <c r="L589" t="s">
        <v>74</v>
      </c>
      <c r="M589" t="s">
        <v>78</v>
      </c>
      <c r="N589" t="s">
        <v>79</v>
      </c>
      <c r="O589" t="s">
        <v>74</v>
      </c>
      <c r="P589" t="s">
        <v>74</v>
      </c>
      <c r="Q589" t="s">
        <v>74</v>
      </c>
      <c r="R589" t="s">
        <v>74</v>
      </c>
      <c r="S589" t="s">
        <v>74</v>
      </c>
      <c r="T589" t="s">
        <v>11619</v>
      </c>
      <c r="U589" t="s">
        <v>11620</v>
      </c>
      <c r="V589" t="s">
        <v>11621</v>
      </c>
      <c r="W589" t="s">
        <v>11622</v>
      </c>
      <c r="X589" t="s">
        <v>11623</v>
      </c>
      <c r="Y589" t="s">
        <v>11624</v>
      </c>
      <c r="Z589" t="s">
        <v>11625</v>
      </c>
      <c r="AA589" t="s">
        <v>74</v>
      </c>
      <c r="AB589" t="s">
        <v>74</v>
      </c>
      <c r="AC589" t="s">
        <v>11626</v>
      </c>
      <c r="AD589" t="s">
        <v>11627</v>
      </c>
      <c r="AE589" t="s">
        <v>11628</v>
      </c>
      <c r="AF589" t="s">
        <v>74</v>
      </c>
      <c r="AG589">
        <v>32</v>
      </c>
      <c r="AH589">
        <v>14</v>
      </c>
      <c r="AI589">
        <v>14</v>
      </c>
      <c r="AJ589">
        <v>0</v>
      </c>
      <c r="AK589">
        <v>7</v>
      </c>
      <c r="AL589" t="s">
        <v>11629</v>
      </c>
      <c r="AM589" t="s">
        <v>3395</v>
      </c>
      <c r="AN589" t="s">
        <v>11630</v>
      </c>
      <c r="AO589" t="s">
        <v>11631</v>
      </c>
      <c r="AP589" t="s">
        <v>74</v>
      </c>
      <c r="AQ589" t="s">
        <v>74</v>
      </c>
      <c r="AR589" t="s">
        <v>11632</v>
      </c>
      <c r="AS589" t="s">
        <v>11633</v>
      </c>
      <c r="AT589" t="s">
        <v>11634</v>
      </c>
      <c r="AU589">
        <v>2017</v>
      </c>
      <c r="AV589">
        <v>387</v>
      </c>
      <c r="AW589" t="s">
        <v>74</v>
      </c>
      <c r="AX589" t="s">
        <v>74</v>
      </c>
      <c r="AY589" t="s">
        <v>74</v>
      </c>
      <c r="AZ589" t="s">
        <v>74</v>
      </c>
      <c r="BA589" t="s">
        <v>74</v>
      </c>
      <c r="BB589">
        <v>1</v>
      </c>
      <c r="BC589">
        <v>17</v>
      </c>
      <c r="BD589" t="s">
        <v>74</v>
      </c>
      <c r="BE589" t="s">
        <v>11635</v>
      </c>
      <c r="BF589" t="str">
        <f>HYPERLINK("http://dx.doi.org/10.5852/ejt.2017.387","http://dx.doi.org/10.5852/ejt.2017.387")</f>
        <v>http://dx.doi.org/10.5852/ejt.2017.387</v>
      </c>
      <c r="BG589" t="s">
        <v>74</v>
      </c>
      <c r="BH589" t="s">
        <v>74</v>
      </c>
      <c r="BI589">
        <v>17</v>
      </c>
      <c r="BJ589" t="s">
        <v>11636</v>
      </c>
      <c r="BK589" t="s">
        <v>101</v>
      </c>
      <c r="BL589" t="s">
        <v>11636</v>
      </c>
      <c r="BM589" t="s">
        <v>11637</v>
      </c>
      <c r="BN589" t="s">
        <v>74</v>
      </c>
      <c r="BO589" t="s">
        <v>236</v>
      </c>
      <c r="BP589" t="s">
        <v>74</v>
      </c>
      <c r="BQ589" t="s">
        <v>74</v>
      </c>
      <c r="BR589" t="s">
        <v>105</v>
      </c>
      <c r="BS589" t="s">
        <v>11638</v>
      </c>
      <c r="BT589" t="str">
        <f>HYPERLINK("https%3A%2F%2Fwww.webofscience.com%2Fwos%2Fwoscc%2Ffull-record%2FWOS:000418910800001","View Full Record in Web of Science")</f>
        <v>View Full Record in Web of Science</v>
      </c>
    </row>
    <row r="590" spans="1:72" x14ac:dyDescent="0.15">
      <c r="A590" t="s">
        <v>72</v>
      </c>
      <c r="B590" t="s">
        <v>11639</v>
      </c>
      <c r="C590" t="s">
        <v>74</v>
      </c>
      <c r="D590" t="s">
        <v>74</v>
      </c>
      <c r="E590" t="s">
        <v>74</v>
      </c>
      <c r="F590" t="s">
        <v>11640</v>
      </c>
      <c r="G590" t="s">
        <v>74</v>
      </c>
      <c r="H590" t="s">
        <v>74</v>
      </c>
      <c r="I590" t="s">
        <v>11641</v>
      </c>
      <c r="J590" t="s">
        <v>11642</v>
      </c>
      <c r="K590" t="s">
        <v>74</v>
      </c>
      <c r="L590" t="s">
        <v>74</v>
      </c>
      <c r="M590" t="s">
        <v>78</v>
      </c>
      <c r="N590" t="s">
        <v>79</v>
      </c>
      <c r="O590" t="s">
        <v>74</v>
      </c>
      <c r="P590" t="s">
        <v>74</v>
      </c>
      <c r="Q590" t="s">
        <v>74</v>
      </c>
      <c r="R590" t="s">
        <v>74</v>
      </c>
      <c r="S590" t="s">
        <v>74</v>
      </c>
      <c r="T590" t="s">
        <v>74</v>
      </c>
      <c r="U590" t="s">
        <v>11643</v>
      </c>
      <c r="V590" t="s">
        <v>11644</v>
      </c>
      <c r="W590" t="s">
        <v>11645</v>
      </c>
      <c r="X590" t="s">
        <v>11646</v>
      </c>
      <c r="Y590" t="s">
        <v>11647</v>
      </c>
      <c r="Z590" t="s">
        <v>11648</v>
      </c>
      <c r="AA590" t="s">
        <v>11649</v>
      </c>
      <c r="AB590" t="s">
        <v>11650</v>
      </c>
      <c r="AC590" t="s">
        <v>11651</v>
      </c>
      <c r="AD590" t="s">
        <v>11652</v>
      </c>
      <c r="AE590" t="s">
        <v>11653</v>
      </c>
      <c r="AF590" t="s">
        <v>74</v>
      </c>
      <c r="AG590">
        <v>31</v>
      </c>
      <c r="AH590">
        <v>17</v>
      </c>
      <c r="AI590">
        <v>21</v>
      </c>
      <c r="AJ590">
        <v>0</v>
      </c>
      <c r="AK590">
        <v>15</v>
      </c>
      <c r="AL590" t="s">
        <v>892</v>
      </c>
      <c r="AM590" t="s">
        <v>698</v>
      </c>
      <c r="AN590" t="s">
        <v>699</v>
      </c>
      <c r="AO590" t="s">
        <v>11654</v>
      </c>
      <c r="AP590" t="s">
        <v>74</v>
      </c>
      <c r="AQ590" t="s">
        <v>74</v>
      </c>
      <c r="AR590" t="s">
        <v>11655</v>
      </c>
      <c r="AS590" t="s">
        <v>11656</v>
      </c>
      <c r="AT590" t="s">
        <v>11634</v>
      </c>
      <c r="AU590">
        <v>2017</v>
      </c>
      <c r="AV590">
        <v>7</v>
      </c>
      <c r="AW590" t="s">
        <v>74</v>
      </c>
      <c r="AX590" t="s">
        <v>74</v>
      </c>
      <c r="AY590" t="s">
        <v>74</v>
      </c>
      <c r="AZ590" t="s">
        <v>74</v>
      </c>
      <c r="BA590" t="s">
        <v>74</v>
      </c>
      <c r="BB590" t="s">
        <v>74</v>
      </c>
      <c r="BC590" t="s">
        <v>74</v>
      </c>
      <c r="BD590">
        <v>18090</v>
      </c>
      <c r="BE590" t="s">
        <v>11657</v>
      </c>
      <c r="BF590" t="str">
        <f>HYPERLINK("http://dx.doi.org/10.1038/s41598-017-18212-1","http://dx.doi.org/10.1038/s41598-017-18212-1")</f>
        <v>http://dx.doi.org/10.1038/s41598-017-18212-1</v>
      </c>
      <c r="BG590" t="s">
        <v>74</v>
      </c>
      <c r="BH590" t="s">
        <v>74</v>
      </c>
      <c r="BI590">
        <v>6</v>
      </c>
      <c r="BJ590" t="s">
        <v>129</v>
      </c>
      <c r="BK590" t="s">
        <v>101</v>
      </c>
      <c r="BL590" t="s">
        <v>130</v>
      </c>
      <c r="BM590" t="s">
        <v>11658</v>
      </c>
      <c r="BN590">
        <v>29273712</v>
      </c>
      <c r="BO590" t="s">
        <v>494</v>
      </c>
      <c r="BP590" t="s">
        <v>74</v>
      </c>
      <c r="BQ590" t="s">
        <v>74</v>
      </c>
      <c r="BR590" t="s">
        <v>105</v>
      </c>
      <c r="BS590" t="s">
        <v>11659</v>
      </c>
      <c r="BT590" t="str">
        <f>HYPERLINK("https%3A%2F%2Fwww.webofscience.com%2Fwos%2Fwoscc%2Ffull-record%2FWOS:000418644100049","View Full Record in Web of Science")</f>
        <v>View Full Record in Web of Science</v>
      </c>
    </row>
    <row r="591" spans="1:72" x14ac:dyDescent="0.15">
      <c r="A591" t="s">
        <v>72</v>
      </c>
      <c r="B591" t="s">
        <v>11660</v>
      </c>
      <c r="C591" t="s">
        <v>74</v>
      </c>
      <c r="D591" t="s">
        <v>74</v>
      </c>
      <c r="E591" t="s">
        <v>74</v>
      </c>
      <c r="F591" t="s">
        <v>11661</v>
      </c>
      <c r="G591" t="s">
        <v>74</v>
      </c>
      <c r="H591" t="s">
        <v>6308</v>
      </c>
      <c r="I591" t="s">
        <v>11662</v>
      </c>
      <c r="J591" t="s">
        <v>11663</v>
      </c>
      <c r="K591" t="s">
        <v>74</v>
      </c>
      <c r="L591" t="s">
        <v>74</v>
      </c>
      <c r="M591" t="s">
        <v>78</v>
      </c>
      <c r="N591" t="s">
        <v>2311</v>
      </c>
      <c r="O591" t="s">
        <v>11664</v>
      </c>
      <c r="P591" t="s">
        <v>11665</v>
      </c>
      <c r="Q591" t="s">
        <v>11666</v>
      </c>
      <c r="R591" t="s">
        <v>74</v>
      </c>
      <c r="S591" t="s">
        <v>74</v>
      </c>
      <c r="T591" t="s">
        <v>11667</v>
      </c>
      <c r="U591" t="s">
        <v>74</v>
      </c>
      <c r="V591" t="s">
        <v>11668</v>
      </c>
      <c r="W591" t="s">
        <v>11669</v>
      </c>
      <c r="X591" t="s">
        <v>11670</v>
      </c>
      <c r="Y591" t="s">
        <v>11671</v>
      </c>
      <c r="Z591" t="s">
        <v>74</v>
      </c>
      <c r="AA591" t="s">
        <v>6318</v>
      </c>
      <c r="AB591" t="s">
        <v>11672</v>
      </c>
      <c r="AC591" t="s">
        <v>74</v>
      </c>
      <c r="AD591" t="s">
        <v>74</v>
      </c>
      <c r="AE591" t="s">
        <v>74</v>
      </c>
      <c r="AF591" t="s">
        <v>74</v>
      </c>
      <c r="AG591">
        <v>13</v>
      </c>
      <c r="AH591">
        <v>2</v>
      </c>
      <c r="AI591">
        <v>2</v>
      </c>
      <c r="AJ591">
        <v>1</v>
      </c>
      <c r="AK591">
        <v>7</v>
      </c>
      <c r="AL591" t="s">
        <v>807</v>
      </c>
      <c r="AM591" t="s">
        <v>808</v>
      </c>
      <c r="AN591" t="s">
        <v>809</v>
      </c>
      <c r="AO591" t="s">
        <v>11673</v>
      </c>
      <c r="AP591" t="s">
        <v>11674</v>
      </c>
      <c r="AQ591" t="s">
        <v>74</v>
      </c>
      <c r="AR591" t="s">
        <v>11675</v>
      </c>
      <c r="AS591" t="s">
        <v>11676</v>
      </c>
      <c r="AT591" t="s">
        <v>11677</v>
      </c>
      <c r="AU591">
        <v>2017</v>
      </c>
      <c r="AV591">
        <v>876</v>
      </c>
      <c r="AW591" t="s">
        <v>74</v>
      </c>
      <c r="AX591" t="s">
        <v>74</v>
      </c>
      <c r="AY591" t="s">
        <v>74</v>
      </c>
      <c r="AZ591" t="s">
        <v>74</v>
      </c>
      <c r="BA591" t="s">
        <v>74</v>
      </c>
      <c r="BB591">
        <v>72</v>
      </c>
      <c r="BC591">
        <v>75</v>
      </c>
      <c r="BD591" t="s">
        <v>74</v>
      </c>
      <c r="BE591" t="s">
        <v>11678</v>
      </c>
      <c r="BF591" t="str">
        <f>HYPERLINK("http://dx.doi.org/10.1016/j.nima.2017.01.062","http://dx.doi.org/10.1016/j.nima.2017.01.062")</f>
        <v>http://dx.doi.org/10.1016/j.nima.2017.01.062</v>
      </c>
      <c r="BG591" t="s">
        <v>74</v>
      </c>
      <c r="BH591" t="s">
        <v>74</v>
      </c>
      <c r="BI591">
        <v>4</v>
      </c>
      <c r="BJ591" t="s">
        <v>11679</v>
      </c>
      <c r="BK591" t="s">
        <v>2330</v>
      </c>
      <c r="BL591" t="s">
        <v>11680</v>
      </c>
      <c r="BM591" t="s">
        <v>11681</v>
      </c>
      <c r="BN591" t="s">
        <v>74</v>
      </c>
      <c r="BO591" t="s">
        <v>74</v>
      </c>
      <c r="BP591" t="s">
        <v>74</v>
      </c>
      <c r="BQ591" t="s">
        <v>74</v>
      </c>
      <c r="BR591" t="s">
        <v>105</v>
      </c>
      <c r="BS591" t="s">
        <v>11682</v>
      </c>
      <c r="BT591" t="str">
        <f>HYPERLINK("https%3A%2F%2Fwww.webofscience.com%2Fwos%2Fwoscc%2Ffull-record%2FWOS:000418267300020","View Full Record in Web of Science")</f>
        <v>View Full Record in Web of Science</v>
      </c>
    </row>
    <row r="592" spans="1:72" x14ac:dyDescent="0.15">
      <c r="A592" t="s">
        <v>72</v>
      </c>
      <c r="B592" t="s">
        <v>11683</v>
      </c>
      <c r="C592" t="s">
        <v>74</v>
      </c>
      <c r="D592" t="s">
        <v>74</v>
      </c>
      <c r="E592" t="s">
        <v>74</v>
      </c>
      <c r="F592" t="s">
        <v>11684</v>
      </c>
      <c r="G592" t="s">
        <v>74</v>
      </c>
      <c r="H592" t="s">
        <v>74</v>
      </c>
      <c r="I592" t="s">
        <v>11685</v>
      </c>
      <c r="J592" t="s">
        <v>11686</v>
      </c>
      <c r="K592" t="s">
        <v>74</v>
      </c>
      <c r="L592" t="s">
        <v>74</v>
      </c>
      <c r="M592" t="s">
        <v>78</v>
      </c>
      <c r="N592" t="s">
        <v>79</v>
      </c>
      <c r="O592" t="s">
        <v>74</v>
      </c>
      <c r="P592" t="s">
        <v>74</v>
      </c>
      <c r="Q592" t="s">
        <v>74</v>
      </c>
      <c r="R592" t="s">
        <v>74</v>
      </c>
      <c r="S592" t="s">
        <v>74</v>
      </c>
      <c r="T592" t="s">
        <v>74</v>
      </c>
      <c r="U592" t="s">
        <v>11687</v>
      </c>
      <c r="V592" t="s">
        <v>11688</v>
      </c>
      <c r="W592" t="s">
        <v>11689</v>
      </c>
      <c r="X592" t="s">
        <v>11690</v>
      </c>
      <c r="Y592" t="s">
        <v>11691</v>
      </c>
      <c r="Z592" t="s">
        <v>11692</v>
      </c>
      <c r="AA592" t="s">
        <v>11693</v>
      </c>
      <c r="AB592" t="s">
        <v>11694</v>
      </c>
      <c r="AC592" t="s">
        <v>11695</v>
      </c>
      <c r="AD592" t="s">
        <v>11696</v>
      </c>
      <c r="AE592" t="s">
        <v>11697</v>
      </c>
      <c r="AF592" t="s">
        <v>74</v>
      </c>
      <c r="AG592">
        <v>51</v>
      </c>
      <c r="AH592">
        <v>53</v>
      </c>
      <c r="AI592">
        <v>57</v>
      </c>
      <c r="AJ592">
        <v>2</v>
      </c>
      <c r="AK592">
        <v>31</v>
      </c>
      <c r="AL592" t="s">
        <v>149</v>
      </c>
      <c r="AM592" t="s">
        <v>150</v>
      </c>
      <c r="AN592" t="s">
        <v>151</v>
      </c>
      <c r="AO592" t="s">
        <v>11698</v>
      </c>
      <c r="AP592" t="s">
        <v>11699</v>
      </c>
      <c r="AQ592" t="s">
        <v>74</v>
      </c>
      <c r="AR592" t="s">
        <v>11700</v>
      </c>
      <c r="AS592" t="s">
        <v>11701</v>
      </c>
      <c r="AT592" t="s">
        <v>11677</v>
      </c>
      <c r="AU592">
        <v>2017</v>
      </c>
      <c r="AV592">
        <v>10</v>
      </c>
      <c r="AW592">
        <v>12</v>
      </c>
      <c r="AX592" t="s">
        <v>74</v>
      </c>
      <c r="AY592" t="s">
        <v>74</v>
      </c>
      <c r="AZ592" t="s">
        <v>74</v>
      </c>
      <c r="BA592" t="s">
        <v>74</v>
      </c>
      <c r="BB592">
        <v>5039</v>
      </c>
      <c r="BC592">
        <v>5062</v>
      </c>
      <c r="BD592" t="s">
        <v>74</v>
      </c>
      <c r="BE592" t="s">
        <v>11702</v>
      </c>
      <c r="BF592" t="str">
        <f>HYPERLINK("http://dx.doi.org/10.5194/amt-10-5039-2017","http://dx.doi.org/10.5194/amt-10-5039-2017")</f>
        <v>http://dx.doi.org/10.5194/amt-10-5039-2017</v>
      </c>
      <c r="BG592" t="s">
        <v>74</v>
      </c>
      <c r="BH592" t="s">
        <v>74</v>
      </c>
      <c r="BI592">
        <v>24</v>
      </c>
      <c r="BJ592" t="s">
        <v>430</v>
      </c>
      <c r="BK592" t="s">
        <v>101</v>
      </c>
      <c r="BL592" t="s">
        <v>430</v>
      </c>
      <c r="BM592" t="s">
        <v>11703</v>
      </c>
      <c r="BN592" t="s">
        <v>74</v>
      </c>
      <c r="BO592" t="s">
        <v>212</v>
      </c>
      <c r="BP592" t="s">
        <v>74</v>
      </c>
      <c r="BQ592" t="s">
        <v>74</v>
      </c>
      <c r="BR592" t="s">
        <v>105</v>
      </c>
      <c r="BS592" t="s">
        <v>11704</v>
      </c>
      <c r="BT592" t="str">
        <f>HYPERLINK("https%3A%2F%2Fwww.webofscience.com%2Fwos%2Fwoscc%2Ffull-record%2FWOS:000418427000001","View Full Record in Web of Science")</f>
        <v>View Full Record in Web of Science</v>
      </c>
    </row>
    <row r="593" spans="1:72" x14ac:dyDescent="0.15">
      <c r="A593" t="s">
        <v>72</v>
      </c>
      <c r="B593" t="s">
        <v>11705</v>
      </c>
      <c r="C593" t="s">
        <v>74</v>
      </c>
      <c r="D593" t="s">
        <v>74</v>
      </c>
      <c r="E593" t="s">
        <v>74</v>
      </c>
      <c r="F593" t="s">
        <v>11706</v>
      </c>
      <c r="G593" t="s">
        <v>74</v>
      </c>
      <c r="H593" t="s">
        <v>74</v>
      </c>
      <c r="I593" t="s">
        <v>11707</v>
      </c>
      <c r="J593" t="s">
        <v>1549</v>
      </c>
      <c r="K593" t="s">
        <v>74</v>
      </c>
      <c r="L593" t="s">
        <v>74</v>
      </c>
      <c r="M593" t="s">
        <v>78</v>
      </c>
      <c r="N593" t="s">
        <v>79</v>
      </c>
      <c r="O593" t="s">
        <v>74</v>
      </c>
      <c r="P593" t="s">
        <v>74</v>
      </c>
      <c r="Q593" t="s">
        <v>74</v>
      </c>
      <c r="R593" t="s">
        <v>74</v>
      </c>
      <c r="S593" t="s">
        <v>74</v>
      </c>
      <c r="T593" t="s">
        <v>74</v>
      </c>
      <c r="U593" t="s">
        <v>11708</v>
      </c>
      <c r="V593" t="s">
        <v>11709</v>
      </c>
      <c r="W593" t="s">
        <v>11710</v>
      </c>
      <c r="X593" t="s">
        <v>11711</v>
      </c>
      <c r="Y593" t="s">
        <v>11712</v>
      </c>
      <c r="Z593" t="s">
        <v>11713</v>
      </c>
      <c r="AA593" t="s">
        <v>11714</v>
      </c>
      <c r="AB593" t="s">
        <v>11715</v>
      </c>
      <c r="AC593" t="s">
        <v>11716</v>
      </c>
      <c r="AD593" t="s">
        <v>11717</v>
      </c>
      <c r="AE593" t="s">
        <v>11718</v>
      </c>
      <c r="AF593" t="s">
        <v>74</v>
      </c>
      <c r="AG593">
        <v>55</v>
      </c>
      <c r="AH593">
        <v>189</v>
      </c>
      <c r="AI593">
        <v>202</v>
      </c>
      <c r="AJ593">
        <v>13</v>
      </c>
      <c r="AK593">
        <v>180</v>
      </c>
      <c r="AL593" t="s">
        <v>697</v>
      </c>
      <c r="AM593" t="s">
        <v>698</v>
      </c>
      <c r="AN593" t="s">
        <v>699</v>
      </c>
      <c r="AO593" t="s">
        <v>1561</v>
      </c>
      <c r="AP593" t="s">
        <v>1562</v>
      </c>
      <c r="AQ593" t="s">
        <v>74</v>
      </c>
      <c r="AR593" t="s">
        <v>1549</v>
      </c>
      <c r="AS593" t="s">
        <v>1563</v>
      </c>
      <c r="AT593" t="s">
        <v>11677</v>
      </c>
      <c r="AU593">
        <v>2017</v>
      </c>
      <c r="AV593">
        <v>552</v>
      </c>
      <c r="AW593">
        <v>7685</v>
      </c>
      <c r="AX593" t="s">
        <v>74</v>
      </c>
      <c r="AY593" t="s">
        <v>74</v>
      </c>
      <c r="AZ593" t="s">
        <v>74</v>
      </c>
      <c r="BA593" t="s">
        <v>74</v>
      </c>
      <c r="BB593">
        <v>400</v>
      </c>
      <c r="BC593" t="s">
        <v>1565</v>
      </c>
      <c r="BD593" t="s">
        <v>74</v>
      </c>
      <c r="BE593" t="s">
        <v>11719</v>
      </c>
      <c r="BF593" t="str">
        <f>HYPERLINK("http://dx.doi.org/10.1038/nature25014","http://dx.doi.org/10.1038/nature25014")</f>
        <v>http://dx.doi.org/10.1038/nature25014</v>
      </c>
      <c r="BG593" t="s">
        <v>74</v>
      </c>
      <c r="BH593" t="s">
        <v>74</v>
      </c>
      <c r="BI593">
        <v>19</v>
      </c>
      <c r="BJ593" t="s">
        <v>129</v>
      </c>
      <c r="BK593" t="s">
        <v>101</v>
      </c>
      <c r="BL593" t="s">
        <v>130</v>
      </c>
      <c r="BM593" t="s">
        <v>11720</v>
      </c>
      <c r="BN593">
        <v>29211716</v>
      </c>
      <c r="BO593" t="s">
        <v>4645</v>
      </c>
      <c r="BP593" t="s">
        <v>74</v>
      </c>
      <c r="BQ593" t="s">
        <v>74</v>
      </c>
      <c r="BR593" t="s">
        <v>105</v>
      </c>
      <c r="BS593" t="s">
        <v>11721</v>
      </c>
      <c r="BT593" t="str">
        <f>HYPERLINK("https%3A%2F%2Fwww.webofscience.com%2Fwos%2Fwoscc%2Ffull-record%2FWOS:000418559800058","View Full Record in Web of Science")</f>
        <v>View Full Record in Web of Science</v>
      </c>
    </row>
    <row r="594" spans="1:72" x14ac:dyDescent="0.15">
      <c r="A594" t="s">
        <v>72</v>
      </c>
      <c r="B594" t="s">
        <v>11722</v>
      </c>
      <c r="C594" t="s">
        <v>74</v>
      </c>
      <c r="D594" t="s">
        <v>74</v>
      </c>
      <c r="E594" t="s">
        <v>74</v>
      </c>
      <c r="F594" t="s">
        <v>11723</v>
      </c>
      <c r="G594" t="s">
        <v>74</v>
      </c>
      <c r="H594" t="s">
        <v>74</v>
      </c>
      <c r="I594" t="s">
        <v>11724</v>
      </c>
      <c r="J594" t="s">
        <v>137</v>
      </c>
      <c r="K594" t="s">
        <v>74</v>
      </c>
      <c r="L594" t="s">
        <v>74</v>
      </c>
      <c r="M594" t="s">
        <v>78</v>
      </c>
      <c r="N594" t="s">
        <v>79</v>
      </c>
      <c r="O594" t="s">
        <v>74</v>
      </c>
      <c r="P594" t="s">
        <v>74</v>
      </c>
      <c r="Q594" t="s">
        <v>74</v>
      </c>
      <c r="R594" t="s">
        <v>74</v>
      </c>
      <c r="S594" t="s">
        <v>74</v>
      </c>
      <c r="T594" t="s">
        <v>74</v>
      </c>
      <c r="U594" t="s">
        <v>11725</v>
      </c>
      <c r="V594" t="s">
        <v>11726</v>
      </c>
      <c r="W594" t="s">
        <v>11727</v>
      </c>
      <c r="X594" t="s">
        <v>11728</v>
      </c>
      <c r="Y594" t="s">
        <v>11729</v>
      </c>
      <c r="Z594" t="s">
        <v>11730</v>
      </c>
      <c r="AA594" t="s">
        <v>11731</v>
      </c>
      <c r="AB594" t="s">
        <v>11732</v>
      </c>
      <c r="AC594" t="s">
        <v>11733</v>
      </c>
      <c r="AD594" t="s">
        <v>11734</v>
      </c>
      <c r="AE594" t="s">
        <v>11735</v>
      </c>
      <c r="AF594" t="s">
        <v>74</v>
      </c>
      <c r="AG594">
        <v>105</v>
      </c>
      <c r="AH594">
        <v>8</v>
      </c>
      <c r="AI594">
        <v>8</v>
      </c>
      <c r="AJ594">
        <v>0</v>
      </c>
      <c r="AK594">
        <v>16</v>
      </c>
      <c r="AL594" t="s">
        <v>149</v>
      </c>
      <c r="AM594" t="s">
        <v>150</v>
      </c>
      <c r="AN594" t="s">
        <v>151</v>
      </c>
      <c r="AO594" t="s">
        <v>152</v>
      </c>
      <c r="AP594" t="s">
        <v>153</v>
      </c>
      <c r="AQ594" t="s">
        <v>74</v>
      </c>
      <c r="AR594" t="s">
        <v>137</v>
      </c>
      <c r="AS594" t="s">
        <v>154</v>
      </c>
      <c r="AT594" t="s">
        <v>11736</v>
      </c>
      <c r="AU594">
        <v>2017</v>
      </c>
      <c r="AV594">
        <v>14</v>
      </c>
      <c r="AW594">
        <v>24</v>
      </c>
      <c r="AX594" t="s">
        <v>74</v>
      </c>
      <c r="AY594" t="s">
        <v>74</v>
      </c>
      <c r="AZ594" t="s">
        <v>74</v>
      </c>
      <c r="BA594" t="s">
        <v>74</v>
      </c>
      <c r="BB594">
        <v>5705</v>
      </c>
      <c r="BC594">
        <v>5725</v>
      </c>
      <c r="BD594" t="s">
        <v>74</v>
      </c>
      <c r="BE594" t="s">
        <v>11737</v>
      </c>
      <c r="BF594" t="str">
        <f>HYPERLINK("http://dx.doi.org/10.5194/bg-14-5705-2017","http://dx.doi.org/10.5194/bg-14-5705-2017")</f>
        <v>http://dx.doi.org/10.5194/bg-14-5705-2017</v>
      </c>
      <c r="BG594" t="s">
        <v>74</v>
      </c>
      <c r="BH594" t="s">
        <v>74</v>
      </c>
      <c r="BI594">
        <v>21</v>
      </c>
      <c r="BJ594" t="s">
        <v>157</v>
      </c>
      <c r="BK594" t="s">
        <v>101</v>
      </c>
      <c r="BL594" t="s">
        <v>158</v>
      </c>
      <c r="BM594" t="s">
        <v>11738</v>
      </c>
      <c r="BN594" t="s">
        <v>74</v>
      </c>
      <c r="BO594" t="s">
        <v>5413</v>
      </c>
      <c r="BP594" t="s">
        <v>74</v>
      </c>
      <c r="BQ594" t="s">
        <v>74</v>
      </c>
      <c r="BR594" t="s">
        <v>105</v>
      </c>
      <c r="BS594" t="s">
        <v>11739</v>
      </c>
      <c r="BT594" t="str">
        <f>HYPERLINK("https%3A%2F%2Fwww.webofscience.com%2Fwos%2Fwoscc%2Ffull-record%2FWOS:000418333700003","View Full Record in Web of Science")</f>
        <v>View Full Record in Web of Science</v>
      </c>
    </row>
    <row r="595" spans="1:72" x14ac:dyDescent="0.15">
      <c r="A595" t="s">
        <v>72</v>
      </c>
      <c r="B595" t="s">
        <v>11740</v>
      </c>
      <c r="C595" t="s">
        <v>74</v>
      </c>
      <c r="D595" t="s">
        <v>74</v>
      </c>
      <c r="E595" t="s">
        <v>74</v>
      </c>
      <c r="F595" t="s">
        <v>11741</v>
      </c>
      <c r="G595" t="s">
        <v>74</v>
      </c>
      <c r="H595" t="s">
        <v>11742</v>
      </c>
      <c r="I595" t="s">
        <v>11743</v>
      </c>
      <c r="J595" t="s">
        <v>11744</v>
      </c>
      <c r="K595" t="s">
        <v>74</v>
      </c>
      <c r="L595" t="s">
        <v>74</v>
      </c>
      <c r="M595" t="s">
        <v>78</v>
      </c>
      <c r="N595" t="s">
        <v>79</v>
      </c>
      <c r="O595" t="s">
        <v>74</v>
      </c>
      <c r="P595" t="s">
        <v>74</v>
      </c>
      <c r="Q595" t="s">
        <v>74</v>
      </c>
      <c r="R595" t="s">
        <v>74</v>
      </c>
      <c r="S595" t="s">
        <v>74</v>
      </c>
      <c r="T595" t="s">
        <v>74</v>
      </c>
      <c r="U595" t="s">
        <v>11745</v>
      </c>
      <c r="V595" t="s">
        <v>11746</v>
      </c>
      <c r="W595" t="s">
        <v>11747</v>
      </c>
      <c r="X595" t="s">
        <v>11748</v>
      </c>
      <c r="Y595" t="s">
        <v>11749</v>
      </c>
      <c r="Z595" t="s">
        <v>11750</v>
      </c>
      <c r="AA595" t="s">
        <v>11751</v>
      </c>
      <c r="AB595" t="s">
        <v>11752</v>
      </c>
      <c r="AC595" t="s">
        <v>11753</v>
      </c>
      <c r="AD595" t="s">
        <v>11754</v>
      </c>
      <c r="AE595" t="s">
        <v>11755</v>
      </c>
      <c r="AF595" t="s">
        <v>74</v>
      </c>
      <c r="AG595">
        <v>525</v>
      </c>
      <c r="AH595">
        <v>55</v>
      </c>
      <c r="AI595">
        <v>60</v>
      </c>
      <c r="AJ595">
        <v>3</v>
      </c>
      <c r="AK595">
        <v>29</v>
      </c>
      <c r="AL595" t="s">
        <v>149</v>
      </c>
      <c r="AM595" t="s">
        <v>150</v>
      </c>
      <c r="AN595" t="s">
        <v>151</v>
      </c>
      <c r="AO595" t="s">
        <v>11756</v>
      </c>
      <c r="AP595" t="s">
        <v>11757</v>
      </c>
      <c r="AQ595" t="s">
        <v>74</v>
      </c>
      <c r="AR595" t="s">
        <v>11758</v>
      </c>
      <c r="AS595" t="s">
        <v>11759</v>
      </c>
      <c r="AT595" t="s">
        <v>11736</v>
      </c>
      <c r="AU595">
        <v>2017</v>
      </c>
      <c r="AV595">
        <v>13</v>
      </c>
      <c r="AW595">
        <v>12</v>
      </c>
      <c r="AX595" t="s">
        <v>74</v>
      </c>
      <c r="AY595" t="s">
        <v>74</v>
      </c>
      <c r="AZ595" t="s">
        <v>74</v>
      </c>
      <c r="BA595" t="s">
        <v>74</v>
      </c>
      <c r="BB595">
        <v>1851</v>
      </c>
      <c r="BC595">
        <v>1900</v>
      </c>
      <c r="BD595" t="s">
        <v>74</v>
      </c>
      <c r="BE595" t="s">
        <v>11760</v>
      </c>
      <c r="BF595" t="str">
        <f>HYPERLINK("http://dx.doi.org/10.5194/cp-13-1851-2017","http://dx.doi.org/10.5194/cp-13-1851-2017")</f>
        <v>http://dx.doi.org/10.5194/cp-13-1851-2017</v>
      </c>
      <c r="BG595" t="s">
        <v>74</v>
      </c>
      <c r="BH595" t="s">
        <v>74</v>
      </c>
      <c r="BI595">
        <v>50</v>
      </c>
      <c r="BJ595" t="s">
        <v>10260</v>
      </c>
      <c r="BK595" t="s">
        <v>101</v>
      </c>
      <c r="BL595" t="s">
        <v>10261</v>
      </c>
      <c r="BM595" t="s">
        <v>11761</v>
      </c>
      <c r="BN595" t="s">
        <v>74</v>
      </c>
      <c r="BO595" t="s">
        <v>11762</v>
      </c>
      <c r="BP595" t="s">
        <v>74</v>
      </c>
      <c r="BQ595" t="s">
        <v>74</v>
      </c>
      <c r="BR595" t="s">
        <v>105</v>
      </c>
      <c r="BS595" t="s">
        <v>11763</v>
      </c>
      <c r="BT595" t="str">
        <f>HYPERLINK("https%3A%2F%2Fwww.webofscience.com%2Fwos%2Fwoscc%2Ffull-record%2FWOS:000418320800001","View Full Record in Web of Science")</f>
        <v>View Full Record in Web of Science</v>
      </c>
    </row>
    <row r="596" spans="1:72" x14ac:dyDescent="0.15">
      <c r="A596" t="s">
        <v>72</v>
      </c>
      <c r="B596" t="s">
        <v>11764</v>
      </c>
      <c r="C596" t="s">
        <v>74</v>
      </c>
      <c r="D596" t="s">
        <v>74</v>
      </c>
      <c r="E596" t="s">
        <v>74</v>
      </c>
      <c r="F596" t="s">
        <v>11765</v>
      </c>
      <c r="G596" t="s">
        <v>74</v>
      </c>
      <c r="H596" t="s">
        <v>74</v>
      </c>
      <c r="I596" t="s">
        <v>11766</v>
      </c>
      <c r="J596" t="s">
        <v>77</v>
      </c>
      <c r="K596" t="s">
        <v>74</v>
      </c>
      <c r="L596" t="s">
        <v>74</v>
      </c>
      <c r="M596" t="s">
        <v>78</v>
      </c>
      <c r="N596" t="s">
        <v>79</v>
      </c>
      <c r="O596" t="s">
        <v>74</v>
      </c>
      <c r="P596" t="s">
        <v>74</v>
      </c>
      <c r="Q596" t="s">
        <v>74</v>
      </c>
      <c r="R596" t="s">
        <v>74</v>
      </c>
      <c r="S596" t="s">
        <v>74</v>
      </c>
      <c r="T596" t="s">
        <v>11767</v>
      </c>
      <c r="U596" t="s">
        <v>11768</v>
      </c>
      <c r="V596" t="s">
        <v>11769</v>
      </c>
      <c r="W596" t="s">
        <v>11770</v>
      </c>
      <c r="X596" t="s">
        <v>2299</v>
      </c>
      <c r="Y596" t="s">
        <v>11771</v>
      </c>
      <c r="Z596" t="s">
        <v>8344</v>
      </c>
      <c r="AA596" t="s">
        <v>74</v>
      </c>
      <c r="AB596" t="s">
        <v>8345</v>
      </c>
      <c r="AC596" t="s">
        <v>11772</v>
      </c>
      <c r="AD596" t="s">
        <v>11773</v>
      </c>
      <c r="AE596" t="s">
        <v>11774</v>
      </c>
      <c r="AF596" t="s">
        <v>74</v>
      </c>
      <c r="AG596">
        <v>40</v>
      </c>
      <c r="AH596">
        <v>20</v>
      </c>
      <c r="AI596">
        <v>24</v>
      </c>
      <c r="AJ596">
        <v>0</v>
      </c>
      <c r="AK596">
        <v>26</v>
      </c>
      <c r="AL596" t="s">
        <v>91</v>
      </c>
      <c r="AM596" t="s">
        <v>92</v>
      </c>
      <c r="AN596" t="s">
        <v>93</v>
      </c>
      <c r="AO596" t="s">
        <v>94</v>
      </c>
      <c r="AP596" t="s">
        <v>95</v>
      </c>
      <c r="AQ596" t="s">
        <v>74</v>
      </c>
      <c r="AR596" t="s">
        <v>96</v>
      </c>
      <c r="AS596" t="s">
        <v>97</v>
      </c>
      <c r="AT596" t="s">
        <v>11736</v>
      </c>
      <c r="AU596">
        <v>2017</v>
      </c>
      <c r="AV596">
        <v>284</v>
      </c>
      <c r="AW596">
        <v>1869</v>
      </c>
      <c r="AX596" t="s">
        <v>74</v>
      </c>
      <c r="AY596" t="s">
        <v>74</v>
      </c>
      <c r="AZ596" t="s">
        <v>74</v>
      </c>
      <c r="BA596" t="s">
        <v>74</v>
      </c>
      <c r="BB596" t="s">
        <v>74</v>
      </c>
      <c r="BC596" t="s">
        <v>74</v>
      </c>
      <c r="BD596">
        <v>20172015</v>
      </c>
      <c r="BE596" t="s">
        <v>11775</v>
      </c>
      <c r="BF596" t="str">
        <f>HYPERLINK("http://dx.doi.org/10.1098/rspb.2017.2015","http://dx.doi.org/10.1098/rspb.2017.2015")</f>
        <v>http://dx.doi.org/10.1098/rspb.2017.2015</v>
      </c>
      <c r="BG596" t="s">
        <v>74</v>
      </c>
      <c r="BH596" t="s">
        <v>74</v>
      </c>
      <c r="BI596">
        <v>7</v>
      </c>
      <c r="BJ596" t="s">
        <v>100</v>
      </c>
      <c r="BK596" t="s">
        <v>101</v>
      </c>
      <c r="BL596" t="s">
        <v>102</v>
      </c>
      <c r="BM596" t="s">
        <v>11776</v>
      </c>
      <c r="BN596">
        <v>29237854</v>
      </c>
      <c r="BO596" t="s">
        <v>406</v>
      </c>
      <c r="BP596" t="s">
        <v>74</v>
      </c>
      <c r="BQ596" t="s">
        <v>74</v>
      </c>
      <c r="BR596" t="s">
        <v>105</v>
      </c>
      <c r="BS596" t="s">
        <v>11777</v>
      </c>
      <c r="BT596" t="str">
        <f>HYPERLINK("https%3A%2F%2Fwww.webofscience.com%2Fwos%2Fwoscc%2Ffull-record%2FWOS:000418463000013","View Full Record in Web of Science")</f>
        <v>View Full Record in Web of Science</v>
      </c>
    </row>
    <row r="597" spans="1:72" x14ac:dyDescent="0.15">
      <c r="A597" t="s">
        <v>72</v>
      </c>
      <c r="B597" t="s">
        <v>11778</v>
      </c>
      <c r="C597" t="s">
        <v>74</v>
      </c>
      <c r="D597" t="s">
        <v>74</v>
      </c>
      <c r="E597" t="s">
        <v>74</v>
      </c>
      <c r="F597" t="s">
        <v>11779</v>
      </c>
      <c r="G597" t="s">
        <v>74</v>
      </c>
      <c r="H597" t="s">
        <v>74</v>
      </c>
      <c r="I597" t="s">
        <v>11780</v>
      </c>
      <c r="J597" t="s">
        <v>11781</v>
      </c>
      <c r="K597" t="s">
        <v>74</v>
      </c>
      <c r="L597" t="s">
        <v>74</v>
      </c>
      <c r="M597" t="s">
        <v>78</v>
      </c>
      <c r="N597" t="s">
        <v>289</v>
      </c>
      <c r="O597" t="s">
        <v>74</v>
      </c>
      <c r="P597" t="s">
        <v>74</v>
      </c>
      <c r="Q597" t="s">
        <v>74</v>
      </c>
      <c r="R597" t="s">
        <v>74</v>
      </c>
      <c r="S597" t="s">
        <v>74</v>
      </c>
      <c r="T597" t="s">
        <v>11782</v>
      </c>
      <c r="U597" t="s">
        <v>11783</v>
      </c>
      <c r="V597" t="s">
        <v>11784</v>
      </c>
      <c r="W597" t="s">
        <v>11785</v>
      </c>
      <c r="X597" t="s">
        <v>11786</v>
      </c>
      <c r="Y597" t="s">
        <v>11787</v>
      </c>
      <c r="Z597" t="s">
        <v>11788</v>
      </c>
      <c r="AA597" t="s">
        <v>11789</v>
      </c>
      <c r="AB597" t="s">
        <v>11790</v>
      </c>
      <c r="AC597" t="s">
        <v>11791</v>
      </c>
      <c r="AD597" t="s">
        <v>11792</v>
      </c>
      <c r="AE597" t="s">
        <v>11793</v>
      </c>
      <c r="AF597" t="s">
        <v>74</v>
      </c>
      <c r="AG597">
        <v>122</v>
      </c>
      <c r="AH597">
        <v>119</v>
      </c>
      <c r="AI597">
        <v>130</v>
      </c>
      <c r="AJ597">
        <v>0</v>
      </c>
      <c r="AK597">
        <v>15</v>
      </c>
      <c r="AL597" t="s">
        <v>3149</v>
      </c>
      <c r="AM597" t="s">
        <v>1797</v>
      </c>
      <c r="AN597" t="s">
        <v>3150</v>
      </c>
      <c r="AO597" t="s">
        <v>11794</v>
      </c>
      <c r="AP597" t="s">
        <v>11795</v>
      </c>
      <c r="AQ597" t="s">
        <v>74</v>
      </c>
      <c r="AR597" t="s">
        <v>11796</v>
      </c>
      <c r="AS597" t="s">
        <v>11797</v>
      </c>
      <c r="AT597" t="s">
        <v>11736</v>
      </c>
      <c r="AU597">
        <v>2017</v>
      </c>
      <c r="AV597">
        <v>34</v>
      </c>
      <c r="AW597" t="s">
        <v>74</v>
      </c>
      <c r="AX597" t="s">
        <v>74</v>
      </c>
      <c r="AY597" t="s">
        <v>74</v>
      </c>
      <c r="AZ597" t="s">
        <v>74</v>
      </c>
      <c r="BA597" t="s">
        <v>74</v>
      </c>
      <c r="BB597" t="s">
        <v>74</v>
      </c>
      <c r="BC597" t="s">
        <v>74</v>
      </c>
      <c r="BD597" t="s">
        <v>11798</v>
      </c>
      <c r="BE597" t="s">
        <v>11799</v>
      </c>
      <c r="BF597" t="str">
        <f>HYPERLINK("http://dx.doi.org/10.1017/pasa.2017.65","http://dx.doi.org/10.1017/pasa.2017.65")</f>
        <v>http://dx.doi.org/10.1017/pasa.2017.65</v>
      </c>
      <c r="BG597" t="s">
        <v>74</v>
      </c>
      <c r="BH597" t="s">
        <v>74</v>
      </c>
      <c r="BI597">
        <v>21</v>
      </c>
      <c r="BJ597" t="s">
        <v>787</v>
      </c>
      <c r="BK597" t="s">
        <v>101</v>
      </c>
      <c r="BL597" t="s">
        <v>787</v>
      </c>
      <c r="BM597" t="s">
        <v>11800</v>
      </c>
      <c r="BN597" t="s">
        <v>74</v>
      </c>
      <c r="BO597" t="s">
        <v>7924</v>
      </c>
      <c r="BP597" t="s">
        <v>74</v>
      </c>
      <c r="BQ597" t="s">
        <v>74</v>
      </c>
      <c r="BR597" t="s">
        <v>105</v>
      </c>
      <c r="BS597" t="s">
        <v>11801</v>
      </c>
      <c r="BT597" t="str">
        <f>HYPERLINK("https%3A%2F%2Fwww.webofscience.com%2Fwos%2Fwoscc%2Ffull-record%2FWOS:000418457200001","View Full Record in Web of Science")</f>
        <v>View Full Record in Web of Science</v>
      </c>
    </row>
    <row r="598" spans="1:72" x14ac:dyDescent="0.15">
      <c r="A598" t="s">
        <v>72</v>
      </c>
      <c r="B598" t="s">
        <v>11802</v>
      </c>
      <c r="C598" t="s">
        <v>74</v>
      </c>
      <c r="D598" t="s">
        <v>74</v>
      </c>
      <c r="E598" t="s">
        <v>74</v>
      </c>
      <c r="F598" t="s">
        <v>11803</v>
      </c>
      <c r="G598" t="s">
        <v>74</v>
      </c>
      <c r="H598" t="s">
        <v>74</v>
      </c>
      <c r="I598" t="s">
        <v>11804</v>
      </c>
      <c r="J598" t="s">
        <v>165</v>
      </c>
      <c r="K598" t="s">
        <v>74</v>
      </c>
      <c r="L598" t="s">
        <v>74</v>
      </c>
      <c r="M598" t="s">
        <v>78</v>
      </c>
      <c r="N598" t="s">
        <v>79</v>
      </c>
      <c r="O598" t="s">
        <v>74</v>
      </c>
      <c r="P598" t="s">
        <v>74</v>
      </c>
      <c r="Q598" t="s">
        <v>74</v>
      </c>
      <c r="R598" t="s">
        <v>74</v>
      </c>
      <c r="S598" t="s">
        <v>74</v>
      </c>
      <c r="T598" t="s">
        <v>74</v>
      </c>
      <c r="U598" t="s">
        <v>11805</v>
      </c>
      <c r="V598" t="s">
        <v>11806</v>
      </c>
      <c r="W598" t="s">
        <v>11807</v>
      </c>
      <c r="X598" t="s">
        <v>11808</v>
      </c>
      <c r="Y598" t="s">
        <v>11809</v>
      </c>
      <c r="Z598" t="s">
        <v>11810</v>
      </c>
      <c r="AA598" t="s">
        <v>11811</v>
      </c>
      <c r="AB598" t="s">
        <v>11812</v>
      </c>
      <c r="AC598" t="s">
        <v>11813</v>
      </c>
      <c r="AD598" t="s">
        <v>11814</v>
      </c>
      <c r="AE598" t="s">
        <v>11815</v>
      </c>
      <c r="AF598" t="s">
        <v>74</v>
      </c>
      <c r="AG598">
        <v>98</v>
      </c>
      <c r="AH598">
        <v>10</v>
      </c>
      <c r="AI598">
        <v>13</v>
      </c>
      <c r="AJ598">
        <v>0</v>
      </c>
      <c r="AK598">
        <v>9</v>
      </c>
      <c r="AL598" t="s">
        <v>149</v>
      </c>
      <c r="AM598" t="s">
        <v>150</v>
      </c>
      <c r="AN598" t="s">
        <v>151</v>
      </c>
      <c r="AO598" t="s">
        <v>177</v>
      </c>
      <c r="AP598" t="s">
        <v>178</v>
      </c>
      <c r="AQ598" t="s">
        <v>74</v>
      </c>
      <c r="AR598" t="s">
        <v>179</v>
      </c>
      <c r="AS598" t="s">
        <v>180</v>
      </c>
      <c r="AT598" t="s">
        <v>11816</v>
      </c>
      <c r="AU598">
        <v>2017</v>
      </c>
      <c r="AV598">
        <v>17</v>
      </c>
      <c r="AW598">
        <v>24</v>
      </c>
      <c r="AX598" t="s">
        <v>74</v>
      </c>
      <c r="AY598" t="s">
        <v>74</v>
      </c>
      <c r="AZ598" t="s">
        <v>74</v>
      </c>
      <c r="BA598" t="s">
        <v>74</v>
      </c>
      <c r="BB598">
        <v>14955</v>
      </c>
      <c r="BC598">
        <v>14974</v>
      </c>
      <c r="BD598" t="s">
        <v>74</v>
      </c>
      <c r="BE598" t="s">
        <v>11817</v>
      </c>
      <c r="BF598" t="str">
        <f>HYPERLINK("http://dx.doi.org/10.5194/acp-17-14955-2017","http://dx.doi.org/10.5194/acp-17-14955-2017")</f>
        <v>http://dx.doi.org/10.5194/acp-17-14955-2017</v>
      </c>
      <c r="BG598" t="s">
        <v>74</v>
      </c>
      <c r="BH598" t="s">
        <v>74</v>
      </c>
      <c r="BI598">
        <v>20</v>
      </c>
      <c r="BJ598" t="s">
        <v>183</v>
      </c>
      <c r="BK598" t="s">
        <v>101</v>
      </c>
      <c r="BL598" t="s">
        <v>184</v>
      </c>
      <c r="BM598" t="s">
        <v>11818</v>
      </c>
      <c r="BN598" t="s">
        <v>74</v>
      </c>
      <c r="BO598" t="s">
        <v>11819</v>
      </c>
      <c r="BP598" t="s">
        <v>74</v>
      </c>
      <c r="BQ598" t="s">
        <v>74</v>
      </c>
      <c r="BR598" t="s">
        <v>105</v>
      </c>
      <c r="BS598" t="s">
        <v>11820</v>
      </c>
      <c r="BT598" t="str">
        <f>HYPERLINK("https%3A%2F%2Fwww.webofscience.com%2Fwos%2Fwoscc%2Ffull-record%2FWOS:000418279100001","View Full Record in Web of Science")</f>
        <v>View Full Record in Web of Science</v>
      </c>
    </row>
    <row r="599" spans="1:72" x14ac:dyDescent="0.15">
      <c r="A599" t="s">
        <v>72</v>
      </c>
      <c r="B599" t="s">
        <v>11821</v>
      </c>
      <c r="C599" t="s">
        <v>74</v>
      </c>
      <c r="D599" t="s">
        <v>74</v>
      </c>
      <c r="E599" t="s">
        <v>74</v>
      </c>
      <c r="F599" t="s">
        <v>11822</v>
      </c>
      <c r="G599" t="s">
        <v>74</v>
      </c>
      <c r="H599" t="s">
        <v>74</v>
      </c>
      <c r="I599" t="s">
        <v>11823</v>
      </c>
      <c r="J599" t="s">
        <v>11686</v>
      </c>
      <c r="K599" t="s">
        <v>74</v>
      </c>
      <c r="L599" t="s">
        <v>74</v>
      </c>
      <c r="M599" t="s">
        <v>78</v>
      </c>
      <c r="N599" t="s">
        <v>79</v>
      </c>
      <c r="O599" t="s">
        <v>74</v>
      </c>
      <c r="P599" t="s">
        <v>74</v>
      </c>
      <c r="Q599" t="s">
        <v>74</v>
      </c>
      <c r="R599" t="s">
        <v>74</v>
      </c>
      <c r="S599" t="s">
        <v>74</v>
      </c>
      <c r="T599" t="s">
        <v>74</v>
      </c>
      <c r="U599" t="s">
        <v>11824</v>
      </c>
      <c r="V599" t="s">
        <v>11825</v>
      </c>
      <c r="W599" t="s">
        <v>11826</v>
      </c>
      <c r="X599" t="s">
        <v>11827</v>
      </c>
      <c r="Y599" t="s">
        <v>11828</v>
      </c>
      <c r="Z599" t="s">
        <v>11829</v>
      </c>
      <c r="AA599" t="s">
        <v>11830</v>
      </c>
      <c r="AB599" t="s">
        <v>11831</v>
      </c>
      <c r="AC599" t="s">
        <v>11832</v>
      </c>
      <c r="AD599" t="s">
        <v>11833</v>
      </c>
      <c r="AE599" t="s">
        <v>11834</v>
      </c>
      <c r="AF599" t="s">
        <v>74</v>
      </c>
      <c r="AG599">
        <v>49</v>
      </c>
      <c r="AH599">
        <v>4</v>
      </c>
      <c r="AI599">
        <v>4</v>
      </c>
      <c r="AJ599">
        <v>0</v>
      </c>
      <c r="AK599">
        <v>2</v>
      </c>
      <c r="AL599" t="s">
        <v>149</v>
      </c>
      <c r="AM599" t="s">
        <v>150</v>
      </c>
      <c r="AN599" t="s">
        <v>151</v>
      </c>
      <c r="AO599" t="s">
        <v>11698</v>
      </c>
      <c r="AP599" t="s">
        <v>11699</v>
      </c>
      <c r="AQ599" t="s">
        <v>74</v>
      </c>
      <c r="AR599" t="s">
        <v>11700</v>
      </c>
      <c r="AS599" t="s">
        <v>11701</v>
      </c>
      <c r="AT599" t="s">
        <v>11816</v>
      </c>
      <c r="AU599">
        <v>2017</v>
      </c>
      <c r="AV599">
        <v>10</v>
      </c>
      <c r="AW599">
        <v>12</v>
      </c>
      <c r="AX599" t="s">
        <v>74</v>
      </c>
      <c r="AY599" t="s">
        <v>74</v>
      </c>
      <c r="AZ599" t="s">
        <v>74</v>
      </c>
      <c r="BA599" t="s">
        <v>74</v>
      </c>
      <c r="BB599" t="s">
        <v>74</v>
      </c>
      <c r="BC599" t="s">
        <v>74</v>
      </c>
      <c r="BD599" t="s">
        <v>74</v>
      </c>
      <c r="BE599" t="s">
        <v>11835</v>
      </c>
      <c r="BF599" t="str">
        <f>HYPERLINK("http://dx.doi.org/10.5194/amt-10-4947-2017","http://dx.doi.org/10.5194/amt-10-4947-2017")</f>
        <v>http://dx.doi.org/10.5194/amt-10-4947-2017</v>
      </c>
      <c r="BG599" t="s">
        <v>74</v>
      </c>
      <c r="BH599" t="s">
        <v>74</v>
      </c>
      <c r="BI599">
        <v>18</v>
      </c>
      <c r="BJ599" t="s">
        <v>430</v>
      </c>
      <c r="BK599" t="s">
        <v>101</v>
      </c>
      <c r="BL599" t="s">
        <v>430</v>
      </c>
      <c r="BM599" t="s">
        <v>11836</v>
      </c>
      <c r="BN599" t="s">
        <v>74</v>
      </c>
      <c r="BO599" t="s">
        <v>681</v>
      </c>
      <c r="BP599" t="s">
        <v>74</v>
      </c>
      <c r="BQ599" t="s">
        <v>74</v>
      </c>
      <c r="BR599" t="s">
        <v>105</v>
      </c>
      <c r="BS599" t="s">
        <v>11837</v>
      </c>
      <c r="BT599" t="str">
        <f>HYPERLINK("https%3A%2F%2Fwww.webofscience.com%2Fwos%2Fwoscc%2Ffull-record%2FWOS:000418279200001","View Full Record in Web of Science")</f>
        <v>View Full Record in Web of Science</v>
      </c>
    </row>
    <row r="600" spans="1:72" x14ac:dyDescent="0.15">
      <c r="A600" t="s">
        <v>72</v>
      </c>
      <c r="B600" t="s">
        <v>11838</v>
      </c>
      <c r="C600" t="s">
        <v>74</v>
      </c>
      <c r="D600" t="s">
        <v>74</v>
      </c>
      <c r="E600" t="s">
        <v>74</v>
      </c>
      <c r="F600" t="s">
        <v>11839</v>
      </c>
      <c r="G600" t="s">
        <v>74</v>
      </c>
      <c r="H600" t="s">
        <v>74</v>
      </c>
      <c r="I600" t="s">
        <v>11840</v>
      </c>
      <c r="J600" t="s">
        <v>11841</v>
      </c>
      <c r="K600" t="s">
        <v>74</v>
      </c>
      <c r="L600" t="s">
        <v>74</v>
      </c>
      <c r="M600" t="s">
        <v>78</v>
      </c>
      <c r="N600" t="s">
        <v>11842</v>
      </c>
      <c r="O600" t="s">
        <v>74</v>
      </c>
      <c r="P600" t="s">
        <v>74</v>
      </c>
      <c r="Q600" t="s">
        <v>74</v>
      </c>
      <c r="R600" t="s">
        <v>74</v>
      </c>
      <c r="S600" t="s">
        <v>74</v>
      </c>
      <c r="T600" t="s">
        <v>74</v>
      </c>
      <c r="U600" t="s">
        <v>11843</v>
      </c>
      <c r="V600" t="s">
        <v>74</v>
      </c>
      <c r="W600" t="s">
        <v>11844</v>
      </c>
      <c r="X600" t="s">
        <v>11845</v>
      </c>
      <c r="Y600" t="s">
        <v>11846</v>
      </c>
      <c r="Z600" t="s">
        <v>11847</v>
      </c>
      <c r="AA600" t="s">
        <v>74</v>
      </c>
      <c r="AB600" t="s">
        <v>11848</v>
      </c>
      <c r="AC600" t="s">
        <v>11849</v>
      </c>
      <c r="AD600" t="s">
        <v>2304</v>
      </c>
      <c r="AE600" t="s">
        <v>74</v>
      </c>
      <c r="AF600" t="s">
        <v>74</v>
      </c>
      <c r="AG600">
        <v>10</v>
      </c>
      <c r="AH600">
        <v>2</v>
      </c>
      <c r="AI600">
        <v>2</v>
      </c>
      <c r="AJ600">
        <v>0</v>
      </c>
      <c r="AK600">
        <v>3</v>
      </c>
      <c r="AL600" t="s">
        <v>11850</v>
      </c>
      <c r="AM600" t="s">
        <v>8222</v>
      </c>
      <c r="AN600" t="s">
        <v>11851</v>
      </c>
      <c r="AO600" t="s">
        <v>11852</v>
      </c>
      <c r="AP600" t="s">
        <v>11853</v>
      </c>
      <c r="AQ600" t="s">
        <v>74</v>
      </c>
      <c r="AR600" t="s">
        <v>11854</v>
      </c>
      <c r="AS600" t="s">
        <v>11855</v>
      </c>
      <c r="AT600" t="s">
        <v>11856</v>
      </c>
      <c r="AU600">
        <v>2017</v>
      </c>
      <c r="AV600">
        <v>27</v>
      </c>
      <c r="AW600">
        <v>24</v>
      </c>
      <c r="AX600" t="s">
        <v>74</v>
      </c>
      <c r="AY600" t="s">
        <v>74</v>
      </c>
      <c r="AZ600" t="s">
        <v>74</v>
      </c>
      <c r="BA600" t="s">
        <v>74</v>
      </c>
      <c r="BB600" t="s">
        <v>11857</v>
      </c>
      <c r="BC600" t="s">
        <v>11858</v>
      </c>
      <c r="BD600" t="s">
        <v>74</v>
      </c>
      <c r="BE600" t="s">
        <v>11859</v>
      </c>
      <c r="BF600" t="str">
        <f>HYPERLINK("http://dx.doi.org/10.1016/j.cub.2017.10.066","http://dx.doi.org/10.1016/j.cub.2017.10.066")</f>
        <v>http://dx.doi.org/10.1016/j.cub.2017.10.066</v>
      </c>
      <c r="BG600" t="s">
        <v>74</v>
      </c>
      <c r="BH600" t="s">
        <v>74</v>
      </c>
      <c r="BI600">
        <v>3</v>
      </c>
      <c r="BJ600" t="s">
        <v>11860</v>
      </c>
      <c r="BK600" t="s">
        <v>101</v>
      </c>
      <c r="BL600" t="s">
        <v>11861</v>
      </c>
      <c r="BM600" t="s">
        <v>11862</v>
      </c>
      <c r="BN600">
        <v>29257960</v>
      </c>
      <c r="BO600" t="s">
        <v>1150</v>
      </c>
      <c r="BP600" t="s">
        <v>74</v>
      </c>
      <c r="BQ600" t="s">
        <v>74</v>
      </c>
      <c r="BR600" t="s">
        <v>105</v>
      </c>
      <c r="BS600" t="s">
        <v>11863</v>
      </c>
      <c r="BT600" t="str">
        <f>HYPERLINK("https%3A%2F%2Fwww.webofscience.com%2Fwos%2Fwoscc%2Ffull-record%2FWOS:000418285000006","View Full Record in Web of Science")</f>
        <v>View Full Record in Web of Science</v>
      </c>
    </row>
    <row r="601" spans="1:72" x14ac:dyDescent="0.15">
      <c r="A601" t="s">
        <v>72</v>
      </c>
      <c r="B601" t="s">
        <v>11864</v>
      </c>
      <c r="C601" t="s">
        <v>74</v>
      </c>
      <c r="D601" t="s">
        <v>74</v>
      </c>
      <c r="E601" t="s">
        <v>74</v>
      </c>
      <c r="F601" t="s">
        <v>11865</v>
      </c>
      <c r="G601" t="s">
        <v>74</v>
      </c>
      <c r="H601" t="s">
        <v>74</v>
      </c>
      <c r="I601" t="s">
        <v>11866</v>
      </c>
      <c r="J601" t="s">
        <v>11841</v>
      </c>
      <c r="K601" t="s">
        <v>74</v>
      </c>
      <c r="L601" t="s">
        <v>74</v>
      </c>
      <c r="M601" t="s">
        <v>78</v>
      </c>
      <c r="N601" t="s">
        <v>11842</v>
      </c>
      <c r="O601" t="s">
        <v>74</v>
      </c>
      <c r="P601" t="s">
        <v>74</v>
      </c>
      <c r="Q601" t="s">
        <v>74</v>
      </c>
      <c r="R601" t="s">
        <v>74</v>
      </c>
      <c r="S601" t="s">
        <v>74</v>
      </c>
      <c r="T601" t="s">
        <v>74</v>
      </c>
      <c r="U601" t="s">
        <v>74</v>
      </c>
      <c r="V601" t="s">
        <v>74</v>
      </c>
      <c r="W601" t="s">
        <v>11867</v>
      </c>
      <c r="X601" t="s">
        <v>11868</v>
      </c>
      <c r="Y601" t="s">
        <v>11869</v>
      </c>
      <c r="Z601" t="s">
        <v>11870</v>
      </c>
      <c r="AA601" t="s">
        <v>74</v>
      </c>
      <c r="AB601" t="s">
        <v>74</v>
      </c>
      <c r="AC601" t="s">
        <v>74</v>
      </c>
      <c r="AD601" t="s">
        <v>74</v>
      </c>
      <c r="AE601" t="s">
        <v>74</v>
      </c>
      <c r="AF601" t="s">
        <v>74</v>
      </c>
      <c r="AG601">
        <v>3</v>
      </c>
      <c r="AH601">
        <v>2</v>
      </c>
      <c r="AI601">
        <v>2</v>
      </c>
      <c r="AJ601">
        <v>0</v>
      </c>
      <c r="AK601">
        <v>3</v>
      </c>
      <c r="AL601" t="s">
        <v>11850</v>
      </c>
      <c r="AM601" t="s">
        <v>8222</v>
      </c>
      <c r="AN601" t="s">
        <v>11851</v>
      </c>
      <c r="AO601" t="s">
        <v>11852</v>
      </c>
      <c r="AP601" t="s">
        <v>11853</v>
      </c>
      <c r="AQ601" t="s">
        <v>74</v>
      </c>
      <c r="AR601" t="s">
        <v>11854</v>
      </c>
      <c r="AS601" t="s">
        <v>11855</v>
      </c>
      <c r="AT601" t="s">
        <v>11856</v>
      </c>
      <c r="AU601">
        <v>2017</v>
      </c>
      <c r="AV601">
        <v>27</v>
      </c>
      <c r="AW601">
        <v>24</v>
      </c>
      <c r="AX601" t="s">
        <v>74</v>
      </c>
      <c r="AY601" t="s">
        <v>74</v>
      </c>
      <c r="AZ601" t="s">
        <v>74</v>
      </c>
      <c r="BA601" t="s">
        <v>74</v>
      </c>
      <c r="BB601" t="s">
        <v>11871</v>
      </c>
      <c r="BC601" t="s">
        <v>11857</v>
      </c>
      <c r="BD601" t="s">
        <v>74</v>
      </c>
      <c r="BE601" t="s">
        <v>11872</v>
      </c>
      <c r="BF601" t="str">
        <f>HYPERLINK("http://dx.doi.org/10.1016/j.cub.2017.10.065","http://dx.doi.org/10.1016/j.cub.2017.10.065")</f>
        <v>http://dx.doi.org/10.1016/j.cub.2017.10.065</v>
      </c>
      <c r="BG601" t="s">
        <v>74</v>
      </c>
      <c r="BH601" t="s">
        <v>74</v>
      </c>
      <c r="BI601">
        <v>3</v>
      </c>
      <c r="BJ601" t="s">
        <v>11860</v>
      </c>
      <c r="BK601" t="s">
        <v>101</v>
      </c>
      <c r="BL601" t="s">
        <v>11861</v>
      </c>
      <c r="BM601" t="s">
        <v>11862</v>
      </c>
      <c r="BN601">
        <v>29257959</v>
      </c>
      <c r="BO601" t="s">
        <v>11873</v>
      </c>
      <c r="BP601" t="s">
        <v>74</v>
      </c>
      <c r="BQ601" t="s">
        <v>74</v>
      </c>
      <c r="BR601" t="s">
        <v>105</v>
      </c>
      <c r="BS601" t="s">
        <v>11874</v>
      </c>
      <c r="BT601" t="str">
        <f>HYPERLINK("https%3A%2F%2Fwww.webofscience.com%2Fwos%2Fwoscc%2Ffull-record%2FWOS:000418285000005","View Full Record in Web of Science")</f>
        <v>View Full Record in Web of Science</v>
      </c>
    </row>
    <row r="602" spans="1:72" x14ac:dyDescent="0.15">
      <c r="A602" t="s">
        <v>72</v>
      </c>
      <c r="B602" t="s">
        <v>11875</v>
      </c>
      <c r="C602" t="s">
        <v>74</v>
      </c>
      <c r="D602" t="s">
        <v>74</v>
      </c>
      <c r="E602" t="s">
        <v>74</v>
      </c>
      <c r="F602" t="s">
        <v>11876</v>
      </c>
      <c r="G602" t="s">
        <v>74</v>
      </c>
      <c r="H602" t="s">
        <v>74</v>
      </c>
      <c r="I602" t="s">
        <v>11877</v>
      </c>
      <c r="J602" t="s">
        <v>11642</v>
      </c>
      <c r="K602" t="s">
        <v>74</v>
      </c>
      <c r="L602" t="s">
        <v>74</v>
      </c>
      <c r="M602" t="s">
        <v>78</v>
      </c>
      <c r="N602" t="s">
        <v>79</v>
      </c>
      <c r="O602" t="s">
        <v>74</v>
      </c>
      <c r="P602" t="s">
        <v>74</v>
      </c>
      <c r="Q602" t="s">
        <v>74</v>
      </c>
      <c r="R602" t="s">
        <v>74</v>
      </c>
      <c r="S602" t="s">
        <v>74</v>
      </c>
      <c r="T602" t="s">
        <v>74</v>
      </c>
      <c r="U602" t="s">
        <v>11878</v>
      </c>
      <c r="V602" t="s">
        <v>11879</v>
      </c>
      <c r="W602" t="s">
        <v>11880</v>
      </c>
      <c r="X602" t="s">
        <v>11881</v>
      </c>
      <c r="Y602" t="s">
        <v>11882</v>
      </c>
      <c r="Z602" t="s">
        <v>11883</v>
      </c>
      <c r="AA602" t="s">
        <v>11884</v>
      </c>
      <c r="AB602" t="s">
        <v>11885</v>
      </c>
      <c r="AC602" t="s">
        <v>74</v>
      </c>
      <c r="AD602" t="s">
        <v>74</v>
      </c>
      <c r="AE602" t="s">
        <v>74</v>
      </c>
      <c r="AF602" t="s">
        <v>74</v>
      </c>
      <c r="AG602">
        <v>68</v>
      </c>
      <c r="AH602">
        <v>20</v>
      </c>
      <c r="AI602">
        <v>22</v>
      </c>
      <c r="AJ602">
        <v>0</v>
      </c>
      <c r="AK602">
        <v>16</v>
      </c>
      <c r="AL602" t="s">
        <v>892</v>
      </c>
      <c r="AM602" t="s">
        <v>698</v>
      </c>
      <c r="AN602" t="s">
        <v>699</v>
      </c>
      <c r="AO602" t="s">
        <v>11654</v>
      </c>
      <c r="AP602" t="s">
        <v>74</v>
      </c>
      <c r="AQ602" t="s">
        <v>74</v>
      </c>
      <c r="AR602" t="s">
        <v>11655</v>
      </c>
      <c r="AS602" t="s">
        <v>11656</v>
      </c>
      <c r="AT602" t="s">
        <v>11856</v>
      </c>
      <c r="AU602">
        <v>2017</v>
      </c>
      <c r="AV602">
        <v>7</v>
      </c>
      <c r="AW602" t="s">
        <v>74</v>
      </c>
      <c r="AX602" t="s">
        <v>74</v>
      </c>
      <c r="AY602" t="s">
        <v>74</v>
      </c>
      <c r="AZ602" t="s">
        <v>74</v>
      </c>
      <c r="BA602" t="s">
        <v>74</v>
      </c>
      <c r="BB602" t="s">
        <v>74</v>
      </c>
      <c r="BC602" t="s">
        <v>74</v>
      </c>
      <c r="BD602">
        <v>17742</v>
      </c>
      <c r="BE602" t="s">
        <v>11886</v>
      </c>
      <c r="BF602" t="str">
        <f>HYPERLINK("http://dx.doi.org/10.1038/s41598-017-18009-2","http://dx.doi.org/10.1038/s41598-017-18009-2")</f>
        <v>http://dx.doi.org/10.1038/s41598-017-18009-2</v>
      </c>
      <c r="BG602" t="s">
        <v>74</v>
      </c>
      <c r="BH602" t="s">
        <v>74</v>
      </c>
      <c r="BI602">
        <v>13</v>
      </c>
      <c r="BJ602" t="s">
        <v>129</v>
      </c>
      <c r="BK602" t="s">
        <v>101</v>
      </c>
      <c r="BL602" t="s">
        <v>130</v>
      </c>
      <c r="BM602" t="s">
        <v>11887</v>
      </c>
      <c r="BN602">
        <v>29255161</v>
      </c>
      <c r="BO602" t="s">
        <v>494</v>
      </c>
      <c r="BP602" t="s">
        <v>74</v>
      </c>
      <c r="BQ602" t="s">
        <v>74</v>
      </c>
      <c r="BR602" t="s">
        <v>105</v>
      </c>
      <c r="BS602" t="s">
        <v>11888</v>
      </c>
      <c r="BT602" t="str">
        <f>HYPERLINK("https%3A%2F%2Fwww.webofscience.com%2Fwos%2Fwoscc%2Ffull-record%2FWOS:000418323900054","View Full Record in Web of Science")</f>
        <v>View Full Record in Web of Science</v>
      </c>
    </row>
    <row r="603" spans="1:72" x14ac:dyDescent="0.15">
      <c r="A603" t="s">
        <v>72</v>
      </c>
      <c r="B603" t="s">
        <v>11889</v>
      </c>
      <c r="C603" t="s">
        <v>74</v>
      </c>
      <c r="D603" t="s">
        <v>74</v>
      </c>
      <c r="E603" t="s">
        <v>74</v>
      </c>
      <c r="F603" t="s">
        <v>11890</v>
      </c>
      <c r="G603" t="s">
        <v>74</v>
      </c>
      <c r="H603" t="s">
        <v>74</v>
      </c>
      <c r="I603" t="s">
        <v>11891</v>
      </c>
      <c r="J603" t="s">
        <v>259</v>
      </c>
      <c r="K603" t="s">
        <v>74</v>
      </c>
      <c r="L603" t="s">
        <v>74</v>
      </c>
      <c r="M603" t="s">
        <v>78</v>
      </c>
      <c r="N603" t="s">
        <v>79</v>
      </c>
      <c r="O603" t="s">
        <v>74</v>
      </c>
      <c r="P603" t="s">
        <v>74</v>
      </c>
      <c r="Q603" t="s">
        <v>74</v>
      </c>
      <c r="R603" t="s">
        <v>74</v>
      </c>
      <c r="S603" t="s">
        <v>74</v>
      </c>
      <c r="T603" t="s">
        <v>74</v>
      </c>
      <c r="U603" t="s">
        <v>11892</v>
      </c>
      <c r="V603" t="s">
        <v>11893</v>
      </c>
      <c r="W603" t="s">
        <v>11894</v>
      </c>
      <c r="X603" t="s">
        <v>11895</v>
      </c>
      <c r="Y603" t="s">
        <v>11896</v>
      </c>
      <c r="Z603" t="s">
        <v>11897</v>
      </c>
      <c r="AA603" t="s">
        <v>11898</v>
      </c>
      <c r="AB603" t="s">
        <v>11899</v>
      </c>
      <c r="AC603" t="s">
        <v>11900</v>
      </c>
      <c r="AD603" t="s">
        <v>11901</v>
      </c>
      <c r="AE603" t="s">
        <v>11902</v>
      </c>
      <c r="AF603" t="s">
        <v>74</v>
      </c>
      <c r="AG603">
        <v>21</v>
      </c>
      <c r="AH603">
        <v>17</v>
      </c>
      <c r="AI603">
        <v>19</v>
      </c>
      <c r="AJ603">
        <v>0</v>
      </c>
      <c r="AK603">
        <v>17</v>
      </c>
      <c r="AL603" t="s">
        <v>271</v>
      </c>
      <c r="AM603" t="s">
        <v>272</v>
      </c>
      <c r="AN603" t="s">
        <v>273</v>
      </c>
      <c r="AO603" t="s">
        <v>274</v>
      </c>
      <c r="AP603" t="s">
        <v>275</v>
      </c>
      <c r="AQ603" t="s">
        <v>74</v>
      </c>
      <c r="AR603" t="s">
        <v>276</v>
      </c>
      <c r="AS603" t="s">
        <v>277</v>
      </c>
      <c r="AT603" t="s">
        <v>11903</v>
      </c>
      <c r="AU603">
        <v>2017</v>
      </c>
      <c r="AV603">
        <v>44</v>
      </c>
      <c r="AW603">
        <v>23</v>
      </c>
      <c r="AX603" t="s">
        <v>74</v>
      </c>
      <c r="AY603" t="s">
        <v>74</v>
      </c>
      <c r="AZ603" t="s">
        <v>74</v>
      </c>
      <c r="BA603" t="s">
        <v>74</v>
      </c>
      <c r="BB603">
        <v>11878</v>
      </c>
      <c r="BC603">
        <v>11885</v>
      </c>
      <c r="BD603" t="s">
        <v>74</v>
      </c>
      <c r="BE603" t="s">
        <v>11904</v>
      </c>
      <c r="BF603" t="str">
        <f>HYPERLINK("http://dx.doi.org/10.1002/2017GL075745","http://dx.doi.org/10.1002/2017GL075745")</f>
        <v>http://dx.doi.org/10.1002/2017GL075745</v>
      </c>
      <c r="BG603" t="s">
        <v>74</v>
      </c>
      <c r="BH603" t="s">
        <v>74</v>
      </c>
      <c r="BI603">
        <v>8</v>
      </c>
      <c r="BJ603" t="s">
        <v>280</v>
      </c>
      <c r="BK603" t="s">
        <v>101</v>
      </c>
      <c r="BL603" t="s">
        <v>281</v>
      </c>
      <c r="BM603" t="s">
        <v>11905</v>
      </c>
      <c r="BN603" t="s">
        <v>74</v>
      </c>
      <c r="BO603" t="s">
        <v>4280</v>
      </c>
      <c r="BP603" t="s">
        <v>74</v>
      </c>
      <c r="BQ603" t="s">
        <v>74</v>
      </c>
      <c r="BR603" t="s">
        <v>105</v>
      </c>
      <c r="BS603" t="s">
        <v>11906</v>
      </c>
      <c r="BT603" t="str">
        <f>HYPERLINK("https%3A%2F%2Fwww.webofscience.com%2Fwos%2Fwoscc%2Ffull-record%2FWOS:000419102400023","View Full Record in Web of Science")</f>
        <v>View Full Record in Web of Science</v>
      </c>
    </row>
    <row r="604" spans="1:72" x14ac:dyDescent="0.15">
      <c r="A604" t="s">
        <v>72</v>
      </c>
      <c r="B604" t="s">
        <v>11907</v>
      </c>
      <c r="C604" t="s">
        <v>74</v>
      </c>
      <c r="D604" t="s">
        <v>74</v>
      </c>
      <c r="E604" t="s">
        <v>74</v>
      </c>
      <c r="F604" t="s">
        <v>11908</v>
      </c>
      <c r="G604" t="s">
        <v>74</v>
      </c>
      <c r="H604" t="s">
        <v>74</v>
      </c>
      <c r="I604" t="s">
        <v>11909</v>
      </c>
      <c r="J604" t="s">
        <v>259</v>
      </c>
      <c r="K604" t="s">
        <v>74</v>
      </c>
      <c r="L604" t="s">
        <v>74</v>
      </c>
      <c r="M604" t="s">
        <v>78</v>
      </c>
      <c r="N604" t="s">
        <v>79</v>
      </c>
      <c r="O604" t="s">
        <v>74</v>
      </c>
      <c r="P604" t="s">
        <v>74</v>
      </c>
      <c r="Q604" t="s">
        <v>74</v>
      </c>
      <c r="R604" t="s">
        <v>74</v>
      </c>
      <c r="S604" t="s">
        <v>74</v>
      </c>
      <c r="T604" t="s">
        <v>74</v>
      </c>
      <c r="U604" t="s">
        <v>11910</v>
      </c>
      <c r="V604" t="s">
        <v>11911</v>
      </c>
      <c r="W604" t="s">
        <v>11912</v>
      </c>
      <c r="X604" t="s">
        <v>11913</v>
      </c>
      <c r="Y604" t="s">
        <v>11914</v>
      </c>
      <c r="Z604" t="s">
        <v>11915</v>
      </c>
      <c r="AA604" t="s">
        <v>11916</v>
      </c>
      <c r="AB604" t="s">
        <v>11917</v>
      </c>
      <c r="AC604" t="s">
        <v>11918</v>
      </c>
      <c r="AD604" t="s">
        <v>11919</v>
      </c>
      <c r="AE604" t="s">
        <v>11920</v>
      </c>
      <c r="AF604" t="s">
        <v>74</v>
      </c>
      <c r="AG604">
        <v>34</v>
      </c>
      <c r="AH604">
        <v>10</v>
      </c>
      <c r="AI604">
        <v>12</v>
      </c>
      <c r="AJ604">
        <v>1</v>
      </c>
      <c r="AK604">
        <v>14</v>
      </c>
      <c r="AL604" t="s">
        <v>271</v>
      </c>
      <c r="AM604" t="s">
        <v>272</v>
      </c>
      <c r="AN604" t="s">
        <v>273</v>
      </c>
      <c r="AO604" t="s">
        <v>274</v>
      </c>
      <c r="AP604" t="s">
        <v>275</v>
      </c>
      <c r="AQ604" t="s">
        <v>74</v>
      </c>
      <c r="AR604" t="s">
        <v>276</v>
      </c>
      <c r="AS604" t="s">
        <v>277</v>
      </c>
      <c r="AT604" t="s">
        <v>11903</v>
      </c>
      <c r="AU604">
        <v>2017</v>
      </c>
      <c r="AV604">
        <v>44</v>
      </c>
      <c r="AW604">
        <v>23</v>
      </c>
      <c r="AX604" t="s">
        <v>74</v>
      </c>
      <c r="AY604" t="s">
        <v>74</v>
      </c>
      <c r="AZ604" t="s">
        <v>74</v>
      </c>
      <c r="BA604" t="s">
        <v>74</v>
      </c>
      <c r="BB604">
        <v>11886</v>
      </c>
      <c r="BC604">
        <v>11893</v>
      </c>
      <c r="BD604" t="s">
        <v>74</v>
      </c>
      <c r="BE604" t="s">
        <v>11921</v>
      </c>
      <c r="BF604" t="str">
        <f>HYPERLINK("http://dx.doi.org/10.1002/2017GL075589","http://dx.doi.org/10.1002/2017GL075589")</f>
        <v>http://dx.doi.org/10.1002/2017GL075589</v>
      </c>
      <c r="BG604" t="s">
        <v>74</v>
      </c>
      <c r="BH604" t="s">
        <v>74</v>
      </c>
      <c r="BI604">
        <v>8</v>
      </c>
      <c r="BJ604" t="s">
        <v>280</v>
      </c>
      <c r="BK604" t="s">
        <v>101</v>
      </c>
      <c r="BL604" t="s">
        <v>281</v>
      </c>
      <c r="BM604" t="s">
        <v>11905</v>
      </c>
      <c r="BN604" t="s">
        <v>74</v>
      </c>
      <c r="BO604" t="s">
        <v>1751</v>
      </c>
      <c r="BP604" t="s">
        <v>74</v>
      </c>
      <c r="BQ604" t="s">
        <v>74</v>
      </c>
      <c r="BR604" t="s">
        <v>105</v>
      </c>
      <c r="BS604" t="s">
        <v>11922</v>
      </c>
      <c r="BT604" t="str">
        <f>HYPERLINK("https%3A%2F%2Fwww.webofscience.com%2Fwos%2Fwoscc%2Ffull-record%2FWOS:000419102400024","View Full Record in Web of Science")</f>
        <v>View Full Record in Web of Science</v>
      </c>
    </row>
    <row r="605" spans="1:72" x14ac:dyDescent="0.15">
      <c r="A605" t="s">
        <v>72</v>
      </c>
      <c r="B605" t="s">
        <v>11923</v>
      </c>
      <c r="C605" t="s">
        <v>74</v>
      </c>
      <c r="D605" t="s">
        <v>74</v>
      </c>
      <c r="E605" t="s">
        <v>74</v>
      </c>
      <c r="F605" t="s">
        <v>11924</v>
      </c>
      <c r="G605" t="s">
        <v>74</v>
      </c>
      <c r="H605" t="s">
        <v>74</v>
      </c>
      <c r="I605" t="s">
        <v>11925</v>
      </c>
      <c r="J605" t="s">
        <v>411</v>
      </c>
      <c r="K605" t="s">
        <v>74</v>
      </c>
      <c r="L605" t="s">
        <v>74</v>
      </c>
      <c r="M605" t="s">
        <v>78</v>
      </c>
      <c r="N605" t="s">
        <v>79</v>
      </c>
      <c r="O605" t="s">
        <v>74</v>
      </c>
      <c r="P605" t="s">
        <v>74</v>
      </c>
      <c r="Q605" t="s">
        <v>74</v>
      </c>
      <c r="R605" t="s">
        <v>74</v>
      </c>
      <c r="S605" t="s">
        <v>74</v>
      </c>
      <c r="T605" t="s">
        <v>11926</v>
      </c>
      <c r="U605" t="s">
        <v>11927</v>
      </c>
      <c r="V605" t="s">
        <v>11928</v>
      </c>
      <c r="W605" t="s">
        <v>11929</v>
      </c>
      <c r="X605" t="s">
        <v>11930</v>
      </c>
      <c r="Y605" t="s">
        <v>11931</v>
      </c>
      <c r="Z605" t="s">
        <v>11932</v>
      </c>
      <c r="AA605" t="s">
        <v>74</v>
      </c>
      <c r="AB605" t="s">
        <v>74</v>
      </c>
      <c r="AC605" t="s">
        <v>11933</v>
      </c>
      <c r="AD605" t="s">
        <v>11934</v>
      </c>
      <c r="AE605" t="s">
        <v>11935</v>
      </c>
      <c r="AF605" t="s">
        <v>74</v>
      </c>
      <c r="AG605">
        <v>26</v>
      </c>
      <c r="AH605">
        <v>5</v>
      </c>
      <c r="AI605">
        <v>5</v>
      </c>
      <c r="AJ605">
        <v>0</v>
      </c>
      <c r="AK605">
        <v>12</v>
      </c>
      <c r="AL605" t="s">
        <v>271</v>
      </c>
      <c r="AM605" t="s">
        <v>272</v>
      </c>
      <c r="AN605" t="s">
        <v>273</v>
      </c>
      <c r="AO605" t="s">
        <v>424</v>
      </c>
      <c r="AP605" t="s">
        <v>425</v>
      </c>
      <c r="AQ605" t="s">
        <v>74</v>
      </c>
      <c r="AR605" t="s">
        <v>426</v>
      </c>
      <c r="AS605" t="s">
        <v>427</v>
      </c>
      <c r="AT605" t="s">
        <v>11903</v>
      </c>
      <c r="AU605">
        <v>2017</v>
      </c>
      <c r="AV605">
        <v>122</v>
      </c>
      <c r="AW605">
        <v>23</v>
      </c>
      <c r="AX605" t="s">
        <v>74</v>
      </c>
      <c r="AY605" t="s">
        <v>74</v>
      </c>
      <c r="AZ605" t="s">
        <v>74</v>
      </c>
      <c r="BA605" t="s">
        <v>74</v>
      </c>
      <c r="BB605">
        <v>12635</v>
      </c>
      <c r="BC605">
        <v>12652</v>
      </c>
      <c r="BD605" t="s">
        <v>74</v>
      </c>
      <c r="BE605" t="s">
        <v>11936</v>
      </c>
      <c r="BF605" t="str">
        <f>HYPERLINK("http://dx.doi.org/10.1002/2017JD027192","http://dx.doi.org/10.1002/2017JD027192")</f>
        <v>http://dx.doi.org/10.1002/2017JD027192</v>
      </c>
      <c r="BG605" t="s">
        <v>74</v>
      </c>
      <c r="BH605" t="s">
        <v>74</v>
      </c>
      <c r="BI605">
        <v>18</v>
      </c>
      <c r="BJ605" t="s">
        <v>430</v>
      </c>
      <c r="BK605" t="s">
        <v>101</v>
      </c>
      <c r="BL605" t="s">
        <v>430</v>
      </c>
      <c r="BM605" t="s">
        <v>11937</v>
      </c>
      <c r="BN605" t="s">
        <v>74</v>
      </c>
      <c r="BO605" t="s">
        <v>306</v>
      </c>
      <c r="BP605" t="s">
        <v>74</v>
      </c>
      <c r="BQ605" t="s">
        <v>74</v>
      </c>
      <c r="BR605" t="s">
        <v>105</v>
      </c>
      <c r="BS605" t="s">
        <v>11938</v>
      </c>
      <c r="BT605" t="str">
        <f>HYPERLINK("https%3A%2F%2Fwww.webofscience.com%2Fwos%2Fwoscc%2Ffull-record%2FWOS:000419396500010","View Full Record in Web of Science")</f>
        <v>View Full Record in Web of Science</v>
      </c>
    </row>
    <row r="606" spans="1:72" x14ac:dyDescent="0.15">
      <c r="A606" t="s">
        <v>72</v>
      </c>
      <c r="B606" t="s">
        <v>11939</v>
      </c>
      <c r="C606" t="s">
        <v>74</v>
      </c>
      <c r="D606" t="s">
        <v>74</v>
      </c>
      <c r="E606" t="s">
        <v>74</v>
      </c>
      <c r="F606" t="s">
        <v>11940</v>
      </c>
      <c r="G606" t="s">
        <v>74</v>
      </c>
      <c r="H606" t="s">
        <v>74</v>
      </c>
      <c r="I606" t="s">
        <v>11941</v>
      </c>
      <c r="J606" t="s">
        <v>9156</v>
      </c>
      <c r="K606" t="s">
        <v>74</v>
      </c>
      <c r="L606" t="s">
        <v>74</v>
      </c>
      <c r="M606" t="s">
        <v>78</v>
      </c>
      <c r="N606" t="s">
        <v>79</v>
      </c>
      <c r="O606" t="s">
        <v>74</v>
      </c>
      <c r="P606" t="s">
        <v>74</v>
      </c>
      <c r="Q606" t="s">
        <v>74</v>
      </c>
      <c r="R606" t="s">
        <v>74</v>
      </c>
      <c r="S606" t="s">
        <v>74</v>
      </c>
      <c r="T606" t="s">
        <v>11942</v>
      </c>
      <c r="U606" t="s">
        <v>11943</v>
      </c>
      <c r="V606" t="s">
        <v>11944</v>
      </c>
      <c r="W606" t="s">
        <v>11945</v>
      </c>
      <c r="X606" t="s">
        <v>11946</v>
      </c>
      <c r="Y606" t="s">
        <v>11947</v>
      </c>
      <c r="Z606" t="s">
        <v>11948</v>
      </c>
      <c r="AA606" t="s">
        <v>11949</v>
      </c>
      <c r="AB606" t="s">
        <v>11950</v>
      </c>
      <c r="AC606" t="s">
        <v>11951</v>
      </c>
      <c r="AD606" t="s">
        <v>11952</v>
      </c>
      <c r="AE606" t="s">
        <v>11953</v>
      </c>
      <c r="AF606" t="s">
        <v>74</v>
      </c>
      <c r="AG606">
        <v>74</v>
      </c>
      <c r="AH606">
        <v>7</v>
      </c>
      <c r="AI606">
        <v>8</v>
      </c>
      <c r="AJ606">
        <v>0</v>
      </c>
      <c r="AK606">
        <v>7</v>
      </c>
      <c r="AL606" t="s">
        <v>1139</v>
      </c>
      <c r="AM606" t="s">
        <v>1140</v>
      </c>
      <c r="AN606" t="s">
        <v>1141</v>
      </c>
      <c r="AO606" t="s">
        <v>9169</v>
      </c>
      <c r="AP606" t="s">
        <v>74</v>
      </c>
      <c r="AQ606" t="s">
        <v>74</v>
      </c>
      <c r="AR606" t="s">
        <v>9171</v>
      </c>
      <c r="AS606" t="s">
        <v>9172</v>
      </c>
      <c r="AT606" t="s">
        <v>11954</v>
      </c>
      <c r="AU606">
        <v>2017</v>
      </c>
      <c r="AV606">
        <v>178</v>
      </c>
      <c r="AW606" t="s">
        <v>74</v>
      </c>
      <c r="AX606" t="s">
        <v>74</v>
      </c>
      <c r="AY606" t="s">
        <v>74</v>
      </c>
      <c r="AZ606" t="s">
        <v>74</v>
      </c>
      <c r="BA606" t="s">
        <v>74</v>
      </c>
      <c r="BB606">
        <v>89</v>
      </c>
      <c r="BC606">
        <v>101</v>
      </c>
      <c r="BD606" t="s">
        <v>74</v>
      </c>
      <c r="BE606" t="s">
        <v>11955</v>
      </c>
      <c r="BF606" t="str">
        <f>HYPERLINK("http://dx.doi.org/10.1016/j.quascirev.2017.11.002","http://dx.doi.org/10.1016/j.quascirev.2017.11.002")</f>
        <v>http://dx.doi.org/10.1016/j.quascirev.2017.11.002</v>
      </c>
      <c r="BG606" t="s">
        <v>74</v>
      </c>
      <c r="BH606" t="s">
        <v>74</v>
      </c>
      <c r="BI606">
        <v>13</v>
      </c>
      <c r="BJ606" t="s">
        <v>233</v>
      </c>
      <c r="BK606" t="s">
        <v>101</v>
      </c>
      <c r="BL606" t="s">
        <v>234</v>
      </c>
      <c r="BM606" t="s">
        <v>11956</v>
      </c>
      <c r="BN606" t="s">
        <v>74</v>
      </c>
      <c r="BO606" t="s">
        <v>74</v>
      </c>
      <c r="BP606" t="s">
        <v>74</v>
      </c>
      <c r="BQ606" t="s">
        <v>74</v>
      </c>
      <c r="BR606" t="s">
        <v>105</v>
      </c>
      <c r="BS606" t="s">
        <v>11957</v>
      </c>
      <c r="BT606" t="str">
        <f>HYPERLINK("https%3A%2F%2Fwww.webofscience.com%2Fwos%2Fwoscc%2Ffull-record%2FWOS:000418974100007","View Full Record in Web of Science")</f>
        <v>View Full Record in Web of Science</v>
      </c>
    </row>
    <row r="607" spans="1:72" x14ac:dyDescent="0.15">
      <c r="A607" t="s">
        <v>72</v>
      </c>
      <c r="B607" t="s">
        <v>11958</v>
      </c>
      <c r="C607" t="s">
        <v>74</v>
      </c>
      <c r="D607" t="s">
        <v>74</v>
      </c>
      <c r="E607" t="s">
        <v>74</v>
      </c>
      <c r="F607" t="s">
        <v>11959</v>
      </c>
      <c r="G607" t="s">
        <v>74</v>
      </c>
      <c r="H607" t="s">
        <v>74</v>
      </c>
      <c r="I607" t="s">
        <v>11960</v>
      </c>
      <c r="J607" t="s">
        <v>8461</v>
      </c>
      <c r="K607" t="s">
        <v>74</v>
      </c>
      <c r="L607" t="s">
        <v>74</v>
      </c>
      <c r="M607" t="s">
        <v>78</v>
      </c>
      <c r="N607" t="s">
        <v>79</v>
      </c>
      <c r="O607" t="s">
        <v>74</v>
      </c>
      <c r="P607" t="s">
        <v>74</v>
      </c>
      <c r="Q607" t="s">
        <v>74</v>
      </c>
      <c r="R607" t="s">
        <v>74</v>
      </c>
      <c r="S607" t="s">
        <v>74</v>
      </c>
      <c r="T607" t="s">
        <v>11961</v>
      </c>
      <c r="U607" t="s">
        <v>11962</v>
      </c>
      <c r="V607" t="s">
        <v>11963</v>
      </c>
      <c r="W607" t="s">
        <v>11964</v>
      </c>
      <c r="X607" t="s">
        <v>11965</v>
      </c>
      <c r="Y607" t="s">
        <v>11966</v>
      </c>
      <c r="Z607" t="s">
        <v>11967</v>
      </c>
      <c r="AA607" t="s">
        <v>11968</v>
      </c>
      <c r="AB607" t="s">
        <v>11969</v>
      </c>
      <c r="AC607" t="s">
        <v>11970</v>
      </c>
      <c r="AD607" t="s">
        <v>11971</v>
      </c>
      <c r="AE607" t="s">
        <v>11972</v>
      </c>
      <c r="AF607" t="s">
        <v>74</v>
      </c>
      <c r="AG607">
        <v>46</v>
      </c>
      <c r="AH607">
        <v>25</v>
      </c>
      <c r="AI607">
        <v>25</v>
      </c>
      <c r="AJ607">
        <v>0</v>
      </c>
      <c r="AK607">
        <v>38</v>
      </c>
      <c r="AL607" t="s">
        <v>1139</v>
      </c>
      <c r="AM607" t="s">
        <v>1140</v>
      </c>
      <c r="AN607" t="s">
        <v>1141</v>
      </c>
      <c r="AO607" t="s">
        <v>8462</v>
      </c>
      <c r="AP607" t="s">
        <v>8463</v>
      </c>
      <c r="AQ607" t="s">
        <v>74</v>
      </c>
      <c r="AR607" t="s">
        <v>8464</v>
      </c>
      <c r="AS607" t="s">
        <v>8465</v>
      </c>
      <c r="AT607" t="s">
        <v>11954</v>
      </c>
      <c r="AU607">
        <v>2017</v>
      </c>
      <c r="AV607">
        <v>125</v>
      </c>
      <c r="AW607" t="s">
        <v>9214</v>
      </c>
      <c r="AX607" t="s">
        <v>74</v>
      </c>
      <c r="AY607" t="s">
        <v>74</v>
      </c>
      <c r="AZ607" t="s">
        <v>74</v>
      </c>
      <c r="BA607" t="s">
        <v>74</v>
      </c>
      <c r="BB607">
        <v>146</v>
      </c>
      <c r="BC607">
        <v>156</v>
      </c>
      <c r="BD607" t="s">
        <v>74</v>
      </c>
      <c r="BE607" t="s">
        <v>11973</v>
      </c>
      <c r="BF607" t="str">
        <f>HYPERLINK("http://dx.doi.org/10.1016/j.marpolbul.2017.08.004","http://dx.doi.org/10.1016/j.marpolbul.2017.08.004")</f>
        <v>http://dx.doi.org/10.1016/j.marpolbul.2017.08.004</v>
      </c>
      <c r="BG607" t="s">
        <v>74</v>
      </c>
      <c r="BH607" t="s">
        <v>74</v>
      </c>
      <c r="BI607">
        <v>11</v>
      </c>
      <c r="BJ607" t="s">
        <v>609</v>
      </c>
      <c r="BK607" t="s">
        <v>101</v>
      </c>
      <c r="BL607" t="s">
        <v>610</v>
      </c>
      <c r="BM607" t="s">
        <v>11974</v>
      </c>
      <c r="BN607">
        <v>28807415</v>
      </c>
      <c r="BO607" t="s">
        <v>74</v>
      </c>
      <c r="BP607" t="s">
        <v>74</v>
      </c>
      <c r="BQ607" t="s">
        <v>74</v>
      </c>
      <c r="BR607" t="s">
        <v>105</v>
      </c>
      <c r="BS607" t="s">
        <v>11975</v>
      </c>
      <c r="BT607" t="str">
        <f>HYPERLINK("https%3A%2F%2Fwww.webofscience.com%2Fwos%2Fwoscc%2Ffull-record%2FWOS:000418727000029","View Full Record in Web of Science")</f>
        <v>View Full Record in Web of Science</v>
      </c>
    </row>
    <row r="608" spans="1:72" x14ac:dyDescent="0.15">
      <c r="A608" t="s">
        <v>72</v>
      </c>
      <c r="B608" t="s">
        <v>11976</v>
      </c>
      <c r="C608" t="s">
        <v>74</v>
      </c>
      <c r="D608" t="s">
        <v>74</v>
      </c>
      <c r="E608" t="s">
        <v>74</v>
      </c>
      <c r="F608" t="s">
        <v>11977</v>
      </c>
      <c r="G608" t="s">
        <v>74</v>
      </c>
      <c r="H608" t="s">
        <v>74</v>
      </c>
      <c r="I608" t="s">
        <v>11978</v>
      </c>
      <c r="J608" t="s">
        <v>11642</v>
      </c>
      <c r="K608" t="s">
        <v>74</v>
      </c>
      <c r="L608" t="s">
        <v>74</v>
      </c>
      <c r="M608" t="s">
        <v>78</v>
      </c>
      <c r="N608" t="s">
        <v>79</v>
      </c>
      <c r="O608" t="s">
        <v>74</v>
      </c>
      <c r="P608" t="s">
        <v>74</v>
      </c>
      <c r="Q608" t="s">
        <v>74</v>
      </c>
      <c r="R608" t="s">
        <v>74</v>
      </c>
      <c r="S608" t="s">
        <v>74</v>
      </c>
      <c r="T608" t="s">
        <v>74</v>
      </c>
      <c r="U608" t="s">
        <v>11979</v>
      </c>
      <c r="V608" t="s">
        <v>11980</v>
      </c>
      <c r="W608" t="s">
        <v>11981</v>
      </c>
      <c r="X608" t="s">
        <v>11982</v>
      </c>
      <c r="Y608" t="s">
        <v>11983</v>
      </c>
      <c r="Z608" t="s">
        <v>11984</v>
      </c>
      <c r="AA608" t="s">
        <v>11985</v>
      </c>
      <c r="AB608" t="s">
        <v>11986</v>
      </c>
      <c r="AC608" t="s">
        <v>11987</v>
      </c>
      <c r="AD608" t="s">
        <v>11988</v>
      </c>
      <c r="AE608" t="s">
        <v>11989</v>
      </c>
      <c r="AF608" t="s">
        <v>74</v>
      </c>
      <c r="AG608">
        <v>76</v>
      </c>
      <c r="AH608">
        <v>10</v>
      </c>
      <c r="AI608">
        <v>10</v>
      </c>
      <c r="AJ608">
        <v>0</v>
      </c>
      <c r="AK608">
        <v>10</v>
      </c>
      <c r="AL608" t="s">
        <v>892</v>
      </c>
      <c r="AM608" t="s">
        <v>698</v>
      </c>
      <c r="AN608" t="s">
        <v>699</v>
      </c>
      <c r="AO608" t="s">
        <v>11654</v>
      </c>
      <c r="AP608" t="s">
        <v>74</v>
      </c>
      <c r="AQ608" t="s">
        <v>74</v>
      </c>
      <c r="AR608" t="s">
        <v>11655</v>
      </c>
      <c r="AS608" t="s">
        <v>11656</v>
      </c>
      <c r="AT608" t="s">
        <v>11954</v>
      </c>
      <c r="AU608">
        <v>2017</v>
      </c>
      <c r="AV608">
        <v>7</v>
      </c>
      <c r="AW608" t="s">
        <v>74</v>
      </c>
      <c r="AX608" t="s">
        <v>74</v>
      </c>
      <c r="AY608" t="s">
        <v>74</v>
      </c>
      <c r="AZ608" t="s">
        <v>74</v>
      </c>
      <c r="BA608" t="s">
        <v>74</v>
      </c>
      <c r="BB608" t="s">
        <v>74</v>
      </c>
      <c r="BC608" t="s">
        <v>74</v>
      </c>
      <c r="BD608">
        <v>17633</v>
      </c>
      <c r="BE608" t="s">
        <v>11990</v>
      </c>
      <c r="BF608" t="str">
        <f>HYPERLINK("http://dx.doi.org/10.1038/s41598-017-17946-2","http://dx.doi.org/10.1038/s41598-017-17946-2")</f>
        <v>http://dx.doi.org/10.1038/s41598-017-17946-2</v>
      </c>
      <c r="BG608" t="s">
        <v>74</v>
      </c>
      <c r="BH608" t="s">
        <v>74</v>
      </c>
      <c r="BI608">
        <v>11</v>
      </c>
      <c r="BJ608" t="s">
        <v>129</v>
      </c>
      <c r="BK608" t="s">
        <v>101</v>
      </c>
      <c r="BL608" t="s">
        <v>130</v>
      </c>
      <c r="BM608" t="s">
        <v>11991</v>
      </c>
      <c r="BN608">
        <v>29247193</v>
      </c>
      <c r="BO608" t="s">
        <v>494</v>
      </c>
      <c r="BP608" t="s">
        <v>74</v>
      </c>
      <c r="BQ608" t="s">
        <v>74</v>
      </c>
      <c r="BR608" t="s">
        <v>105</v>
      </c>
      <c r="BS608" t="s">
        <v>11992</v>
      </c>
      <c r="BT608" t="str">
        <f>HYPERLINK("https%3A%2F%2Fwww.webofscience.com%2Fwos%2Fwoscc%2Ffull-record%2FWOS:000418250800018","View Full Record in Web of Science")</f>
        <v>View Full Record in Web of Science</v>
      </c>
    </row>
    <row r="609" spans="1:72" x14ac:dyDescent="0.15">
      <c r="A609" t="s">
        <v>72</v>
      </c>
      <c r="B609" t="s">
        <v>11993</v>
      </c>
      <c r="C609" t="s">
        <v>74</v>
      </c>
      <c r="D609" t="s">
        <v>74</v>
      </c>
      <c r="E609" t="s">
        <v>74</v>
      </c>
      <c r="F609" t="s">
        <v>11994</v>
      </c>
      <c r="G609" t="s">
        <v>74</v>
      </c>
      <c r="H609" t="s">
        <v>74</v>
      </c>
      <c r="I609" t="s">
        <v>11995</v>
      </c>
      <c r="J609" t="s">
        <v>1503</v>
      </c>
      <c r="K609" t="s">
        <v>74</v>
      </c>
      <c r="L609" t="s">
        <v>74</v>
      </c>
      <c r="M609" t="s">
        <v>78</v>
      </c>
      <c r="N609" t="s">
        <v>79</v>
      </c>
      <c r="O609" t="s">
        <v>74</v>
      </c>
      <c r="P609" t="s">
        <v>74</v>
      </c>
      <c r="Q609" t="s">
        <v>74</v>
      </c>
      <c r="R609" t="s">
        <v>74</v>
      </c>
      <c r="S609" t="s">
        <v>74</v>
      </c>
      <c r="T609" t="s">
        <v>11996</v>
      </c>
      <c r="U609" t="s">
        <v>11997</v>
      </c>
      <c r="V609" t="s">
        <v>11998</v>
      </c>
      <c r="W609" t="s">
        <v>11999</v>
      </c>
      <c r="X609" t="s">
        <v>12000</v>
      </c>
      <c r="Y609" t="s">
        <v>12001</v>
      </c>
      <c r="Z609" t="s">
        <v>1510</v>
      </c>
      <c r="AA609" t="s">
        <v>12002</v>
      </c>
      <c r="AB609" t="s">
        <v>74</v>
      </c>
      <c r="AC609" t="s">
        <v>12003</v>
      </c>
      <c r="AD609" t="s">
        <v>12004</v>
      </c>
      <c r="AE609" t="s">
        <v>12005</v>
      </c>
      <c r="AF609" t="s">
        <v>74</v>
      </c>
      <c r="AG609">
        <v>29</v>
      </c>
      <c r="AH609">
        <v>11</v>
      </c>
      <c r="AI609">
        <v>12</v>
      </c>
      <c r="AJ609">
        <v>0</v>
      </c>
      <c r="AK609">
        <v>6</v>
      </c>
      <c r="AL609" t="s">
        <v>648</v>
      </c>
      <c r="AM609" t="s">
        <v>649</v>
      </c>
      <c r="AN609" t="s">
        <v>650</v>
      </c>
      <c r="AO609" t="s">
        <v>1514</v>
      </c>
      <c r="AP609" t="s">
        <v>1515</v>
      </c>
      <c r="AQ609" t="s">
        <v>74</v>
      </c>
      <c r="AR609" t="s">
        <v>1503</v>
      </c>
      <c r="AS609" t="s">
        <v>1516</v>
      </c>
      <c r="AT609" t="s">
        <v>11954</v>
      </c>
      <c r="AU609">
        <v>2017</v>
      </c>
      <c r="AV609">
        <v>332</v>
      </c>
      <c r="AW609">
        <v>1</v>
      </c>
      <c r="AX609" t="s">
        <v>74</v>
      </c>
      <c r="AY609" t="s">
        <v>74</v>
      </c>
      <c r="AZ609" t="s">
        <v>74</v>
      </c>
      <c r="BA609" t="s">
        <v>74</v>
      </c>
      <c r="BB609">
        <v>22</v>
      </c>
      <c r="BC609">
        <v>30</v>
      </c>
      <c r="BD609" t="s">
        <v>74</v>
      </c>
      <c r="BE609" t="s">
        <v>12006</v>
      </c>
      <c r="BF609" t="str">
        <f>HYPERLINK("http://dx.doi.org/10.11646/phytotaxa.332.1.2","http://dx.doi.org/10.11646/phytotaxa.332.1.2")</f>
        <v>http://dx.doi.org/10.11646/phytotaxa.332.1.2</v>
      </c>
      <c r="BG609" t="s">
        <v>74</v>
      </c>
      <c r="BH609" t="s">
        <v>74</v>
      </c>
      <c r="BI609">
        <v>9</v>
      </c>
      <c r="BJ609" t="s">
        <v>492</v>
      </c>
      <c r="BK609" t="s">
        <v>101</v>
      </c>
      <c r="BL609" t="s">
        <v>492</v>
      </c>
      <c r="BM609" t="s">
        <v>12007</v>
      </c>
      <c r="BN609" t="s">
        <v>74</v>
      </c>
      <c r="BO609" t="s">
        <v>74</v>
      </c>
      <c r="BP609" t="s">
        <v>74</v>
      </c>
      <c r="BQ609" t="s">
        <v>74</v>
      </c>
      <c r="BR609" t="s">
        <v>105</v>
      </c>
      <c r="BS609" t="s">
        <v>12008</v>
      </c>
      <c r="BT609" t="str">
        <f>HYPERLINK("https%3A%2F%2Fwww.webofscience.com%2Fwos%2Fwoscc%2Ffull-record%2FWOS:000417893300002","View Full Record in Web of Science")</f>
        <v>View Full Record in Web of Science</v>
      </c>
    </row>
    <row r="610" spans="1:72" x14ac:dyDescent="0.15">
      <c r="A610" t="s">
        <v>72</v>
      </c>
      <c r="B610" t="s">
        <v>12009</v>
      </c>
      <c r="C610" t="s">
        <v>74</v>
      </c>
      <c r="D610" t="s">
        <v>74</v>
      </c>
      <c r="E610" t="s">
        <v>74</v>
      </c>
      <c r="F610" t="s">
        <v>12010</v>
      </c>
      <c r="G610" t="s">
        <v>74</v>
      </c>
      <c r="H610" t="s">
        <v>74</v>
      </c>
      <c r="I610" t="s">
        <v>12011</v>
      </c>
      <c r="J610" t="s">
        <v>9156</v>
      </c>
      <c r="K610" t="s">
        <v>74</v>
      </c>
      <c r="L610" t="s">
        <v>74</v>
      </c>
      <c r="M610" t="s">
        <v>78</v>
      </c>
      <c r="N610" t="s">
        <v>79</v>
      </c>
      <c r="O610" t="s">
        <v>74</v>
      </c>
      <c r="P610" t="s">
        <v>74</v>
      </c>
      <c r="Q610" t="s">
        <v>74</v>
      </c>
      <c r="R610" t="s">
        <v>74</v>
      </c>
      <c r="S610" t="s">
        <v>74</v>
      </c>
      <c r="T610" t="s">
        <v>12012</v>
      </c>
      <c r="U610" t="s">
        <v>12013</v>
      </c>
      <c r="V610" t="s">
        <v>12014</v>
      </c>
      <c r="W610" t="s">
        <v>12015</v>
      </c>
      <c r="X610" t="s">
        <v>12016</v>
      </c>
      <c r="Y610" t="s">
        <v>12017</v>
      </c>
      <c r="Z610" t="s">
        <v>12018</v>
      </c>
      <c r="AA610" t="s">
        <v>74</v>
      </c>
      <c r="AB610" t="s">
        <v>12019</v>
      </c>
      <c r="AC610" t="s">
        <v>12020</v>
      </c>
      <c r="AD610" t="s">
        <v>12021</v>
      </c>
      <c r="AE610" t="s">
        <v>12022</v>
      </c>
      <c r="AF610" t="s">
        <v>74</v>
      </c>
      <c r="AG610">
        <v>80</v>
      </c>
      <c r="AH610">
        <v>15</v>
      </c>
      <c r="AI610">
        <v>15</v>
      </c>
      <c r="AJ610">
        <v>0</v>
      </c>
      <c r="AK610">
        <v>5</v>
      </c>
      <c r="AL610" t="s">
        <v>1139</v>
      </c>
      <c r="AM610" t="s">
        <v>1140</v>
      </c>
      <c r="AN610" t="s">
        <v>1141</v>
      </c>
      <c r="AO610" t="s">
        <v>9169</v>
      </c>
      <c r="AP610" t="s">
        <v>74</v>
      </c>
      <c r="AQ610" t="s">
        <v>74</v>
      </c>
      <c r="AR610" t="s">
        <v>9171</v>
      </c>
      <c r="AS610" t="s">
        <v>9172</v>
      </c>
      <c r="AT610" t="s">
        <v>11954</v>
      </c>
      <c r="AU610">
        <v>2017</v>
      </c>
      <c r="AV610">
        <v>178</v>
      </c>
      <c r="AW610" t="s">
        <v>74</v>
      </c>
      <c r="AX610" t="s">
        <v>74</v>
      </c>
      <c r="AY610" t="s">
        <v>74</v>
      </c>
      <c r="AZ610" t="s">
        <v>74</v>
      </c>
      <c r="BA610" t="s">
        <v>74</v>
      </c>
      <c r="BB610">
        <v>77</v>
      </c>
      <c r="BC610">
        <v>88</v>
      </c>
      <c r="BD610" t="s">
        <v>74</v>
      </c>
      <c r="BE610" t="s">
        <v>12023</v>
      </c>
      <c r="BF610" t="str">
        <f>HYPERLINK("http://dx.doi.org/10.1016/j.quascirev.2017.11.003","http://dx.doi.org/10.1016/j.quascirev.2017.11.003")</f>
        <v>http://dx.doi.org/10.1016/j.quascirev.2017.11.003</v>
      </c>
      <c r="BG610" t="s">
        <v>74</v>
      </c>
      <c r="BH610" t="s">
        <v>74</v>
      </c>
      <c r="BI610">
        <v>12</v>
      </c>
      <c r="BJ610" t="s">
        <v>233</v>
      </c>
      <c r="BK610" t="s">
        <v>101</v>
      </c>
      <c r="BL610" t="s">
        <v>234</v>
      </c>
      <c r="BM610" t="s">
        <v>11956</v>
      </c>
      <c r="BN610" t="s">
        <v>74</v>
      </c>
      <c r="BO610" t="s">
        <v>12024</v>
      </c>
      <c r="BP610" t="s">
        <v>74</v>
      </c>
      <c r="BQ610" t="s">
        <v>74</v>
      </c>
      <c r="BR610" t="s">
        <v>105</v>
      </c>
      <c r="BS610" t="s">
        <v>12025</v>
      </c>
      <c r="BT610" t="str">
        <f>HYPERLINK("https%3A%2F%2Fwww.webofscience.com%2Fwos%2Fwoscc%2Ffull-record%2FWOS:000418974100006","View Full Record in Web of Science")</f>
        <v>View Full Record in Web of Science</v>
      </c>
    </row>
    <row r="611" spans="1:72" x14ac:dyDescent="0.15">
      <c r="A611" t="s">
        <v>72</v>
      </c>
      <c r="B611" t="s">
        <v>12026</v>
      </c>
      <c r="C611" t="s">
        <v>74</v>
      </c>
      <c r="D611" t="s">
        <v>74</v>
      </c>
      <c r="E611" t="s">
        <v>74</v>
      </c>
      <c r="F611" t="s">
        <v>12027</v>
      </c>
      <c r="G611" t="s">
        <v>74</v>
      </c>
      <c r="H611" t="s">
        <v>74</v>
      </c>
      <c r="I611" t="s">
        <v>12028</v>
      </c>
      <c r="J611" t="s">
        <v>1100</v>
      </c>
      <c r="K611" t="s">
        <v>74</v>
      </c>
      <c r="L611" t="s">
        <v>74</v>
      </c>
      <c r="M611" t="s">
        <v>78</v>
      </c>
      <c r="N611" t="s">
        <v>79</v>
      </c>
      <c r="O611" t="s">
        <v>74</v>
      </c>
      <c r="P611" t="s">
        <v>74</v>
      </c>
      <c r="Q611" t="s">
        <v>74</v>
      </c>
      <c r="R611" t="s">
        <v>74</v>
      </c>
      <c r="S611" t="s">
        <v>74</v>
      </c>
      <c r="T611" t="s">
        <v>12029</v>
      </c>
      <c r="U611" t="s">
        <v>12030</v>
      </c>
      <c r="V611" t="s">
        <v>12031</v>
      </c>
      <c r="W611" t="s">
        <v>12032</v>
      </c>
      <c r="X611" t="s">
        <v>12033</v>
      </c>
      <c r="Y611" t="s">
        <v>12034</v>
      </c>
      <c r="Z611" t="s">
        <v>12035</v>
      </c>
      <c r="AA611" t="s">
        <v>12036</v>
      </c>
      <c r="AB611" t="s">
        <v>12037</v>
      </c>
      <c r="AC611" t="s">
        <v>12038</v>
      </c>
      <c r="AD611" t="s">
        <v>12039</v>
      </c>
      <c r="AE611" t="s">
        <v>12040</v>
      </c>
      <c r="AF611" t="s">
        <v>74</v>
      </c>
      <c r="AG611">
        <v>71</v>
      </c>
      <c r="AH611">
        <v>18</v>
      </c>
      <c r="AI611">
        <v>21</v>
      </c>
      <c r="AJ611">
        <v>5</v>
      </c>
      <c r="AK611">
        <v>109</v>
      </c>
      <c r="AL611" t="s">
        <v>1186</v>
      </c>
      <c r="AM611" t="s">
        <v>808</v>
      </c>
      <c r="AN611" t="s">
        <v>1187</v>
      </c>
      <c r="AO611" t="s">
        <v>1113</v>
      </c>
      <c r="AP611" t="s">
        <v>1114</v>
      </c>
      <c r="AQ611" t="s">
        <v>74</v>
      </c>
      <c r="AR611" t="s">
        <v>1115</v>
      </c>
      <c r="AS611" t="s">
        <v>1116</v>
      </c>
      <c r="AT611" t="s">
        <v>11954</v>
      </c>
      <c r="AU611">
        <v>2017</v>
      </c>
      <c r="AV611">
        <v>603</v>
      </c>
      <c r="AW611" t="s">
        <v>74</v>
      </c>
      <c r="AX611" t="s">
        <v>74</v>
      </c>
      <c r="AY611" t="s">
        <v>74</v>
      </c>
      <c r="AZ611" t="s">
        <v>74</v>
      </c>
      <c r="BA611" t="s">
        <v>74</v>
      </c>
      <c r="BB611">
        <v>510</v>
      </c>
      <c r="BC611">
        <v>518</v>
      </c>
      <c r="BD611" t="s">
        <v>74</v>
      </c>
      <c r="BE611" t="s">
        <v>12041</v>
      </c>
      <c r="BF611" t="str">
        <f>HYPERLINK("http://dx.doi.org/10.1016/j.scitotenv.2017.06.120","http://dx.doi.org/10.1016/j.scitotenv.2017.06.120")</f>
        <v>http://dx.doi.org/10.1016/j.scitotenv.2017.06.120</v>
      </c>
      <c r="BG611" t="s">
        <v>74</v>
      </c>
      <c r="BH611" t="s">
        <v>74</v>
      </c>
      <c r="BI611">
        <v>9</v>
      </c>
      <c r="BJ611" t="s">
        <v>1119</v>
      </c>
      <c r="BK611" t="s">
        <v>101</v>
      </c>
      <c r="BL611" t="s">
        <v>1120</v>
      </c>
      <c r="BM611" t="s">
        <v>12042</v>
      </c>
      <c r="BN611">
        <v>28645049</v>
      </c>
      <c r="BO611" t="s">
        <v>74</v>
      </c>
      <c r="BP611" t="s">
        <v>74</v>
      </c>
      <c r="BQ611" t="s">
        <v>74</v>
      </c>
      <c r="BR611" t="s">
        <v>105</v>
      </c>
      <c r="BS611" t="s">
        <v>12043</v>
      </c>
      <c r="BT611" t="str">
        <f>HYPERLINK("https%3A%2F%2Fwww.webofscience.com%2Fwos%2Fwoscc%2Ffull-record%2FWOS:000405981500054","View Full Record in Web of Science")</f>
        <v>View Full Record in Web of Science</v>
      </c>
    </row>
    <row r="612" spans="1:72" x14ac:dyDescent="0.15">
      <c r="A612" t="s">
        <v>72</v>
      </c>
      <c r="B612" t="s">
        <v>12044</v>
      </c>
      <c r="C612" t="s">
        <v>74</v>
      </c>
      <c r="D612" t="s">
        <v>74</v>
      </c>
      <c r="E612" t="s">
        <v>74</v>
      </c>
      <c r="F612" t="s">
        <v>12045</v>
      </c>
      <c r="G612" t="s">
        <v>74</v>
      </c>
      <c r="H612" t="s">
        <v>74</v>
      </c>
      <c r="I612" t="s">
        <v>12046</v>
      </c>
      <c r="J612" t="s">
        <v>12047</v>
      </c>
      <c r="K612" t="s">
        <v>74</v>
      </c>
      <c r="L612" t="s">
        <v>74</v>
      </c>
      <c r="M612" t="s">
        <v>78</v>
      </c>
      <c r="N612" t="s">
        <v>79</v>
      </c>
      <c r="O612" t="s">
        <v>74</v>
      </c>
      <c r="P612" t="s">
        <v>74</v>
      </c>
      <c r="Q612" t="s">
        <v>74</v>
      </c>
      <c r="R612" t="s">
        <v>74</v>
      </c>
      <c r="S612" t="s">
        <v>74</v>
      </c>
      <c r="T612" t="s">
        <v>12048</v>
      </c>
      <c r="U612" t="s">
        <v>12049</v>
      </c>
      <c r="V612" t="s">
        <v>12050</v>
      </c>
      <c r="W612" t="s">
        <v>12051</v>
      </c>
      <c r="X612" t="s">
        <v>12052</v>
      </c>
      <c r="Y612" t="s">
        <v>12053</v>
      </c>
      <c r="Z612" t="s">
        <v>3926</v>
      </c>
      <c r="AA612" t="s">
        <v>12054</v>
      </c>
      <c r="AB612" t="s">
        <v>12055</v>
      </c>
      <c r="AC612" t="s">
        <v>3929</v>
      </c>
      <c r="AD612" t="s">
        <v>3930</v>
      </c>
      <c r="AE612" t="s">
        <v>12056</v>
      </c>
      <c r="AF612" t="s">
        <v>74</v>
      </c>
      <c r="AG612">
        <v>35</v>
      </c>
      <c r="AH612">
        <v>32</v>
      </c>
      <c r="AI612">
        <v>37</v>
      </c>
      <c r="AJ612">
        <v>1</v>
      </c>
      <c r="AK612">
        <v>73</v>
      </c>
      <c r="AL612" t="s">
        <v>1186</v>
      </c>
      <c r="AM612" t="s">
        <v>808</v>
      </c>
      <c r="AN612" t="s">
        <v>1187</v>
      </c>
      <c r="AO612" t="s">
        <v>12057</v>
      </c>
      <c r="AP612" t="s">
        <v>12058</v>
      </c>
      <c r="AQ612" t="s">
        <v>74</v>
      </c>
      <c r="AR612" t="s">
        <v>12059</v>
      </c>
      <c r="AS612" t="s">
        <v>12060</v>
      </c>
      <c r="AT612" t="s">
        <v>11954</v>
      </c>
      <c r="AU612">
        <v>2017</v>
      </c>
      <c r="AV612">
        <v>996</v>
      </c>
      <c r="AW612" t="s">
        <v>74</v>
      </c>
      <c r="AX612" t="s">
        <v>74</v>
      </c>
      <c r="AY612" t="s">
        <v>74</v>
      </c>
      <c r="AZ612" t="s">
        <v>74</v>
      </c>
      <c r="BA612" t="s">
        <v>74</v>
      </c>
      <c r="BB612">
        <v>74</v>
      </c>
      <c r="BC612">
        <v>87</v>
      </c>
      <c r="BD612" t="s">
        <v>74</v>
      </c>
      <c r="BE612" t="s">
        <v>12061</v>
      </c>
      <c r="BF612" t="str">
        <f>HYPERLINK("http://dx.doi.org/10.1016/j.aca.2017.10.022","http://dx.doi.org/10.1016/j.aca.2017.10.022")</f>
        <v>http://dx.doi.org/10.1016/j.aca.2017.10.022</v>
      </c>
      <c r="BG612" t="s">
        <v>74</v>
      </c>
      <c r="BH612" t="s">
        <v>74</v>
      </c>
      <c r="BI612">
        <v>14</v>
      </c>
      <c r="BJ612" t="s">
        <v>5266</v>
      </c>
      <c r="BK612" t="s">
        <v>101</v>
      </c>
      <c r="BL612" t="s">
        <v>4185</v>
      </c>
      <c r="BM612" t="s">
        <v>12062</v>
      </c>
      <c r="BN612">
        <v>29137710</v>
      </c>
      <c r="BO612" t="s">
        <v>74</v>
      </c>
      <c r="BP612" t="s">
        <v>74</v>
      </c>
      <c r="BQ612" t="s">
        <v>74</v>
      </c>
      <c r="BR612" t="s">
        <v>105</v>
      </c>
      <c r="BS612" t="s">
        <v>12063</v>
      </c>
      <c r="BT612" t="str">
        <f>HYPERLINK("https%3A%2F%2Fwww.webofscience.com%2Fwos%2Fwoscc%2Ffull-record%2FWOS:000414875100009","View Full Record in Web of Science")</f>
        <v>View Full Record in Web of Science</v>
      </c>
    </row>
    <row r="613" spans="1:72" x14ac:dyDescent="0.15">
      <c r="A613" t="s">
        <v>72</v>
      </c>
      <c r="B613" t="s">
        <v>12064</v>
      </c>
      <c r="C613" t="s">
        <v>74</v>
      </c>
      <c r="D613" t="s">
        <v>74</v>
      </c>
      <c r="E613" t="s">
        <v>74</v>
      </c>
      <c r="F613" t="s">
        <v>12065</v>
      </c>
      <c r="G613" t="s">
        <v>74</v>
      </c>
      <c r="H613" t="s">
        <v>74</v>
      </c>
      <c r="I613" t="s">
        <v>12066</v>
      </c>
      <c r="J613" t="s">
        <v>1100</v>
      </c>
      <c r="K613" t="s">
        <v>74</v>
      </c>
      <c r="L613" t="s">
        <v>74</v>
      </c>
      <c r="M613" t="s">
        <v>78</v>
      </c>
      <c r="N613" t="s">
        <v>79</v>
      </c>
      <c r="O613" t="s">
        <v>74</v>
      </c>
      <c r="P613" t="s">
        <v>74</v>
      </c>
      <c r="Q613" t="s">
        <v>74</v>
      </c>
      <c r="R613" t="s">
        <v>74</v>
      </c>
      <c r="S613" t="s">
        <v>74</v>
      </c>
      <c r="T613" t="s">
        <v>12067</v>
      </c>
      <c r="U613" t="s">
        <v>12068</v>
      </c>
      <c r="V613" t="s">
        <v>12069</v>
      </c>
      <c r="W613" t="s">
        <v>12070</v>
      </c>
      <c r="X613" t="s">
        <v>12071</v>
      </c>
      <c r="Y613" t="s">
        <v>12072</v>
      </c>
      <c r="Z613" t="s">
        <v>12073</v>
      </c>
      <c r="AA613" t="s">
        <v>12074</v>
      </c>
      <c r="AB613" t="s">
        <v>12075</v>
      </c>
      <c r="AC613" t="s">
        <v>12076</v>
      </c>
      <c r="AD613" t="s">
        <v>12077</v>
      </c>
      <c r="AE613" t="s">
        <v>12078</v>
      </c>
      <c r="AF613" t="s">
        <v>74</v>
      </c>
      <c r="AG613">
        <v>47</v>
      </c>
      <c r="AH613">
        <v>25</v>
      </c>
      <c r="AI613">
        <v>27</v>
      </c>
      <c r="AJ613">
        <v>2</v>
      </c>
      <c r="AK613">
        <v>247</v>
      </c>
      <c r="AL613" t="s">
        <v>1186</v>
      </c>
      <c r="AM613" t="s">
        <v>808</v>
      </c>
      <c r="AN613" t="s">
        <v>1187</v>
      </c>
      <c r="AO613" t="s">
        <v>1113</v>
      </c>
      <c r="AP613" t="s">
        <v>1114</v>
      </c>
      <c r="AQ613" t="s">
        <v>74</v>
      </c>
      <c r="AR613" t="s">
        <v>1115</v>
      </c>
      <c r="AS613" t="s">
        <v>1116</v>
      </c>
      <c r="AT613" t="s">
        <v>11954</v>
      </c>
      <c r="AU613">
        <v>2017</v>
      </c>
      <c r="AV613">
        <v>605</v>
      </c>
      <c r="AW613" t="s">
        <v>74</v>
      </c>
      <c r="AX613" t="s">
        <v>74</v>
      </c>
      <c r="AY613" t="s">
        <v>74</v>
      </c>
      <c r="AZ613" t="s">
        <v>74</v>
      </c>
      <c r="BA613" t="s">
        <v>74</v>
      </c>
      <c r="BB613">
        <v>26</v>
      </c>
      <c r="BC613">
        <v>37</v>
      </c>
      <c r="BD613" t="s">
        <v>74</v>
      </c>
      <c r="BE613" t="s">
        <v>12079</v>
      </c>
      <c r="BF613" t="str">
        <f>HYPERLINK("http://dx.doi.org/10.1016/j.scitotenv.2017.06.129","http://dx.doi.org/10.1016/j.scitotenv.2017.06.129")</f>
        <v>http://dx.doi.org/10.1016/j.scitotenv.2017.06.129</v>
      </c>
      <c r="BG613" t="s">
        <v>74</v>
      </c>
      <c r="BH613" t="s">
        <v>74</v>
      </c>
      <c r="BI613">
        <v>12</v>
      </c>
      <c r="BJ613" t="s">
        <v>1119</v>
      </c>
      <c r="BK613" t="s">
        <v>101</v>
      </c>
      <c r="BL613" t="s">
        <v>1120</v>
      </c>
      <c r="BM613" t="s">
        <v>12080</v>
      </c>
      <c r="BN613">
        <v>28662428</v>
      </c>
      <c r="BO613" t="s">
        <v>74</v>
      </c>
      <c r="BP613" t="s">
        <v>74</v>
      </c>
      <c r="BQ613" t="s">
        <v>74</v>
      </c>
      <c r="BR613" t="s">
        <v>105</v>
      </c>
      <c r="BS613" t="s">
        <v>12081</v>
      </c>
      <c r="BT613" t="str">
        <f>HYPERLINK("https%3A%2F%2Fwww.webofscience.com%2Fwos%2Fwoscc%2Ffull-record%2FWOS:000408275500004","View Full Record in Web of Science")</f>
        <v>View Full Record in Web of Science</v>
      </c>
    </row>
    <row r="614" spans="1:72" x14ac:dyDescent="0.15">
      <c r="A614" t="s">
        <v>72</v>
      </c>
      <c r="B614" t="s">
        <v>12082</v>
      </c>
      <c r="C614" t="s">
        <v>74</v>
      </c>
      <c r="D614" t="s">
        <v>74</v>
      </c>
      <c r="E614" t="s">
        <v>74</v>
      </c>
      <c r="F614" t="s">
        <v>12083</v>
      </c>
      <c r="G614" t="s">
        <v>74</v>
      </c>
      <c r="H614" t="s">
        <v>74</v>
      </c>
      <c r="I614" t="s">
        <v>12084</v>
      </c>
      <c r="J614" t="s">
        <v>1549</v>
      </c>
      <c r="K614" t="s">
        <v>74</v>
      </c>
      <c r="L614" t="s">
        <v>74</v>
      </c>
      <c r="M614" t="s">
        <v>78</v>
      </c>
      <c r="N614" t="s">
        <v>1644</v>
      </c>
      <c r="O614" t="s">
        <v>74</v>
      </c>
      <c r="P614" t="s">
        <v>74</v>
      </c>
      <c r="Q614" t="s">
        <v>74</v>
      </c>
      <c r="R614" t="s">
        <v>74</v>
      </c>
      <c r="S614" t="s">
        <v>74</v>
      </c>
      <c r="T614" t="s">
        <v>74</v>
      </c>
      <c r="U614" t="s">
        <v>12085</v>
      </c>
      <c r="V614" t="s">
        <v>74</v>
      </c>
      <c r="W614" t="s">
        <v>12086</v>
      </c>
      <c r="X614" t="s">
        <v>12087</v>
      </c>
      <c r="Y614" t="s">
        <v>12088</v>
      </c>
      <c r="Z614" t="s">
        <v>12089</v>
      </c>
      <c r="AA614" t="s">
        <v>74</v>
      </c>
      <c r="AB614" t="s">
        <v>12090</v>
      </c>
      <c r="AC614" t="s">
        <v>74</v>
      </c>
      <c r="AD614" t="s">
        <v>74</v>
      </c>
      <c r="AE614" t="s">
        <v>74</v>
      </c>
      <c r="AF614" t="s">
        <v>74</v>
      </c>
      <c r="AG614">
        <v>14</v>
      </c>
      <c r="AH614">
        <v>0</v>
      </c>
      <c r="AI614">
        <v>0</v>
      </c>
      <c r="AJ614">
        <v>0</v>
      </c>
      <c r="AK614">
        <v>12</v>
      </c>
      <c r="AL614" t="s">
        <v>673</v>
      </c>
      <c r="AM614" t="s">
        <v>92</v>
      </c>
      <c r="AN614" t="s">
        <v>674</v>
      </c>
      <c r="AO614" t="s">
        <v>1561</v>
      </c>
      <c r="AP614" t="s">
        <v>1562</v>
      </c>
      <c r="AQ614" t="s">
        <v>74</v>
      </c>
      <c r="AR614" t="s">
        <v>1549</v>
      </c>
      <c r="AS614" t="s">
        <v>1563</v>
      </c>
      <c r="AT614" t="s">
        <v>12091</v>
      </c>
      <c r="AU614">
        <v>2017</v>
      </c>
      <c r="AV614">
        <v>552</v>
      </c>
      <c r="AW614">
        <v>7684</v>
      </c>
      <c r="AX614" t="s">
        <v>74</v>
      </c>
      <c r="AY614" t="s">
        <v>74</v>
      </c>
      <c r="AZ614" t="s">
        <v>74</v>
      </c>
      <c r="BA614" t="s">
        <v>74</v>
      </c>
      <c r="BB614">
        <v>183</v>
      </c>
      <c r="BC614">
        <v>184</v>
      </c>
      <c r="BD614" t="s">
        <v>74</v>
      </c>
      <c r="BE614" t="s">
        <v>12092</v>
      </c>
      <c r="BF614" t="str">
        <f>HYPERLINK("http://dx.doi.org/10.1038/d41586-017-08285-3","http://dx.doi.org/10.1038/d41586-017-08285-3")</f>
        <v>http://dx.doi.org/10.1038/d41586-017-08285-3</v>
      </c>
      <c r="BG614" t="s">
        <v>74</v>
      </c>
      <c r="BH614" t="s">
        <v>74</v>
      </c>
      <c r="BI614">
        <v>2</v>
      </c>
      <c r="BJ614" t="s">
        <v>129</v>
      </c>
      <c r="BK614" t="s">
        <v>2471</v>
      </c>
      <c r="BL614" t="s">
        <v>130</v>
      </c>
      <c r="BM614" t="s">
        <v>12093</v>
      </c>
      <c r="BN614" t="s">
        <v>74</v>
      </c>
      <c r="BO614" t="s">
        <v>306</v>
      </c>
      <c r="BP614" t="s">
        <v>74</v>
      </c>
      <c r="BQ614" t="s">
        <v>74</v>
      </c>
      <c r="BR614" t="s">
        <v>105</v>
      </c>
      <c r="BS614" t="s">
        <v>12094</v>
      </c>
      <c r="BT614" t="str">
        <f>HYPERLINK("https%3A%2F%2Fwww.webofscience.com%2Fwos%2Fwoscc%2Ffull-record%2FWOS:000418029500031","View Full Record in Web of Science")</f>
        <v>View Full Record in Web of Science</v>
      </c>
    </row>
    <row r="615" spans="1:72" x14ac:dyDescent="0.15">
      <c r="A615" t="s">
        <v>72</v>
      </c>
      <c r="B615" t="s">
        <v>12095</v>
      </c>
      <c r="C615" t="s">
        <v>74</v>
      </c>
      <c r="D615" t="s">
        <v>74</v>
      </c>
      <c r="E615" t="s">
        <v>74</v>
      </c>
      <c r="F615" t="s">
        <v>12096</v>
      </c>
      <c r="G615" t="s">
        <v>74</v>
      </c>
      <c r="H615" t="s">
        <v>74</v>
      </c>
      <c r="I615" t="s">
        <v>12097</v>
      </c>
      <c r="J615" t="s">
        <v>1549</v>
      </c>
      <c r="K615" t="s">
        <v>74</v>
      </c>
      <c r="L615" t="s">
        <v>74</v>
      </c>
      <c r="M615" t="s">
        <v>78</v>
      </c>
      <c r="N615" t="s">
        <v>79</v>
      </c>
      <c r="O615" t="s">
        <v>74</v>
      </c>
      <c r="P615" t="s">
        <v>74</v>
      </c>
      <c r="Q615" t="s">
        <v>74</v>
      </c>
      <c r="R615" t="s">
        <v>74</v>
      </c>
      <c r="S615" t="s">
        <v>74</v>
      </c>
      <c r="T615" t="s">
        <v>74</v>
      </c>
      <c r="U615" t="s">
        <v>12098</v>
      </c>
      <c r="V615" t="s">
        <v>12099</v>
      </c>
      <c r="W615" t="s">
        <v>12100</v>
      </c>
      <c r="X615" t="s">
        <v>12101</v>
      </c>
      <c r="Y615" t="s">
        <v>12102</v>
      </c>
      <c r="Z615" t="s">
        <v>12103</v>
      </c>
      <c r="AA615" t="s">
        <v>12104</v>
      </c>
      <c r="AB615" t="s">
        <v>12105</v>
      </c>
      <c r="AC615" t="s">
        <v>12106</v>
      </c>
      <c r="AD615" t="s">
        <v>12107</v>
      </c>
      <c r="AE615" t="s">
        <v>12108</v>
      </c>
      <c r="AF615" t="s">
        <v>74</v>
      </c>
      <c r="AG615">
        <v>64</v>
      </c>
      <c r="AH615">
        <v>82</v>
      </c>
      <c r="AI615">
        <v>92</v>
      </c>
      <c r="AJ615">
        <v>2</v>
      </c>
      <c r="AK615">
        <v>115</v>
      </c>
      <c r="AL615" t="s">
        <v>892</v>
      </c>
      <c r="AM615" t="s">
        <v>698</v>
      </c>
      <c r="AN615" t="s">
        <v>699</v>
      </c>
      <c r="AO615" t="s">
        <v>1561</v>
      </c>
      <c r="AP615" t="s">
        <v>1562</v>
      </c>
      <c r="AQ615" t="s">
        <v>74</v>
      </c>
      <c r="AR615" t="s">
        <v>1549</v>
      </c>
      <c r="AS615" t="s">
        <v>1563</v>
      </c>
      <c r="AT615" t="s">
        <v>12091</v>
      </c>
      <c r="AU615">
        <v>2017</v>
      </c>
      <c r="AV615">
        <v>552</v>
      </c>
      <c r="AW615">
        <v>7684</v>
      </c>
      <c r="AX615" t="s">
        <v>74</v>
      </c>
      <c r="AY615" t="s">
        <v>74</v>
      </c>
      <c r="AZ615" t="s">
        <v>74</v>
      </c>
      <c r="BA615" t="s">
        <v>74</v>
      </c>
      <c r="BB615">
        <v>225</v>
      </c>
      <c r="BC615" t="s">
        <v>1565</v>
      </c>
      <c r="BD615" t="s">
        <v>74</v>
      </c>
      <c r="BE615" t="s">
        <v>12109</v>
      </c>
      <c r="BF615" t="str">
        <f>HYPERLINK("http://dx.doi.org/10.1038/nature25026","http://dx.doi.org/10.1038/nature25026")</f>
        <v>http://dx.doi.org/10.1038/nature25026</v>
      </c>
      <c r="BG615" t="s">
        <v>74</v>
      </c>
      <c r="BH615" t="s">
        <v>74</v>
      </c>
      <c r="BI615">
        <v>17</v>
      </c>
      <c r="BJ615" t="s">
        <v>129</v>
      </c>
      <c r="BK615" t="s">
        <v>101</v>
      </c>
      <c r="BL615" t="s">
        <v>130</v>
      </c>
      <c r="BM615" t="s">
        <v>12093</v>
      </c>
      <c r="BN615">
        <v>29239353</v>
      </c>
      <c r="BO615" t="s">
        <v>542</v>
      </c>
      <c r="BP615" t="s">
        <v>74</v>
      </c>
      <c r="BQ615" t="s">
        <v>74</v>
      </c>
      <c r="BR615" t="s">
        <v>105</v>
      </c>
      <c r="BS615" t="s">
        <v>12110</v>
      </c>
      <c r="BT615" t="str">
        <f>HYPERLINK("https%3A%2F%2Fwww.webofscience.com%2Fwos%2Fwoscc%2Ffull-record%2FWOS:000418029500041","View Full Record in Web of Science")</f>
        <v>View Full Record in Web of Science</v>
      </c>
    </row>
    <row r="616" spans="1:72" x14ac:dyDescent="0.15">
      <c r="A616" t="s">
        <v>72</v>
      </c>
      <c r="B616" t="s">
        <v>12111</v>
      </c>
      <c r="C616" t="s">
        <v>74</v>
      </c>
      <c r="D616" t="s">
        <v>74</v>
      </c>
      <c r="E616" t="s">
        <v>74</v>
      </c>
      <c r="F616" t="s">
        <v>12112</v>
      </c>
      <c r="G616" t="s">
        <v>74</v>
      </c>
      <c r="H616" t="s">
        <v>74</v>
      </c>
      <c r="I616" t="s">
        <v>12113</v>
      </c>
      <c r="J616" t="s">
        <v>11744</v>
      </c>
      <c r="K616" t="s">
        <v>74</v>
      </c>
      <c r="L616" t="s">
        <v>74</v>
      </c>
      <c r="M616" t="s">
        <v>78</v>
      </c>
      <c r="N616" t="s">
        <v>79</v>
      </c>
      <c r="O616" t="s">
        <v>74</v>
      </c>
      <c r="P616" t="s">
        <v>74</v>
      </c>
      <c r="Q616" t="s">
        <v>74</v>
      </c>
      <c r="R616" t="s">
        <v>74</v>
      </c>
      <c r="S616" t="s">
        <v>74</v>
      </c>
      <c r="T616" t="s">
        <v>74</v>
      </c>
      <c r="U616" t="s">
        <v>12114</v>
      </c>
      <c r="V616" t="s">
        <v>12115</v>
      </c>
      <c r="W616" t="s">
        <v>12116</v>
      </c>
      <c r="X616" t="s">
        <v>12117</v>
      </c>
      <c r="Y616" t="s">
        <v>12118</v>
      </c>
      <c r="Z616" t="s">
        <v>12119</v>
      </c>
      <c r="AA616" t="s">
        <v>12120</v>
      </c>
      <c r="AB616" t="s">
        <v>12121</v>
      </c>
      <c r="AC616" t="s">
        <v>12122</v>
      </c>
      <c r="AD616" t="s">
        <v>12123</v>
      </c>
      <c r="AE616" t="s">
        <v>12124</v>
      </c>
      <c r="AF616" t="s">
        <v>74</v>
      </c>
      <c r="AG616">
        <v>147</v>
      </c>
      <c r="AH616">
        <v>30</v>
      </c>
      <c r="AI616">
        <v>31</v>
      </c>
      <c r="AJ616">
        <v>3</v>
      </c>
      <c r="AK616">
        <v>20</v>
      </c>
      <c r="AL616" t="s">
        <v>149</v>
      </c>
      <c r="AM616" t="s">
        <v>150</v>
      </c>
      <c r="AN616" t="s">
        <v>151</v>
      </c>
      <c r="AO616" t="s">
        <v>11756</v>
      </c>
      <c r="AP616" t="s">
        <v>11757</v>
      </c>
      <c r="AQ616" t="s">
        <v>74</v>
      </c>
      <c r="AR616" t="s">
        <v>11758</v>
      </c>
      <c r="AS616" t="s">
        <v>11759</v>
      </c>
      <c r="AT616" t="s">
        <v>12125</v>
      </c>
      <c r="AU616">
        <v>2017</v>
      </c>
      <c r="AV616">
        <v>13</v>
      </c>
      <c r="AW616">
        <v>12</v>
      </c>
      <c r="AX616" t="s">
        <v>74</v>
      </c>
      <c r="AY616" t="s">
        <v>74</v>
      </c>
      <c r="AZ616" t="s">
        <v>74</v>
      </c>
      <c r="BA616" t="s">
        <v>74</v>
      </c>
      <c r="BB616">
        <v>1791</v>
      </c>
      <c r="BC616">
        <v>1813</v>
      </c>
      <c r="BD616" t="s">
        <v>74</v>
      </c>
      <c r="BE616" t="s">
        <v>12126</v>
      </c>
      <c r="BF616" t="str">
        <f>HYPERLINK("http://dx.doi.org/10.5194/cp-13-1791-2017","http://dx.doi.org/10.5194/cp-13-1791-2017")</f>
        <v>http://dx.doi.org/10.5194/cp-13-1791-2017</v>
      </c>
      <c r="BG616" t="s">
        <v>74</v>
      </c>
      <c r="BH616" t="s">
        <v>74</v>
      </c>
      <c r="BI616">
        <v>23</v>
      </c>
      <c r="BJ616" t="s">
        <v>10260</v>
      </c>
      <c r="BK616" t="s">
        <v>101</v>
      </c>
      <c r="BL616" t="s">
        <v>10261</v>
      </c>
      <c r="BM616" t="s">
        <v>12127</v>
      </c>
      <c r="BN616" t="s">
        <v>74</v>
      </c>
      <c r="BO616" t="s">
        <v>236</v>
      </c>
      <c r="BP616" t="s">
        <v>74</v>
      </c>
      <c r="BQ616" t="s">
        <v>74</v>
      </c>
      <c r="BR616" t="s">
        <v>105</v>
      </c>
      <c r="BS616" t="s">
        <v>12128</v>
      </c>
      <c r="BT616" t="str">
        <f>HYPERLINK("https%3A%2F%2Fwww.webofscience.com%2Fwos%2Fwoscc%2Ffull-record%2FWOS:000417899200001","View Full Record in Web of Science")</f>
        <v>View Full Record in Web of Science</v>
      </c>
    </row>
    <row r="617" spans="1:72" x14ac:dyDescent="0.15">
      <c r="A617" t="s">
        <v>72</v>
      </c>
      <c r="B617" t="s">
        <v>12129</v>
      </c>
      <c r="C617" t="s">
        <v>74</v>
      </c>
      <c r="D617" t="s">
        <v>74</v>
      </c>
      <c r="E617" t="s">
        <v>74</v>
      </c>
      <c r="F617" t="s">
        <v>12130</v>
      </c>
      <c r="G617" t="s">
        <v>74</v>
      </c>
      <c r="H617" t="s">
        <v>74</v>
      </c>
      <c r="I617" t="s">
        <v>12131</v>
      </c>
      <c r="J617" t="s">
        <v>11744</v>
      </c>
      <c r="K617" t="s">
        <v>74</v>
      </c>
      <c r="L617" t="s">
        <v>74</v>
      </c>
      <c r="M617" t="s">
        <v>78</v>
      </c>
      <c r="N617" t="s">
        <v>79</v>
      </c>
      <c r="O617" t="s">
        <v>74</v>
      </c>
      <c r="P617" t="s">
        <v>74</v>
      </c>
      <c r="Q617" t="s">
        <v>74</v>
      </c>
      <c r="R617" t="s">
        <v>74</v>
      </c>
      <c r="S617" t="s">
        <v>74</v>
      </c>
      <c r="T617" t="s">
        <v>74</v>
      </c>
      <c r="U617" t="s">
        <v>12132</v>
      </c>
      <c r="V617" t="s">
        <v>12133</v>
      </c>
      <c r="W617" t="s">
        <v>12134</v>
      </c>
      <c r="X617" t="s">
        <v>12135</v>
      </c>
      <c r="Y617" t="s">
        <v>12136</v>
      </c>
      <c r="Z617" t="s">
        <v>12137</v>
      </c>
      <c r="AA617" t="s">
        <v>12138</v>
      </c>
      <c r="AB617" t="s">
        <v>12139</v>
      </c>
      <c r="AC617" t="s">
        <v>12140</v>
      </c>
      <c r="AD617" t="s">
        <v>12141</v>
      </c>
      <c r="AE617" t="s">
        <v>12142</v>
      </c>
      <c r="AF617" t="s">
        <v>74</v>
      </c>
      <c r="AG617">
        <v>52</v>
      </c>
      <c r="AH617">
        <v>22</v>
      </c>
      <c r="AI617">
        <v>24</v>
      </c>
      <c r="AJ617">
        <v>0</v>
      </c>
      <c r="AK617">
        <v>12</v>
      </c>
      <c r="AL617" t="s">
        <v>149</v>
      </c>
      <c r="AM617" t="s">
        <v>150</v>
      </c>
      <c r="AN617" t="s">
        <v>151</v>
      </c>
      <c r="AO617" t="s">
        <v>11756</v>
      </c>
      <c r="AP617" t="s">
        <v>11757</v>
      </c>
      <c r="AQ617" t="s">
        <v>74</v>
      </c>
      <c r="AR617" t="s">
        <v>11758</v>
      </c>
      <c r="AS617" t="s">
        <v>11759</v>
      </c>
      <c r="AT617" t="s">
        <v>12125</v>
      </c>
      <c r="AU617">
        <v>2017</v>
      </c>
      <c r="AV617">
        <v>13</v>
      </c>
      <c r="AW617">
        <v>12</v>
      </c>
      <c r="AX617" t="s">
        <v>74</v>
      </c>
      <c r="AY617" t="s">
        <v>74</v>
      </c>
      <c r="AZ617" t="s">
        <v>74</v>
      </c>
      <c r="BA617" t="s">
        <v>74</v>
      </c>
      <c r="BB617">
        <v>1815</v>
      </c>
      <c r="BC617">
        <v>1830</v>
      </c>
      <c r="BD617" t="s">
        <v>74</v>
      </c>
      <c r="BE617" t="s">
        <v>12143</v>
      </c>
      <c r="BF617" t="str">
        <f>HYPERLINK("http://dx.doi.org/10.5194/cp-13-1815-2017","http://dx.doi.org/10.5194/cp-13-1815-2017")</f>
        <v>http://dx.doi.org/10.5194/cp-13-1815-2017</v>
      </c>
      <c r="BG617" t="s">
        <v>74</v>
      </c>
      <c r="BH617" t="s">
        <v>74</v>
      </c>
      <c r="BI617">
        <v>16</v>
      </c>
      <c r="BJ617" t="s">
        <v>10260</v>
      </c>
      <c r="BK617" t="s">
        <v>101</v>
      </c>
      <c r="BL617" t="s">
        <v>10261</v>
      </c>
      <c r="BM617" t="s">
        <v>12127</v>
      </c>
      <c r="BN617" t="s">
        <v>74</v>
      </c>
      <c r="BO617" t="s">
        <v>236</v>
      </c>
      <c r="BP617" t="s">
        <v>74</v>
      </c>
      <c r="BQ617" t="s">
        <v>74</v>
      </c>
      <c r="BR617" t="s">
        <v>105</v>
      </c>
      <c r="BS617" t="s">
        <v>12144</v>
      </c>
      <c r="BT617" t="str">
        <f>HYPERLINK("https%3A%2F%2Fwww.webofscience.com%2Fwos%2Fwoscc%2Ffull-record%2FWOS:000417899200002","View Full Record in Web of Science")</f>
        <v>View Full Record in Web of Science</v>
      </c>
    </row>
    <row r="618" spans="1:72" x14ac:dyDescent="0.15">
      <c r="A618" t="s">
        <v>72</v>
      </c>
      <c r="B618" t="s">
        <v>12145</v>
      </c>
      <c r="C618" t="s">
        <v>74</v>
      </c>
      <c r="D618" t="s">
        <v>74</v>
      </c>
      <c r="E618" t="s">
        <v>74</v>
      </c>
      <c r="F618" t="s">
        <v>12146</v>
      </c>
      <c r="G618" t="s">
        <v>74</v>
      </c>
      <c r="H618" t="s">
        <v>74</v>
      </c>
      <c r="I618" t="s">
        <v>12147</v>
      </c>
      <c r="J618" t="s">
        <v>217</v>
      </c>
      <c r="K618" t="s">
        <v>74</v>
      </c>
      <c r="L618" t="s">
        <v>74</v>
      </c>
      <c r="M618" t="s">
        <v>78</v>
      </c>
      <c r="N618" t="s">
        <v>79</v>
      </c>
      <c r="O618" t="s">
        <v>74</v>
      </c>
      <c r="P618" t="s">
        <v>74</v>
      </c>
      <c r="Q618" t="s">
        <v>74</v>
      </c>
      <c r="R618" t="s">
        <v>74</v>
      </c>
      <c r="S618" t="s">
        <v>74</v>
      </c>
      <c r="T618" t="s">
        <v>74</v>
      </c>
      <c r="U618" t="s">
        <v>12148</v>
      </c>
      <c r="V618" t="s">
        <v>12149</v>
      </c>
      <c r="W618" t="s">
        <v>12150</v>
      </c>
      <c r="X618" t="s">
        <v>10232</v>
      </c>
      <c r="Y618" t="s">
        <v>12151</v>
      </c>
      <c r="Z618" t="s">
        <v>12152</v>
      </c>
      <c r="AA618" t="s">
        <v>12153</v>
      </c>
      <c r="AB618" t="s">
        <v>12154</v>
      </c>
      <c r="AC618" t="s">
        <v>12155</v>
      </c>
      <c r="AD618" t="s">
        <v>12155</v>
      </c>
      <c r="AE618" t="s">
        <v>12156</v>
      </c>
      <c r="AF618" t="s">
        <v>74</v>
      </c>
      <c r="AG618">
        <v>53</v>
      </c>
      <c r="AH618">
        <v>12</v>
      </c>
      <c r="AI618">
        <v>12</v>
      </c>
      <c r="AJ618">
        <v>2</v>
      </c>
      <c r="AK618">
        <v>7</v>
      </c>
      <c r="AL618" t="s">
        <v>149</v>
      </c>
      <c r="AM618" t="s">
        <v>150</v>
      </c>
      <c r="AN618" t="s">
        <v>151</v>
      </c>
      <c r="AO618" t="s">
        <v>229</v>
      </c>
      <c r="AP618" t="s">
        <v>230</v>
      </c>
      <c r="AQ618" t="s">
        <v>74</v>
      </c>
      <c r="AR618" t="s">
        <v>217</v>
      </c>
      <c r="AS618" t="s">
        <v>231</v>
      </c>
      <c r="AT618" t="s">
        <v>12157</v>
      </c>
      <c r="AU618">
        <v>2017</v>
      </c>
      <c r="AV618">
        <v>11</v>
      </c>
      <c r="AW618">
        <v>6</v>
      </c>
      <c r="AX618" t="s">
        <v>74</v>
      </c>
      <c r="AY618" t="s">
        <v>74</v>
      </c>
      <c r="AZ618" t="s">
        <v>74</v>
      </c>
      <c r="BA618" t="s">
        <v>74</v>
      </c>
      <c r="BB618">
        <v>2883</v>
      </c>
      <c r="BC618">
        <v>2896</v>
      </c>
      <c r="BD618" t="s">
        <v>74</v>
      </c>
      <c r="BE618" t="s">
        <v>12158</v>
      </c>
      <c r="BF618" t="str">
        <f>HYPERLINK("http://dx.doi.org/10.5194/tc-11-2883-2017","http://dx.doi.org/10.5194/tc-11-2883-2017")</f>
        <v>http://dx.doi.org/10.5194/tc-11-2883-2017</v>
      </c>
      <c r="BG618" t="s">
        <v>74</v>
      </c>
      <c r="BH618" t="s">
        <v>74</v>
      </c>
      <c r="BI618">
        <v>14</v>
      </c>
      <c r="BJ618" t="s">
        <v>233</v>
      </c>
      <c r="BK618" t="s">
        <v>101</v>
      </c>
      <c r="BL618" t="s">
        <v>234</v>
      </c>
      <c r="BM618" t="s">
        <v>12159</v>
      </c>
      <c r="BN618" t="s">
        <v>74</v>
      </c>
      <c r="BO618" t="s">
        <v>212</v>
      </c>
      <c r="BP618" t="s">
        <v>74</v>
      </c>
      <c r="BQ618" t="s">
        <v>74</v>
      </c>
      <c r="BR618" t="s">
        <v>105</v>
      </c>
      <c r="BS618" t="s">
        <v>12160</v>
      </c>
      <c r="BT618" t="str">
        <f>HYPERLINK("https%3A%2F%2Fwww.webofscience.com%2Fwos%2Fwoscc%2Ffull-record%2FWOS:000417754000002","View Full Record in Web of Science")</f>
        <v>View Full Record in Web of Science</v>
      </c>
    </row>
    <row r="619" spans="1:72" x14ac:dyDescent="0.15">
      <c r="A619" t="s">
        <v>72</v>
      </c>
      <c r="B619" t="s">
        <v>12161</v>
      </c>
      <c r="C619" t="s">
        <v>74</v>
      </c>
      <c r="D619" t="s">
        <v>74</v>
      </c>
      <c r="E619" t="s">
        <v>74</v>
      </c>
      <c r="F619" t="s">
        <v>12162</v>
      </c>
      <c r="G619" t="s">
        <v>74</v>
      </c>
      <c r="H619" t="s">
        <v>74</v>
      </c>
      <c r="I619" t="s">
        <v>12163</v>
      </c>
      <c r="J619" t="s">
        <v>661</v>
      </c>
      <c r="K619" t="s">
        <v>74</v>
      </c>
      <c r="L619" t="s">
        <v>74</v>
      </c>
      <c r="M619" t="s">
        <v>78</v>
      </c>
      <c r="N619" t="s">
        <v>79</v>
      </c>
      <c r="O619" t="s">
        <v>74</v>
      </c>
      <c r="P619" t="s">
        <v>74</v>
      </c>
      <c r="Q619" t="s">
        <v>74</v>
      </c>
      <c r="R619" t="s">
        <v>74</v>
      </c>
      <c r="S619" t="s">
        <v>74</v>
      </c>
      <c r="T619" t="s">
        <v>74</v>
      </c>
      <c r="U619" t="s">
        <v>12164</v>
      </c>
      <c r="V619" t="s">
        <v>12165</v>
      </c>
      <c r="W619" t="s">
        <v>12166</v>
      </c>
      <c r="X619" t="s">
        <v>12167</v>
      </c>
      <c r="Y619" t="s">
        <v>12168</v>
      </c>
      <c r="Z619" t="s">
        <v>12169</v>
      </c>
      <c r="AA619" t="s">
        <v>12170</v>
      </c>
      <c r="AB619" t="s">
        <v>12171</v>
      </c>
      <c r="AC619" t="s">
        <v>12172</v>
      </c>
      <c r="AD619" t="s">
        <v>12173</v>
      </c>
      <c r="AE619" t="s">
        <v>12174</v>
      </c>
      <c r="AF619" t="s">
        <v>74</v>
      </c>
      <c r="AG619">
        <v>33</v>
      </c>
      <c r="AH619">
        <v>18</v>
      </c>
      <c r="AI619">
        <v>23</v>
      </c>
      <c r="AJ619">
        <v>1</v>
      </c>
      <c r="AK619">
        <v>21</v>
      </c>
      <c r="AL619" t="s">
        <v>673</v>
      </c>
      <c r="AM619" t="s">
        <v>92</v>
      </c>
      <c r="AN619" t="s">
        <v>674</v>
      </c>
      <c r="AO619" t="s">
        <v>675</v>
      </c>
      <c r="AP619" t="s">
        <v>74</v>
      </c>
      <c r="AQ619" t="s">
        <v>74</v>
      </c>
      <c r="AR619" t="s">
        <v>676</v>
      </c>
      <c r="AS619" t="s">
        <v>677</v>
      </c>
      <c r="AT619" t="s">
        <v>12157</v>
      </c>
      <c r="AU619">
        <v>2017</v>
      </c>
      <c r="AV619">
        <v>8</v>
      </c>
      <c r="AW619" t="s">
        <v>74</v>
      </c>
      <c r="AX619" t="s">
        <v>74</v>
      </c>
      <c r="AY619" t="s">
        <v>74</v>
      </c>
      <c r="AZ619" t="s">
        <v>74</v>
      </c>
      <c r="BA619" t="s">
        <v>74</v>
      </c>
      <c r="BB619" t="s">
        <v>74</v>
      </c>
      <c r="BC619" t="s">
        <v>74</v>
      </c>
      <c r="BD619">
        <v>1927</v>
      </c>
      <c r="BE619" t="s">
        <v>12175</v>
      </c>
      <c r="BF619" t="str">
        <f>HYPERLINK("http://dx.doi.org/10.1038/s41467-017-01959-6","http://dx.doi.org/10.1038/s41467-017-01959-6")</f>
        <v>http://dx.doi.org/10.1038/s41467-017-01959-6</v>
      </c>
      <c r="BG619" t="s">
        <v>74</v>
      </c>
      <c r="BH619" t="s">
        <v>74</v>
      </c>
      <c r="BI619">
        <v>8</v>
      </c>
      <c r="BJ619" t="s">
        <v>129</v>
      </c>
      <c r="BK619" t="s">
        <v>101</v>
      </c>
      <c r="BL619" t="s">
        <v>130</v>
      </c>
      <c r="BM619" t="s">
        <v>12176</v>
      </c>
      <c r="BN619">
        <v>29233963</v>
      </c>
      <c r="BO619" t="s">
        <v>494</v>
      </c>
      <c r="BP619" t="s">
        <v>74</v>
      </c>
      <c r="BQ619" t="s">
        <v>74</v>
      </c>
      <c r="BR619" t="s">
        <v>105</v>
      </c>
      <c r="BS619" t="s">
        <v>12177</v>
      </c>
      <c r="BT619" t="str">
        <f>HYPERLINK("https%3A%2F%2Fwww.webofscience.com%2Fwos%2Fwoscc%2Ffull-record%2FWOS:000417701100001","View Full Record in Web of Science")</f>
        <v>View Full Record in Web of Science</v>
      </c>
    </row>
    <row r="620" spans="1:72" x14ac:dyDescent="0.15">
      <c r="A620" t="s">
        <v>72</v>
      </c>
      <c r="B620" t="s">
        <v>12178</v>
      </c>
      <c r="C620" t="s">
        <v>74</v>
      </c>
      <c r="D620" t="s">
        <v>74</v>
      </c>
      <c r="E620" t="s">
        <v>74</v>
      </c>
      <c r="F620" t="s">
        <v>12179</v>
      </c>
      <c r="G620" t="s">
        <v>74</v>
      </c>
      <c r="H620" t="s">
        <v>74</v>
      </c>
      <c r="I620" t="s">
        <v>12180</v>
      </c>
      <c r="J620" t="s">
        <v>12181</v>
      </c>
      <c r="K620" t="s">
        <v>74</v>
      </c>
      <c r="L620" t="s">
        <v>74</v>
      </c>
      <c r="M620" t="s">
        <v>78</v>
      </c>
      <c r="N620" t="s">
        <v>79</v>
      </c>
      <c r="O620" t="s">
        <v>74</v>
      </c>
      <c r="P620" t="s">
        <v>74</v>
      </c>
      <c r="Q620" t="s">
        <v>74</v>
      </c>
      <c r="R620" t="s">
        <v>74</v>
      </c>
      <c r="S620" t="s">
        <v>74</v>
      </c>
      <c r="T620" t="s">
        <v>12182</v>
      </c>
      <c r="U620" t="s">
        <v>12183</v>
      </c>
      <c r="V620" t="s">
        <v>12184</v>
      </c>
      <c r="W620" t="s">
        <v>12185</v>
      </c>
      <c r="X620" t="s">
        <v>12186</v>
      </c>
      <c r="Y620" t="s">
        <v>12187</v>
      </c>
      <c r="Z620" t="s">
        <v>12188</v>
      </c>
      <c r="AA620" t="s">
        <v>74</v>
      </c>
      <c r="AB620" t="s">
        <v>12189</v>
      </c>
      <c r="AC620" t="s">
        <v>12190</v>
      </c>
      <c r="AD620" t="s">
        <v>12191</v>
      </c>
      <c r="AE620" t="s">
        <v>12192</v>
      </c>
      <c r="AF620" t="s">
        <v>74</v>
      </c>
      <c r="AG620">
        <v>27</v>
      </c>
      <c r="AH620">
        <v>2</v>
      </c>
      <c r="AI620">
        <v>4</v>
      </c>
      <c r="AJ620">
        <v>0</v>
      </c>
      <c r="AK620">
        <v>2</v>
      </c>
      <c r="AL620" t="s">
        <v>485</v>
      </c>
      <c r="AM620" t="s">
        <v>486</v>
      </c>
      <c r="AN620" t="s">
        <v>604</v>
      </c>
      <c r="AO620" t="s">
        <v>74</v>
      </c>
      <c r="AP620" t="s">
        <v>12193</v>
      </c>
      <c r="AQ620" t="s">
        <v>74</v>
      </c>
      <c r="AR620" t="s">
        <v>12194</v>
      </c>
      <c r="AS620" t="s">
        <v>12195</v>
      </c>
      <c r="AT620" t="s">
        <v>12157</v>
      </c>
      <c r="AU620">
        <v>2017</v>
      </c>
      <c r="AV620">
        <v>5</v>
      </c>
      <c r="AW620" t="s">
        <v>74</v>
      </c>
      <c r="AX620" t="s">
        <v>74</v>
      </c>
      <c r="AY620" t="s">
        <v>74</v>
      </c>
      <c r="AZ620" t="s">
        <v>74</v>
      </c>
      <c r="BA620" t="s">
        <v>74</v>
      </c>
      <c r="BB620" t="s">
        <v>74</v>
      </c>
      <c r="BC620" t="s">
        <v>74</v>
      </c>
      <c r="BD620">
        <v>103</v>
      </c>
      <c r="BE620" t="s">
        <v>12196</v>
      </c>
      <c r="BF620" t="str">
        <f>HYPERLINK("http://dx.doi.org/10.3389/feart.2017.00103","http://dx.doi.org/10.3389/feart.2017.00103")</f>
        <v>http://dx.doi.org/10.3389/feart.2017.00103</v>
      </c>
      <c r="BG620" t="s">
        <v>74</v>
      </c>
      <c r="BH620" t="s">
        <v>74</v>
      </c>
      <c r="BI620">
        <v>9</v>
      </c>
      <c r="BJ620" t="s">
        <v>280</v>
      </c>
      <c r="BK620" t="s">
        <v>101</v>
      </c>
      <c r="BL620" t="s">
        <v>281</v>
      </c>
      <c r="BM620" t="s">
        <v>12197</v>
      </c>
      <c r="BN620" t="s">
        <v>74</v>
      </c>
      <c r="BO620" t="s">
        <v>160</v>
      </c>
      <c r="BP620" t="s">
        <v>74</v>
      </c>
      <c r="BQ620" t="s">
        <v>74</v>
      </c>
      <c r="BR620" t="s">
        <v>105</v>
      </c>
      <c r="BS620" t="s">
        <v>12198</v>
      </c>
      <c r="BT620" t="str">
        <f>HYPERLINK("https%3A%2F%2Fwww.webofscience.com%2Fwos%2Fwoscc%2Ffull-record%2FWOS:000419451100001","View Full Record in Web of Science")</f>
        <v>View Full Record in Web of Science</v>
      </c>
    </row>
    <row r="621" spans="1:72" x14ac:dyDescent="0.15">
      <c r="A621" t="s">
        <v>72</v>
      </c>
      <c r="B621" t="s">
        <v>12199</v>
      </c>
      <c r="C621" t="s">
        <v>74</v>
      </c>
      <c r="D621" t="s">
        <v>74</v>
      </c>
      <c r="E621" t="s">
        <v>74</v>
      </c>
      <c r="F621" t="s">
        <v>12200</v>
      </c>
      <c r="G621" t="s">
        <v>74</v>
      </c>
      <c r="H621" t="s">
        <v>74</v>
      </c>
      <c r="I621" t="s">
        <v>12201</v>
      </c>
      <c r="J621" t="s">
        <v>1730</v>
      </c>
      <c r="K621" t="s">
        <v>74</v>
      </c>
      <c r="L621" t="s">
        <v>74</v>
      </c>
      <c r="M621" t="s">
        <v>78</v>
      </c>
      <c r="N621" t="s">
        <v>79</v>
      </c>
      <c r="O621" t="s">
        <v>74</v>
      </c>
      <c r="P621" t="s">
        <v>74</v>
      </c>
      <c r="Q621" t="s">
        <v>74</v>
      </c>
      <c r="R621" t="s">
        <v>74</v>
      </c>
      <c r="S621" t="s">
        <v>74</v>
      </c>
      <c r="T621" t="s">
        <v>12202</v>
      </c>
      <c r="U621" t="s">
        <v>12203</v>
      </c>
      <c r="V621" t="s">
        <v>12204</v>
      </c>
      <c r="W621" t="s">
        <v>12205</v>
      </c>
      <c r="X621" t="s">
        <v>12206</v>
      </c>
      <c r="Y621" t="s">
        <v>12207</v>
      </c>
      <c r="Z621" t="s">
        <v>12208</v>
      </c>
      <c r="AA621" t="s">
        <v>12209</v>
      </c>
      <c r="AB621" t="s">
        <v>12210</v>
      </c>
      <c r="AC621" t="s">
        <v>12211</v>
      </c>
      <c r="AD621" t="s">
        <v>9306</v>
      </c>
      <c r="AE621" t="s">
        <v>12212</v>
      </c>
      <c r="AF621" t="s">
        <v>74</v>
      </c>
      <c r="AG621">
        <v>57</v>
      </c>
      <c r="AH621">
        <v>51</v>
      </c>
      <c r="AI621">
        <v>54</v>
      </c>
      <c r="AJ621">
        <v>5</v>
      </c>
      <c r="AK621">
        <v>9</v>
      </c>
      <c r="AL621" t="s">
        <v>1743</v>
      </c>
      <c r="AM621" t="s">
        <v>272</v>
      </c>
      <c r="AN621" t="s">
        <v>1744</v>
      </c>
      <c r="AO621" t="s">
        <v>1745</v>
      </c>
      <c r="AP621" t="s">
        <v>74</v>
      </c>
      <c r="AQ621" t="s">
        <v>74</v>
      </c>
      <c r="AR621" t="s">
        <v>1747</v>
      </c>
      <c r="AS621" t="s">
        <v>1748</v>
      </c>
      <c r="AT621" t="s">
        <v>12157</v>
      </c>
      <c r="AU621">
        <v>2017</v>
      </c>
      <c r="AV621">
        <v>114</v>
      </c>
      <c r="AW621">
        <v>50</v>
      </c>
      <c r="AX621" t="s">
        <v>74</v>
      </c>
      <c r="AY621" t="s">
        <v>74</v>
      </c>
      <c r="AZ621" t="s">
        <v>74</v>
      </c>
      <c r="BA621" t="s">
        <v>74</v>
      </c>
      <c r="BB621" t="s">
        <v>12213</v>
      </c>
      <c r="BC621" t="s">
        <v>12214</v>
      </c>
      <c r="BD621" t="s">
        <v>74</v>
      </c>
      <c r="BE621" t="s">
        <v>12215</v>
      </c>
      <c r="BF621" t="str">
        <f>HYPERLINK("http://dx.doi.org/10.1073/pnas.1618819114","http://dx.doi.org/10.1073/pnas.1618819114")</f>
        <v>http://dx.doi.org/10.1073/pnas.1618819114</v>
      </c>
      <c r="BG621" t="s">
        <v>74</v>
      </c>
      <c r="BH621" t="s">
        <v>74</v>
      </c>
      <c r="BI621">
        <v>9</v>
      </c>
      <c r="BJ621" t="s">
        <v>129</v>
      </c>
      <c r="BK621" t="s">
        <v>101</v>
      </c>
      <c r="BL621" t="s">
        <v>130</v>
      </c>
      <c r="BM621" t="s">
        <v>12216</v>
      </c>
      <c r="BN621" t="s">
        <v>74</v>
      </c>
      <c r="BO621" t="s">
        <v>104</v>
      </c>
      <c r="BP621" t="s">
        <v>74</v>
      </c>
      <c r="BQ621" t="s">
        <v>74</v>
      </c>
      <c r="BR621" t="s">
        <v>105</v>
      </c>
      <c r="BS621" t="s">
        <v>12217</v>
      </c>
      <c r="BT621" t="str">
        <f>HYPERLINK("https%3A%2F%2Fwww.webofscience.com%2Fwos%2Fwoscc%2Ffull-record%2FWOS:000417806200028","View Full Record in Web of Science")</f>
        <v>View Full Record in Web of Science</v>
      </c>
    </row>
    <row r="622" spans="1:72" x14ac:dyDescent="0.15">
      <c r="A622" t="s">
        <v>72</v>
      </c>
      <c r="B622" t="s">
        <v>12218</v>
      </c>
      <c r="C622" t="s">
        <v>74</v>
      </c>
      <c r="D622" t="s">
        <v>74</v>
      </c>
      <c r="E622" t="s">
        <v>74</v>
      </c>
      <c r="F622" t="s">
        <v>12219</v>
      </c>
      <c r="G622" t="s">
        <v>74</v>
      </c>
      <c r="H622" t="s">
        <v>74</v>
      </c>
      <c r="I622" t="s">
        <v>12220</v>
      </c>
      <c r="J622" t="s">
        <v>661</v>
      </c>
      <c r="K622" t="s">
        <v>74</v>
      </c>
      <c r="L622" t="s">
        <v>74</v>
      </c>
      <c r="M622" t="s">
        <v>78</v>
      </c>
      <c r="N622" t="s">
        <v>79</v>
      </c>
      <c r="O622" t="s">
        <v>74</v>
      </c>
      <c r="P622" t="s">
        <v>74</v>
      </c>
      <c r="Q622" t="s">
        <v>74</v>
      </c>
      <c r="R622" t="s">
        <v>74</v>
      </c>
      <c r="S622" t="s">
        <v>74</v>
      </c>
      <c r="T622" t="s">
        <v>74</v>
      </c>
      <c r="U622" t="s">
        <v>12221</v>
      </c>
      <c r="V622" t="s">
        <v>12222</v>
      </c>
      <c r="W622" t="s">
        <v>12223</v>
      </c>
      <c r="X622" t="s">
        <v>7287</v>
      </c>
      <c r="Y622" t="s">
        <v>12224</v>
      </c>
      <c r="Z622" t="s">
        <v>12225</v>
      </c>
      <c r="AA622" t="s">
        <v>74</v>
      </c>
      <c r="AB622" t="s">
        <v>74</v>
      </c>
      <c r="AC622" t="s">
        <v>12226</v>
      </c>
      <c r="AD622" t="s">
        <v>12227</v>
      </c>
      <c r="AE622" t="s">
        <v>12228</v>
      </c>
      <c r="AF622" t="s">
        <v>74</v>
      </c>
      <c r="AG622">
        <v>52</v>
      </c>
      <c r="AH622">
        <v>13</v>
      </c>
      <c r="AI622">
        <v>15</v>
      </c>
      <c r="AJ622">
        <v>0</v>
      </c>
      <c r="AK622">
        <v>13</v>
      </c>
      <c r="AL622" t="s">
        <v>673</v>
      </c>
      <c r="AM622" t="s">
        <v>92</v>
      </c>
      <c r="AN622" t="s">
        <v>674</v>
      </c>
      <c r="AO622" t="s">
        <v>675</v>
      </c>
      <c r="AP622" t="s">
        <v>74</v>
      </c>
      <c r="AQ622" t="s">
        <v>74</v>
      </c>
      <c r="AR622" t="s">
        <v>676</v>
      </c>
      <c r="AS622" t="s">
        <v>677</v>
      </c>
      <c r="AT622" t="s">
        <v>12229</v>
      </c>
      <c r="AU622">
        <v>2017</v>
      </c>
      <c r="AV622">
        <v>8</v>
      </c>
      <c r="AW622" t="s">
        <v>74</v>
      </c>
      <c r="AX622" t="s">
        <v>74</v>
      </c>
      <c r="AY622" t="s">
        <v>74</v>
      </c>
      <c r="AZ622" t="s">
        <v>74</v>
      </c>
      <c r="BA622" t="s">
        <v>74</v>
      </c>
      <c r="BB622" t="s">
        <v>74</v>
      </c>
      <c r="BC622" t="s">
        <v>74</v>
      </c>
      <c r="BD622">
        <v>2003</v>
      </c>
      <c r="BE622" t="s">
        <v>12230</v>
      </c>
      <c r="BF622" t="str">
        <f>HYPERLINK("http://dx.doi.org/10.1038/s41467-017-01939-w","http://dx.doi.org/10.1038/s41467-017-01939-w")</f>
        <v>http://dx.doi.org/10.1038/s41467-017-01939-w</v>
      </c>
      <c r="BG622" t="s">
        <v>74</v>
      </c>
      <c r="BH622" t="s">
        <v>74</v>
      </c>
      <c r="BI622">
        <v>7</v>
      </c>
      <c r="BJ622" t="s">
        <v>129</v>
      </c>
      <c r="BK622" t="s">
        <v>101</v>
      </c>
      <c r="BL622" t="s">
        <v>130</v>
      </c>
      <c r="BM622" t="s">
        <v>12231</v>
      </c>
      <c r="BN622">
        <v>29222483</v>
      </c>
      <c r="BO622" t="s">
        <v>494</v>
      </c>
      <c r="BP622" t="s">
        <v>74</v>
      </c>
      <c r="BQ622" t="s">
        <v>74</v>
      </c>
      <c r="BR622" t="s">
        <v>105</v>
      </c>
      <c r="BS622" t="s">
        <v>12232</v>
      </c>
      <c r="BT622" t="str">
        <f>HYPERLINK("https%3A%2F%2Fwww.webofscience.com%2Fwos%2Fwoscc%2Ffull-record%2FWOS:000417467100013","View Full Record in Web of Science")</f>
        <v>View Full Record in Web of Science</v>
      </c>
    </row>
    <row r="623" spans="1:72" x14ac:dyDescent="0.15">
      <c r="A623" t="s">
        <v>72</v>
      </c>
      <c r="B623" t="s">
        <v>12233</v>
      </c>
      <c r="C623" t="s">
        <v>74</v>
      </c>
      <c r="D623" t="s">
        <v>74</v>
      </c>
      <c r="E623" t="s">
        <v>74</v>
      </c>
      <c r="F623" t="s">
        <v>12234</v>
      </c>
      <c r="G623" t="s">
        <v>74</v>
      </c>
      <c r="H623" t="s">
        <v>74</v>
      </c>
      <c r="I623" t="s">
        <v>12235</v>
      </c>
      <c r="J623" t="s">
        <v>137</v>
      </c>
      <c r="K623" t="s">
        <v>74</v>
      </c>
      <c r="L623" t="s">
        <v>74</v>
      </c>
      <c r="M623" t="s">
        <v>78</v>
      </c>
      <c r="N623" t="s">
        <v>79</v>
      </c>
      <c r="O623" t="s">
        <v>74</v>
      </c>
      <c r="P623" t="s">
        <v>74</v>
      </c>
      <c r="Q623" t="s">
        <v>74</v>
      </c>
      <c r="R623" t="s">
        <v>74</v>
      </c>
      <c r="S623" t="s">
        <v>74</v>
      </c>
      <c r="T623" t="s">
        <v>74</v>
      </c>
      <c r="U623" t="s">
        <v>12236</v>
      </c>
      <c r="V623" t="s">
        <v>12237</v>
      </c>
      <c r="W623" t="s">
        <v>12238</v>
      </c>
      <c r="X623" t="s">
        <v>12239</v>
      </c>
      <c r="Y623" t="s">
        <v>12240</v>
      </c>
      <c r="Z623" t="s">
        <v>12241</v>
      </c>
      <c r="AA623" t="s">
        <v>12242</v>
      </c>
      <c r="AB623" t="s">
        <v>12243</v>
      </c>
      <c r="AC623" t="s">
        <v>12244</v>
      </c>
      <c r="AD623" t="s">
        <v>12245</v>
      </c>
      <c r="AE623" t="s">
        <v>12246</v>
      </c>
      <c r="AF623" t="s">
        <v>74</v>
      </c>
      <c r="AG623">
        <v>74</v>
      </c>
      <c r="AH623">
        <v>10</v>
      </c>
      <c r="AI623">
        <v>10</v>
      </c>
      <c r="AJ623">
        <v>2</v>
      </c>
      <c r="AK623">
        <v>30</v>
      </c>
      <c r="AL623" t="s">
        <v>149</v>
      </c>
      <c r="AM623" t="s">
        <v>150</v>
      </c>
      <c r="AN623" t="s">
        <v>151</v>
      </c>
      <c r="AO623" t="s">
        <v>152</v>
      </c>
      <c r="AP623" t="s">
        <v>153</v>
      </c>
      <c r="AQ623" t="s">
        <v>74</v>
      </c>
      <c r="AR623" t="s">
        <v>137</v>
      </c>
      <c r="AS623" t="s">
        <v>154</v>
      </c>
      <c r="AT623" t="s">
        <v>12229</v>
      </c>
      <c r="AU623">
        <v>2017</v>
      </c>
      <c r="AV623">
        <v>14</v>
      </c>
      <c r="AW623">
        <v>23</v>
      </c>
      <c r="AX623" t="s">
        <v>74</v>
      </c>
      <c r="AY623" t="s">
        <v>74</v>
      </c>
      <c r="AZ623" t="s">
        <v>74</v>
      </c>
      <c r="BA623" t="s">
        <v>74</v>
      </c>
      <c r="BB623">
        <v>5571</v>
      </c>
      <c r="BC623">
        <v>5594</v>
      </c>
      <c r="BD623" t="s">
        <v>74</v>
      </c>
      <c r="BE623" t="s">
        <v>12247</v>
      </c>
      <c r="BF623" t="str">
        <f>HYPERLINK("http://dx.doi.org/10.5194/bg-14-5571-2017","http://dx.doi.org/10.5194/bg-14-5571-2017")</f>
        <v>http://dx.doi.org/10.5194/bg-14-5571-2017</v>
      </c>
      <c r="BG623" t="s">
        <v>74</v>
      </c>
      <c r="BH623" t="s">
        <v>74</v>
      </c>
      <c r="BI623">
        <v>24</v>
      </c>
      <c r="BJ623" t="s">
        <v>157</v>
      </c>
      <c r="BK623" t="s">
        <v>101</v>
      </c>
      <c r="BL623" t="s">
        <v>158</v>
      </c>
      <c r="BM623" t="s">
        <v>12248</v>
      </c>
      <c r="BN623" t="s">
        <v>74</v>
      </c>
      <c r="BO623" t="s">
        <v>12249</v>
      </c>
      <c r="BP623" t="s">
        <v>74</v>
      </c>
      <c r="BQ623" t="s">
        <v>74</v>
      </c>
      <c r="BR623" t="s">
        <v>105</v>
      </c>
      <c r="BS623" t="s">
        <v>12250</v>
      </c>
      <c r="BT623" t="str">
        <f>HYPERLINK("https%3A%2F%2Fwww.webofscience.com%2Fwos%2Fwoscc%2Ffull-record%2FWOS:000417471600002","View Full Record in Web of Science")</f>
        <v>View Full Record in Web of Science</v>
      </c>
    </row>
    <row r="624" spans="1:72" x14ac:dyDescent="0.15">
      <c r="A624" t="s">
        <v>72</v>
      </c>
      <c r="B624" t="s">
        <v>12251</v>
      </c>
      <c r="C624" t="s">
        <v>74</v>
      </c>
      <c r="D624" t="s">
        <v>74</v>
      </c>
      <c r="E624" t="s">
        <v>74</v>
      </c>
      <c r="F624" t="s">
        <v>12252</v>
      </c>
      <c r="G624" t="s">
        <v>74</v>
      </c>
      <c r="H624" t="s">
        <v>74</v>
      </c>
      <c r="I624" t="s">
        <v>12253</v>
      </c>
      <c r="J624" t="s">
        <v>499</v>
      </c>
      <c r="K624" t="s">
        <v>74</v>
      </c>
      <c r="L624" t="s">
        <v>74</v>
      </c>
      <c r="M624" t="s">
        <v>78</v>
      </c>
      <c r="N624" t="s">
        <v>79</v>
      </c>
      <c r="O624" t="s">
        <v>74</v>
      </c>
      <c r="P624" t="s">
        <v>74</v>
      </c>
      <c r="Q624" t="s">
        <v>74</v>
      </c>
      <c r="R624" t="s">
        <v>74</v>
      </c>
      <c r="S624" t="s">
        <v>74</v>
      </c>
      <c r="T624" t="s">
        <v>12254</v>
      </c>
      <c r="U624" t="s">
        <v>12255</v>
      </c>
      <c r="V624" t="s">
        <v>12256</v>
      </c>
      <c r="W624" t="s">
        <v>12257</v>
      </c>
      <c r="X624" t="s">
        <v>12258</v>
      </c>
      <c r="Y624" t="s">
        <v>12259</v>
      </c>
      <c r="Z624" t="s">
        <v>12260</v>
      </c>
      <c r="AA624" t="s">
        <v>74</v>
      </c>
      <c r="AB624" t="s">
        <v>12261</v>
      </c>
      <c r="AC624" t="s">
        <v>12262</v>
      </c>
      <c r="AD624" t="s">
        <v>12263</v>
      </c>
      <c r="AE624" t="s">
        <v>12264</v>
      </c>
      <c r="AF624" t="s">
        <v>74</v>
      </c>
      <c r="AG624">
        <v>101</v>
      </c>
      <c r="AH624">
        <v>38</v>
      </c>
      <c r="AI624">
        <v>40</v>
      </c>
      <c r="AJ624">
        <v>2</v>
      </c>
      <c r="AK624">
        <v>42</v>
      </c>
      <c r="AL624" t="s">
        <v>512</v>
      </c>
      <c r="AM624" t="s">
        <v>513</v>
      </c>
      <c r="AN624" t="s">
        <v>514</v>
      </c>
      <c r="AO624" t="s">
        <v>515</v>
      </c>
      <c r="AP624" t="s">
        <v>516</v>
      </c>
      <c r="AQ624" t="s">
        <v>74</v>
      </c>
      <c r="AR624" t="s">
        <v>517</v>
      </c>
      <c r="AS624" t="s">
        <v>518</v>
      </c>
      <c r="AT624" t="s">
        <v>12265</v>
      </c>
      <c r="AU624">
        <v>2017</v>
      </c>
      <c r="AV624">
        <v>584</v>
      </c>
      <c r="AW624" t="s">
        <v>74</v>
      </c>
      <c r="AX624" t="s">
        <v>74</v>
      </c>
      <c r="AY624" t="s">
        <v>74</v>
      </c>
      <c r="AZ624" t="s">
        <v>74</v>
      </c>
      <c r="BA624" t="s">
        <v>74</v>
      </c>
      <c r="BB624">
        <v>45</v>
      </c>
      <c r="BC624">
        <v>65</v>
      </c>
      <c r="BD624" t="s">
        <v>74</v>
      </c>
      <c r="BE624" t="s">
        <v>12266</v>
      </c>
      <c r="BF624" t="str">
        <f>HYPERLINK("http://dx.doi.org/10.3354/meps12347","http://dx.doi.org/10.3354/meps12347")</f>
        <v>http://dx.doi.org/10.3354/meps12347</v>
      </c>
      <c r="BG624" t="s">
        <v>74</v>
      </c>
      <c r="BH624" t="s">
        <v>74</v>
      </c>
      <c r="BI624">
        <v>21</v>
      </c>
      <c r="BJ624" t="s">
        <v>521</v>
      </c>
      <c r="BK624" t="s">
        <v>101</v>
      </c>
      <c r="BL624" t="s">
        <v>522</v>
      </c>
      <c r="BM624" t="s">
        <v>12267</v>
      </c>
      <c r="BN624" t="s">
        <v>74</v>
      </c>
      <c r="BO624" t="s">
        <v>1434</v>
      </c>
      <c r="BP624" t="s">
        <v>74</v>
      </c>
      <c r="BQ624" t="s">
        <v>74</v>
      </c>
      <c r="BR624" t="s">
        <v>105</v>
      </c>
      <c r="BS624" t="s">
        <v>12268</v>
      </c>
      <c r="BT624" t="str">
        <f>HYPERLINK("https%3A%2F%2Fwww.webofscience.com%2Fwos%2Fwoscc%2Ffull-record%2FWOS:000418268900004","View Full Record in Web of Science")</f>
        <v>View Full Record in Web of Science</v>
      </c>
    </row>
    <row r="625" spans="1:72" x14ac:dyDescent="0.15">
      <c r="A625" t="s">
        <v>72</v>
      </c>
      <c r="B625" t="s">
        <v>12269</v>
      </c>
      <c r="C625" t="s">
        <v>74</v>
      </c>
      <c r="D625" t="s">
        <v>74</v>
      </c>
      <c r="E625" t="s">
        <v>74</v>
      </c>
      <c r="F625" t="s">
        <v>12270</v>
      </c>
      <c r="G625" t="s">
        <v>74</v>
      </c>
      <c r="H625" t="s">
        <v>74</v>
      </c>
      <c r="I625" t="s">
        <v>12271</v>
      </c>
      <c r="J625" t="s">
        <v>110</v>
      </c>
      <c r="K625" t="s">
        <v>74</v>
      </c>
      <c r="L625" t="s">
        <v>74</v>
      </c>
      <c r="M625" t="s">
        <v>78</v>
      </c>
      <c r="N625" t="s">
        <v>79</v>
      </c>
      <c r="O625" t="s">
        <v>74</v>
      </c>
      <c r="P625" t="s">
        <v>74</v>
      </c>
      <c r="Q625" t="s">
        <v>74</v>
      </c>
      <c r="R625" t="s">
        <v>74</v>
      </c>
      <c r="S625" t="s">
        <v>74</v>
      </c>
      <c r="T625" t="s">
        <v>74</v>
      </c>
      <c r="U625" t="s">
        <v>12272</v>
      </c>
      <c r="V625" t="s">
        <v>12273</v>
      </c>
      <c r="W625" t="s">
        <v>12274</v>
      </c>
      <c r="X625" t="s">
        <v>12275</v>
      </c>
      <c r="Y625" t="s">
        <v>12276</v>
      </c>
      <c r="Z625" t="s">
        <v>12277</v>
      </c>
      <c r="AA625" t="s">
        <v>12278</v>
      </c>
      <c r="AB625" t="s">
        <v>12279</v>
      </c>
      <c r="AC625" t="s">
        <v>12280</v>
      </c>
      <c r="AD625" t="s">
        <v>12281</v>
      </c>
      <c r="AE625" t="s">
        <v>12282</v>
      </c>
      <c r="AF625" t="s">
        <v>74</v>
      </c>
      <c r="AG625">
        <v>75</v>
      </c>
      <c r="AH625">
        <v>6</v>
      </c>
      <c r="AI625">
        <v>6</v>
      </c>
      <c r="AJ625">
        <v>0</v>
      </c>
      <c r="AK625">
        <v>10</v>
      </c>
      <c r="AL625" t="s">
        <v>122</v>
      </c>
      <c r="AM625" t="s">
        <v>123</v>
      </c>
      <c r="AN625" t="s">
        <v>124</v>
      </c>
      <c r="AO625" t="s">
        <v>125</v>
      </c>
      <c r="AP625" t="s">
        <v>74</v>
      </c>
      <c r="AQ625" t="s">
        <v>74</v>
      </c>
      <c r="AR625" t="s">
        <v>110</v>
      </c>
      <c r="AS625" t="s">
        <v>126</v>
      </c>
      <c r="AT625" t="s">
        <v>12265</v>
      </c>
      <c r="AU625">
        <v>2017</v>
      </c>
      <c r="AV625">
        <v>12</v>
      </c>
      <c r="AW625">
        <v>12</v>
      </c>
      <c r="AX625" t="s">
        <v>74</v>
      </c>
      <c r="AY625" t="s">
        <v>74</v>
      </c>
      <c r="AZ625" t="s">
        <v>74</v>
      </c>
      <c r="BA625" t="s">
        <v>74</v>
      </c>
      <c r="BB625" t="s">
        <v>74</v>
      </c>
      <c r="BC625" t="s">
        <v>74</v>
      </c>
      <c r="BD625" t="s">
        <v>12283</v>
      </c>
      <c r="BE625" t="s">
        <v>12284</v>
      </c>
      <c r="BF625" t="str">
        <f>HYPERLINK("http://dx.doi.org/10.1371/journal.pone.0189181","http://dx.doi.org/10.1371/journal.pone.0189181")</f>
        <v>http://dx.doi.org/10.1371/journal.pone.0189181</v>
      </c>
      <c r="BG625" t="s">
        <v>74</v>
      </c>
      <c r="BH625" t="s">
        <v>74</v>
      </c>
      <c r="BI625">
        <v>20</v>
      </c>
      <c r="BJ625" t="s">
        <v>129</v>
      </c>
      <c r="BK625" t="s">
        <v>101</v>
      </c>
      <c r="BL625" t="s">
        <v>130</v>
      </c>
      <c r="BM625" t="s">
        <v>12285</v>
      </c>
      <c r="BN625" t="s">
        <v>74</v>
      </c>
      <c r="BO625" t="s">
        <v>896</v>
      </c>
      <c r="BP625" t="s">
        <v>74</v>
      </c>
      <c r="BQ625" t="s">
        <v>74</v>
      </c>
      <c r="BR625" t="s">
        <v>105</v>
      </c>
      <c r="BS625" t="s">
        <v>12286</v>
      </c>
      <c r="BT625" t="str">
        <f>HYPERLINK("https%3A%2F%2Fwww.webofscience.com%2Fwos%2Fwoscc%2Ffull-record%2FWOS:000417337800089","View Full Record in Web of Science")</f>
        <v>View Full Record in Web of Science</v>
      </c>
    </row>
    <row r="626" spans="1:72" x14ac:dyDescent="0.15">
      <c r="A626" t="s">
        <v>72</v>
      </c>
      <c r="B626" t="s">
        <v>12287</v>
      </c>
      <c r="C626" t="s">
        <v>74</v>
      </c>
      <c r="D626" t="s">
        <v>74</v>
      </c>
      <c r="E626" t="s">
        <v>74</v>
      </c>
      <c r="F626" t="s">
        <v>12288</v>
      </c>
      <c r="G626" t="s">
        <v>74</v>
      </c>
      <c r="H626" t="s">
        <v>74</v>
      </c>
      <c r="I626" t="s">
        <v>12289</v>
      </c>
      <c r="J626" t="s">
        <v>110</v>
      </c>
      <c r="K626" t="s">
        <v>74</v>
      </c>
      <c r="L626" t="s">
        <v>74</v>
      </c>
      <c r="M626" t="s">
        <v>78</v>
      </c>
      <c r="N626" t="s">
        <v>79</v>
      </c>
      <c r="O626" t="s">
        <v>74</v>
      </c>
      <c r="P626" t="s">
        <v>74</v>
      </c>
      <c r="Q626" t="s">
        <v>74</v>
      </c>
      <c r="R626" t="s">
        <v>74</v>
      </c>
      <c r="S626" t="s">
        <v>74</v>
      </c>
      <c r="T626" t="s">
        <v>74</v>
      </c>
      <c r="U626" t="s">
        <v>12290</v>
      </c>
      <c r="V626" t="s">
        <v>12291</v>
      </c>
      <c r="W626" t="s">
        <v>12292</v>
      </c>
      <c r="X626" t="s">
        <v>12293</v>
      </c>
      <c r="Y626" t="s">
        <v>12294</v>
      </c>
      <c r="Z626" t="s">
        <v>12295</v>
      </c>
      <c r="AA626" t="s">
        <v>12296</v>
      </c>
      <c r="AB626" t="s">
        <v>12297</v>
      </c>
      <c r="AC626" t="s">
        <v>12298</v>
      </c>
      <c r="AD626" t="s">
        <v>12299</v>
      </c>
      <c r="AE626" t="s">
        <v>12300</v>
      </c>
      <c r="AF626" t="s">
        <v>74</v>
      </c>
      <c r="AG626">
        <v>87</v>
      </c>
      <c r="AH626">
        <v>11</v>
      </c>
      <c r="AI626">
        <v>11</v>
      </c>
      <c r="AJ626">
        <v>0</v>
      </c>
      <c r="AK626">
        <v>17</v>
      </c>
      <c r="AL626" t="s">
        <v>122</v>
      </c>
      <c r="AM626" t="s">
        <v>123</v>
      </c>
      <c r="AN626" t="s">
        <v>124</v>
      </c>
      <c r="AO626" t="s">
        <v>125</v>
      </c>
      <c r="AP626" t="s">
        <v>74</v>
      </c>
      <c r="AQ626" t="s">
        <v>74</v>
      </c>
      <c r="AR626" t="s">
        <v>110</v>
      </c>
      <c r="AS626" t="s">
        <v>126</v>
      </c>
      <c r="AT626" t="s">
        <v>12265</v>
      </c>
      <c r="AU626">
        <v>2017</v>
      </c>
      <c r="AV626">
        <v>12</v>
      </c>
      <c r="AW626">
        <v>12</v>
      </c>
      <c r="AX626" t="s">
        <v>74</v>
      </c>
      <c r="AY626" t="s">
        <v>74</v>
      </c>
      <c r="AZ626" t="s">
        <v>74</v>
      </c>
      <c r="BA626" t="s">
        <v>74</v>
      </c>
      <c r="BB626" t="s">
        <v>74</v>
      </c>
      <c r="BC626" t="s">
        <v>74</v>
      </c>
      <c r="BD626" t="s">
        <v>12301</v>
      </c>
      <c r="BE626" t="s">
        <v>12302</v>
      </c>
      <c r="BF626" t="str">
        <f>HYPERLINK("http://dx.doi.org/10.1371/journal.pone.0188515","http://dx.doi.org/10.1371/journal.pone.0188515")</f>
        <v>http://dx.doi.org/10.1371/journal.pone.0188515</v>
      </c>
      <c r="BG626" t="s">
        <v>74</v>
      </c>
      <c r="BH626" t="s">
        <v>74</v>
      </c>
      <c r="BI626">
        <v>21</v>
      </c>
      <c r="BJ626" t="s">
        <v>129</v>
      </c>
      <c r="BK626" t="s">
        <v>101</v>
      </c>
      <c r="BL626" t="s">
        <v>130</v>
      </c>
      <c r="BM626" t="s">
        <v>12285</v>
      </c>
      <c r="BN626">
        <v>29216194</v>
      </c>
      <c r="BO626" t="s">
        <v>896</v>
      </c>
      <c r="BP626" t="s">
        <v>74</v>
      </c>
      <c r="BQ626" t="s">
        <v>74</v>
      </c>
      <c r="BR626" t="s">
        <v>105</v>
      </c>
      <c r="BS626" t="s">
        <v>12303</v>
      </c>
      <c r="BT626" t="str">
        <f>HYPERLINK("https%3A%2F%2Fwww.webofscience.com%2Fwos%2Fwoscc%2Ffull-record%2FWOS:000417337800029","View Full Record in Web of Science")</f>
        <v>View Full Record in Web of Science</v>
      </c>
    </row>
    <row r="627" spans="1:72" x14ac:dyDescent="0.15">
      <c r="A627" t="s">
        <v>72</v>
      </c>
      <c r="B627" t="s">
        <v>12304</v>
      </c>
      <c r="C627" t="s">
        <v>74</v>
      </c>
      <c r="D627" t="s">
        <v>74</v>
      </c>
      <c r="E627" t="s">
        <v>74</v>
      </c>
      <c r="F627" t="s">
        <v>12305</v>
      </c>
      <c r="G627" t="s">
        <v>74</v>
      </c>
      <c r="H627" t="s">
        <v>74</v>
      </c>
      <c r="I627" t="s">
        <v>12306</v>
      </c>
      <c r="J627" t="s">
        <v>11642</v>
      </c>
      <c r="K627" t="s">
        <v>74</v>
      </c>
      <c r="L627" t="s">
        <v>74</v>
      </c>
      <c r="M627" t="s">
        <v>78</v>
      </c>
      <c r="N627" t="s">
        <v>79</v>
      </c>
      <c r="O627" t="s">
        <v>74</v>
      </c>
      <c r="P627" t="s">
        <v>74</v>
      </c>
      <c r="Q627" t="s">
        <v>74</v>
      </c>
      <c r="R627" t="s">
        <v>74</v>
      </c>
      <c r="S627" t="s">
        <v>74</v>
      </c>
      <c r="T627" t="s">
        <v>74</v>
      </c>
      <c r="U627" t="s">
        <v>12307</v>
      </c>
      <c r="V627" t="s">
        <v>12308</v>
      </c>
      <c r="W627" t="s">
        <v>12309</v>
      </c>
      <c r="X627" t="s">
        <v>12310</v>
      </c>
      <c r="Y627" t="s">
        <v>12311</v>
      </c>
      <c r="Z627" t="s">
        <v>12312</v>
      </c>
      <c r="AA627" t="s">
        <v>12313</v>
      </c>
      <c r="AB627" t="s">
        <v>12314</v>
      </c>
      <c r="AC627" t="s">
        <v>12315</v>
      </c>
      <c r="AD627" t="s">
        <v>12316</v>
      </c>
      <c r="AE627" t="s">
        <v>12317</v>
      </c>
      <c r="AF627" t="s">
        <v>74</v>
      </c>
      <c r="AG627">
        <v>58</v>
      </c>
      <c r="AH627">
        <v>25</v>
      </c>
      <c r="AI627">
        <v>26</v>
      </c>
      <c r="AJ627">
        <v>1</v>
      </c>
      <c r="AK627">
        <v>6</v>
      </c>
      <c r="AL627" t="s">
        <v>892</v>
      </c>
      <c r="AM627" t="s">
        <v>698</v>
      </c>
      <c r="AN627" t="s">
        <v>699</v>
      </c>
      <c r="AO627" t="s">
        <v>11654</v>
      </c>
      <c r="AP627" t="s">
        <v>74</v>
      </c>
      <c r="AQ627" t="s">
        <v>74</v>
      </c>
      <c r="AR627" t="s">
        <v>11655</v>
      </c>
      <c r="AS627" t="s">
        <v>11656</v>
      </c>
      <c r="AT627" t="s">
        <v>12318</v>
      </c>
      <c r="AU627">
        <v>2017</v>
      </c>
      <c r="AV627">
        <v>7</v>
      </c>
      <c r="AW627" t="s">
        <v>74</v>
      </c>
      <c r="AX627" t="s">
        <v>74</v>
      </c>
      <c r="AY627" t="s">
        <v>74</v>
      </c>
      <c r="AZ627" t="s">
        <v>74</v>
      </c>
      <c r="BA627" t="s">
        <v>74</v>
      </c>
      <c r="BB627" t="s">
        <v>74</v>
      </c>
      <c r="BC627" t="s">
        <v>74</v>
      </c>
      <c r="BD627">
        <v>17076</v>
      </c>
      <c r="BE627" t="s">
        <v>12319</v>
      </c>
      <c r="BF627" t="str">
        <f>HYPERLINK("http://dx.doi.org/10.1038/s41598-017-17292-3","http://dx.doi.org/10.1038/s41598-017-17292-3")</f>
        <v>http://dx.doi.org/10.1038/s41598-017-17292-3</v>
      </c>
      <c r="BG627" t="s">
        <v>74</v>
      </c>
      <c r="BH627" t="s">
        <v>74</v>
      </c>
      <c r="BI627">
        <v>10</v>
      </c>
      <c r="BJ627" t="s">
        <v>129</v>
      </c>
      <c r="BK627" t="s">
        <v>101</v>
      </c>
      <c r="BL627" t="s">
        <v>130</v>
      </c>
      <c r="BM627" t="s">
        <v>12320</v>
      </c>
      <c r="BN627">
        <v>29213120</v>
      </c>
      <c r="BO627" t="s">
        <v>896</v>
      </c>
      <c r="BP627" t="s">
        <v>74</v>
      </c>
      <c r="BQ627" t="s">
        <v>74</v>
      </c>
      <c r="BR627" t="s">
        <v>105</v>
      </c>
      <c r="BS627" t="s">
        <v>12321</v>
      </c>
      <c r="BT627" t="str">
        <f>HYPERLINK("https%3A%2F%2Fwww.webofscience.com%2Fwos%2Fwoscc%2Ffull-record%2FWOS:000417135800015","View Full Record in Web of Science")</f>
        <v>View Full Record in Web of Science</v>
      </c>
    </row>
    <row r="628" spans="1:72" x14ac:dyDescent="0.15">
      <c r="A628" t="s">
        <v>72</v>
      </c>
      <c r="B628" t="s">
        <v>12322</v>
      </c>
      <c r="C628" t="s">
        <v>74</v>
      </c>
      <c r="D628" t="s">
        <v>74</v>
      </c>
      <c r="E628" t="s">
        <v>74</v>
      </c>
      <c r="F628" t="s">
        <v>12323</v>
      </c>
      <c r="G628" t="s">
        <v>74</v>
      </c>
      <c r="H628" t="s">
        <v>74</v>
      </c>
      <c r="I628" t="s">
        <v>12324</v>
      </c>
      <c r="J628" t="s">
        <v>1216</v>
      </c>
      <c r="K628" t="s">
        <v>74</v>
      </c>
      <c r="L628" t="s">
        <v>74</v>
      </c>
      <c r="M628" t="s">
        <v>78</v>
      </c>
      <c r="N628" t="s">
        <v>79</v>
      </c>
      <c r="O628" t="s">
        <v>74</v>
      </c>
      <c r="P628" t="s">
        <v>74</v>
      </c>
      <c r="Q628" t="s">
        <v>74</v>
      </c>
      <c r="R628" t="s">
        <v>74</v>
      </c>
      <c r="S628" t="s">
        <v>74</v>
      </c>
      <c r="T628" t="s">
        <v>12325</v>
      </c>
      <c r="U628" t="s">
        <v>12326</v>
      </c>
      <c r="V628" t="s">
        <v>12327</v>
      </c>
      <c r="W628" t="s">
        <v>12328</v>
      </c>
      <c r="X628" t="s">
        <v>12329</v>
      </c>
      <c r="Y628" t="s">
        <v>12330</v>
      </c>
      <c r="Z628" t="s">
        <v>12331</v>
      </c>
      <c r="AA628" t="s">
        <v>12332</v>
      </c>
      <c r="AB628" t="s">
        <v>12333</v>
      </c>
      <c r="AC628" t="s">
        <v>12334</v>
      </c>
      <c r="AD628" t="s">
        <v>12335</v>
      </c>
      <c r="AE628" t="s">
        <v>12336</v>
      </c>
      <c r="AF628" t="s">
        <v>74</v>
      </c>
      <c r="AG628">
        <v>50</v>
      </c>
      <c r="AH628">
        <v>11</v>
      </c>
      <c r="AI628">
        <v>12</v>
      </c>
      <c r="AJ628">
        <v>1</v>
      </c>
      <c r="AK628">
        <v>17</v>
      </c>
      <c r="AL628" t="s">
        <v>807</v>
      </c>
      <c r="AM628" t="s">
        <v>808</v>
      </c>
      <c r="AN628" t="s">
        <v>809</v>
      </c>
      <c r="AO628" t="s">
        <v>1228</v>
      </c>
      <c r="AP628" t="s">
        <v>1229</v>
      </c>
      <c r="AQ628" t="s">
        <v>74</v>
      </c>
      <c r="AR628" t="s">
        <v>1230</v>
      </c>
      <c r="AS628" t="s">
        <v>1231</v>
      </c>
      <c r="AT628" t="s">
        <v>12337</v>
      </c>
      <c r="AU628">
        <v>2017</v>
      </c>
      <c r="AV628">
        <v>480</v>
      </c>
      <c r="AW628" t="s">
        <v>74</v>
      </c>
      <c r="AX628" t="s">
        <v>74</v>
      </c>
      <c r="AY628" t="s">
        <v>74</v>
      </c>
      <c r="AZ628" t="s">
        <v>74</v>
      </c>
      <c r="BA628" t="s">
        <v>74</v>
      </c>
      <c r="BB628">
        <v>75</v>
      </c>
      <c r="BC628">
        <v>86</v>
      </c>
      <c r="BD628" t="s">
        <v>74</v>
      </c>
      <c r="BE628" t="s">
        <v>12338</v>
      </c>
      <c r="BF628" t="str">
        <f>HYPERLINK("http://dx.doi.org/10.1016/j.epsl.2017.09.014","http://dx.doi.org/10.1016/j.epsl.2017.09.014")</f>
        <v>http://dx.doi.org/10.1016/j.epsl.2017.09.014</v>
      </c>
      <c r="BG628" t="s">
        <v>74</v>
      </c>
      <c r="BH628" t="s">
        <v>74</v>
      </c>
      <c r="BI628">
        <v>12</v>
      </c>
      <c r="BJ628" t="s">
        <v>1148</v>
      </c>
      <c r="BK628" t="s">
        <v>101</v>
      </c>
      <c r="BL628" t="s">
        <v>1148</v>
      </c>
      <c r="BM628" t="s">
        <v>12339</v>
      </c>
      <c r="BN628" t="s">
        <v>74</v>
      </c>
      <c r="BO628" t="s">
        <v>389</v>
      </c>
      <c r="BP628" t="s">
        <v>74</v>
      </c>
      <c r="BQ628" t="s">
        <v>74</v>
      </c>
      <c r="BR628" t="s">
        <v>105</v>
      </c>
      <c r="BS628" t="s">
        <v>12340</v>
      </c>
      <c r="BT628" t="str">
        <f>HYPERLINK("https%3A%2F%2Fwww.webofscience.com%2Fwos%2Fwoscc%2Ffull-record%2FWOS:000416881200008","View Full Record in Web of Science")</f>
        <v>View Full Record in Web of Science</v>
      </c>
    </row>
    <row r="629" spans="1:72" x14ac:dyDescent="0.15">
      <c r="A629" t="s">
        <v>72</v>
      </c>
      <c r="B629" t="s">
        <v>12341</v>
      </c>
      <c r="C629" t="s">
        <v>74</v>
      </c>
      <c r="D629" t="s">
        <v>74</v>
      </c>
      <c r="E629" t="s">
        <v>74</v>
      </c>
      <c r="F629" t="s">
        <v>12342</v>
      </c>
      <c r="G629" t="s">
        <v>74</v>
      </c>
      <c r="H629" t="s">
        <v>74</v>
      </c>
      <c r="I629" t="s">
        <v>12343</v>
      </c>
      <c r="J629" t="s">
        <v>217</v>
      </c>
      <c r="K629" t="s">
        <v>74</v>
      </c>
      <c r="L629" t="s">
        <v>74</v>
      </c>
      <c r="M629" t="s">
        <v>78</v>
      </c>
      <c r="N629" t="s">
        <v>79</v>
      </c>
      <c r="O629" t="s">
        <v>74</v>
      </c>
      <c r="P629" t="s">
        <v>74</v>
      </c>
      <c r="Q629" t="s">
        <v>74</v>
      </c>
      <c r="R629" t="s">
        <v>74</v>
      </c>
      <c r="S629" t="s">
        <v>74</v>
      </c>
      <c r="T629" t="s">
        <v>74</v>
      </c>
      <c r="U629" t="s">
        <v>12344</v>
      </c>
      <c r="V629" t="s">
        <v>12345</v>
      </c>
      <c r="W629" t="s">
        <v>12346</v>
      </c>
      <c r="X629" t="s">
        <v>12347</v>
      </c>
      <c r="Y629" t="s">
        <v>12348</v>
      </c>
      <c r="Z629" t="s">
        <v>12349</v>
      </c>
      <c r="AA629" t="s">
        <v>12350</v>
      </c>
      <c r="AB629" t="s">
        <v>12351</v>
      </c>
      <c r="AC629" t="s">
        <v>12352</v>
      </c>
      <c r="AD629" t="s">
        <v>12353</v>
      </c>
      <c r="AE629" t="s">
        <v>12354</v>
      </c>
      <c r="AF629" t="s">
        <v>74</v>
      </c>
      <c r="AG629">
        <v>67</v>
      </c>
      <c r="AH629">
        <v>19</v>
      </c>
      <c r="AI629">
        <v>21</v>
      </c>
      <c r="AJ629">
        <v>2</v>
      </c>
      <c r="AK629">
        <v>9</v>
      </c>
      <c r="AL629" t="s">
        <v>149</v>
      </c>
      <c r="AM629" t="s">
        <v>150</v>
      </c>
      <c r="AN629" t="s">
        <v>151</v>
      </c>
      <c r="AO629" t="s">
        <v>229</v>
      </c>
      <c r="AP629" t="s">
        <v>230</v>
      </c>
      <c r="AQ629" t="s">
        <v>74</v>
      </c>
      <c r="AR629" t="s">
        <v>217</v>
      </c>
      <c r="AS629" t="s">
        <v>231</v>
      </c>
      <c r="AT629" t="s">
        <v>12337</v>
      </c>
      <c r="AU629">
        <v>2017</v>
      </c>
      <c r="AV629">
        <v>11</v>
      </c>
      <c r="AW629">
        <v>6</v>
      </c>
      <c r="AX629" t="s">
        <v>74</v>
      </c>
      <c r="AY629" t="s">
        <v>74</v>
      </c>
      <c r="AZ629" t="s">
        <v>74</v>
      </c>
      <c r="BA629" t="s">
        <v>74</v>
      </c>
      <c r="BB629">
        <v>2743</v>
      </c>
      <c r="BC629">
        <v>2753</v>
      </c>
      <c r="BD629" t="s">
        <v>74</v>
      </c>
      <c r="BE629" t="s">
        <v>12355</v>
      </c>
      <c r="BF629" t="str">
        <f>HYPERLINK("http://dx.doi.org/10.5194/tc-11-2743-2017","http://dx.doi.org/10.5194/tc-11-2743-2017")</f>
        <v>http://dx.doi.org/10.5194/tc-11-2743-2017</v>
      </c>
      <c r="BG629" t="s">
        <v>74</v>
      </c>
      <c r="BH629" t="s">
        <v>74</v>
      </c>
      <c r="BI629">
        <v>11</v>
      </c>
      <c r="BJ629" t="s">
        <v>233</v>
      </c>
      <c r="BK629" t="s">
        <v>101</v>
      </c>
      <c r="BL629" t="s">
        <v>234</v>
      </c>
      <c r="BM629" t="s">
        <v>12356</v>
      </c>
      <c r="BN629" t="s">
        <v>74</v>
      </c>
      <c r="BO629" t="s">
        <v>876</v>
      </c>
      <c r="BP629" t="s">
        <v>74</v>
      </c>
      <c r="BQ629" t="s">
        <v>74</v>
      </c>
      <c r="BR629" t="s">
        <v>105</v>
      </c>
      <c r="BS629" t="s">
        <v>12357</v>
      </c>
      <c r="BT629" t="str">
        <f>HYPERLINK("https%3A%2F%2Fwww.webofscience.com%2Fwos%2Fwoscc%2Ffull-record%2FWOS:000417066300001","View Full Record in Web of Science")</f>
        <v>View Full Record in Web of Science</v>
      </c>
    </row>
    <row r="630" spans="1:72" x14ac:dyDescent="0.15">
      <c r="A630" t="s">
        <v>72</v>
      </c>
      <c r="B630" t="s">
        <v>12358</v>
      </c>
      <c r="C630" t="s">
        <v>74</v>
      </c>
      <c r="D630" t="s">
        <v>74</v>
      </c>
      <c r="E630" t="s">
        <v>74</v>
      </c>
      <c r="F630" t="s">
        <v>12359</v>
      </c>
      <c r="G630" t="s">
        <v>74</v>
      </c>
      <c r="H630" t="s">
        <v>74</v>
      </c>
      <c r="I630" t="s">
        <v>12360</v>
      </c>
      <c r="J630" t="s">
        <v>217</v>
      </c>
      <c r="K630" t="s">
        <v>74</v>
      </c>
      <c r="L630" t="s">
        <v>74</v>
      </c>
      <c r="M630" t="s">
        <v>78</v>
      </c>
      <c r="N630" t="s">
        <v>79</v>
      </c>
      <c r="O630" t="s">
        <v>74</v>
      </c>
      <c r="P630" t="s">
        <v>74</v>
      </c>
      <c r="Q630" t="s">
        <v>74</v>
      </c>
      <c r="R630" t="s">
        <v>74</v>
      </c>
      <c r="S630" t="s">
        <v>74</v>
      </c>
      <c r="T630" t="s">
        <v>74</v>
      </c>
      <c r="U630" t="s">
        <v>12361</v>
      </c>
      <c r="V630" t="s">
        <v>12362</v>
      </c>
      <c r="W630" t="s">
        <v>12363</v>
      </c>
      <c r="X630" t="s">
        <v>12364</v>
      </c>
      <c r="Y630" t="s">
        <v>12365</v>
      </c>
      <c r="Z630" t="s">
        <v>12366</v>
      </c>
      <c r="AA630" t="s">
        <v>12367</v>
      </c>
      <c r="AB630" t="s">
        <v>12368</v>
      </c>
      <c r="AC630" t="s">
        <v>12369</v>
      </c>
      <c r="AD630" t="s">
        <v>12370</v>
      </c>
      <c r="AE630" t="s">
        <v>12371</v>
      </c>
      <c r="AF630" t="s">
        <v>74</v>
      </c>
      <c r="AG630">
        <v>88</v>
      </c>
      <c r="AH630">
        <v>30</v>
      </c>
      <c r="AI630">
        <v>36</v>
      </c>
      <c r="AJ630">
        <v>2</v>
      </c>
      <c r="AK630">
        <v>15</v>
      </c>
      <c r="AL630" t="s">
        <v>149</v>
      </c>
      <c r="AM630" t="s">
        <v>150</v>
      </c>
      <c r="AN630" t="s">
        <v>151</v>
      </c>
      <c r="AO630" t="s">
        <v>229</v>
      </c>
      <c r="AP630" t="s">
        <v>230</v>
      </c>
      <c r="AQ630" t="s">
        <v>74</v>
      </c>
      <c r="AR630" t="s">
        <v>217</v>
      </c>
      <c r="AS630" t="s">
        <v>231</v>
      </c>
      <c r="AT630" t="s">
        <v>12337</v>
      </c>
      <c r="AU630">
        <v>2017</v>
      </c>
      <c r="AV630">
        <v>11</v>
      </c>
      <c r="AW630">
        <v>6</v>
      </c>
      <c r="AX630" t="s">
        <v>74</v>
      </c>
      <c r="AY630" t="s">
        <v>74</v>
      </c>
      <c r="AZ630" t="s">
        <v>74</v>
      </c>
      <c r="BA630" t="s">
        <v>74</v>
      </c>
      <c r="BB630">
        <v>2755</v>
      </c>
      <c r="BC630">
        <v>2772</v>
      </c>
      <c r="BD630" t="s">
        <v>74</v>
      </c>
      <c r="BE630" t="s">
        <v>12372</v>
      </c>
      <c r="BF630" t="str">
        <f>HYPERLINK("http://dx.doi.org/10.5194/tc-11-2755-2017","http://dx.doi.org/10.5194/tc-11-2755-2017")</f>
        <v>http://dx.doi.org/10.5194/tc-11-2755-2017</v>
      </c>
      <c r="BG630" t="s">
        <v>74</v>
      </c>
      <c r="BH630" t="s">
        <v>74</v>
      </c>
      <c r="BI630">
        <v>18</v>
      </c>
      <c r="BJ630" t="s">
        <v>233</v>
      </c>
      <c r="BK630" t="s">
        <v>101</v>
      </c>
      <c r="BL630" t="s">
        <v>234</v>
      </c>
      <c r="BM630" t="s">
        <v>12356</v>
      </c>
      <c r="BN630" t="s">
        <v>74</v>
      </c>
      <c r="BO630" t="s">
        <v>12373</v>
      </c>
      <c r="BP630" t="s">
        <v>74</v>
      </c>
      <c r="BQ630" t="s">
        <v>74</v>
      </c>
      <c r="BR630" t="s">
        <v>105</v>
      </c>
      <c r="BS630" t="s">
        <v>12374</v>
      </c>
      <c r="BT630" t="str">
        <f>HYPERLINK("https%3A%2F%2Fwww.webofscience.com%2Fwos%2Fwoscc%2Ffull-record%2FWOS:000417066300002","View Full Record in Web of Science")</f>
        <v>View Full Record in Web of Science</v>
      </c>
    </row>
    <row r="631" spans="1:72" x14ac:dyDescent="0.15">
      <c r="A631" t="s">
        <v>72</v>
      </c>
      <c r="B631" t="s">
        <v>12375</v>
      </c>
      <c r="C631" t="s">
        <v>74</v>
      </c>
      <c r="D631" t="s">
        <v>74</v>
      </c>
      <c r="E631" t="s">
        <v>74</v>
      </c>
      <c r="F631" t="s">
        <v>12376</v>
      </c>
      <c r="G631" t="s">
        <v>74</v>
      </c>
      <c r="H631" t="s">
        <v>74</v>
      </c>
      <c r="I631" t="s">
        <v>12377</v>
      </c>
      <c r="J631" t="s">
        <v>12378</v>
      </c>
      <c r="K631" t="s">
        <v>74</v>
      </c>
      <c r="L631" t="s">
        <v>74</v>
      </c>
      <c r="M631" t="s">
        <v>78</v>
      </c>
      <c r="N631" t="s">
        <v>79</v>
      </c>
      <c r="O631" t="s">
        <v>74</v>
      </c>
      <c r="P631" t="s">
        <v>74</v>
      </c>
      <c r="Q631" t="s">
        <v>74</v>
      </c>
      <c r="R631" t="s">
        <v>74</v>
      </c>
      <c r="S631" t="s">
        <v>74</v>
      </c>
      <c r="T631" t="s">
        <v>74</v>
      </c>
      <c r="U631" t="s">
        <v>12379</v>
      </c>
      <c r="V631" t="s">
        <v>12380</v>
      </c>
      <c r="W631" t="s">
        <v>12381</v>
      </c>
      <c r="X631" t="s">
        <v>12382</v>
      </c>
      <c r="Y631" t="s">
        <v>12383</v>
      </c>
      <c r="Z631" t="s">
        <v>12384</v>
      </c>
      <c r="AA631" t="s">
        <v>12385</v>
      </c>
      <c r="AB631" t="s">
        <v>12386</v>
      </c>
      <c r="AC631" t="s">
        <v>12387</v>
      </c>
      <c r="AD631" t="s">
        <v>12388</v>
      </c>
      <c r="AE631" t="s">
        <v>12389</v>
      </c>
      <c r="AF631" t="s">
        <v>74</v>
      </c>
      <c r="AG631">
        <v>62</v>
      </c>
      <c r="AH631">
        <v>35</v>
      </c>
      <c r="AI631">
        <v>37</v>
      </c>
      <c r="AJ631">
        <v>5</v>
      </c>
      <c r="AK631">
        <v>101</v>
      </c>
      <c r="AL631" t="s">
        <v>9024</v>
      </c>
      <c r="AM631" t="s">
        <v>272</v>
      </c>
      <c r="AN631" t="s">
        <v>9025</v>
      </c>
      <c r="AO631" t="s">
        <v>12390</v>
      </c>
      <c r="AP631" t="s">
        <v>12391</v>
      </c>
      <c r="AQ631" t="s">
        <v>74</v>
      </c>
      <c r="AR631" t="s">
        <v>12392</v>
      </c>
      <c r="AS631" t="s">
        <v>12393</v>
      </c>
      <c r="AT631" t="s">
        <v>12337</v>
      </c>
      <c r="AU631">
        <v>2017</v>
      </c>
      <c r="AV631">
        <v>51</v>
      </c>
      <c r="AW631">
        <v>23</v>
      </c>
      <c r="AX631" t="s">
        <v>74</v>
      </c>
      <c r="AY631" t="s">
        <v>74</v>
      </c>
      <c r="AZ631" t="s">
        <v>74</v>
      </c>
      <c r="BA631" t="s">
        <v>74</v>
      </c>
      <c r="BB631">
        <v>13929</v>
      </c>
      <c r="BC631">
        <v>13937</v>
      </c>
      <c r="BD631" t="s">
        <v>74</v>
      </c>
      <c r="BE631" t="s">
        <v>12394</v>
      </c>
      <c r="BF631" t="str">
        <f>HYPERLINK("http://dx.doi.org/10.1021/acs.est.7b04224","http://dx.doi.org/10.1021/acs.est.7b04224")</f>
        <v>http://dx.doi.org/10.1021/acs.est.7b04224</v>
      </c>
      <c r="BG631" t="s">
        <v>74</v>
      </c>
      <c r="BH631" t="s">
        <v>74</v>
      </c>
      <c r="BI631">
        <v>9</v>
      </c>
      <c r="BJ631" t="s">
        <v>4799</v>
      </c>
      <c r="BK631" t="s">
        <v>101</v>
      </c>
      <c r="BL631" t="s">
        <v>2206</v>
      </c>
      <c r="BM631" t="s">
        <v>12395</v>
      </c>
      <c r="BN631">
        <v>29120176</v>
      </c>
      <c r="BO631" t="s">
        <v>74</v>
      </c>
      <c r="BP631" t="s">
        <v>74</v>
      </c>
      <c r="BQ631" t="s">
        <v>74</v>
      </c>
      <c r="BR631" t="s">
        <v>105</v>
      </c>
      <c r="BS631" t="s">
        <v>12396</v>
      </c>
      <c r="BT631" t="str">
        <f>HYPERLINK("https%3A%2F%2Fwww.webofscience.com%2Fwos%2Fwoscc%2Ffull-record%2FWOS:000417549500045","View Full Record in Web of Science")</f>
        <v>View Full Record in Web of Science</v>
      </c>
    </row>
    <row r="632" spans="1:72" x14ac:dyDescent="0.15">
      <c r="A632" t="s">
        <v>72</v>
      </c>
      <c r="B632" t="s">
        <v>12397</v>
      </c>
      <c r="C632" t="s">
        <v>74</v>
      </c>
      <c r="D632" t="s">
        <v>74</v>
      </c>
      <c r="E632" t="s">
        <v>74</v>
      </c>
      <c r="F632" t="s">
        <v>12398</v>
      </c>
      <c r="G632" t="s">
        <v>74</v>
      </c>
      <c r="H632" t="s">
        <v>74</v>
      </c>
      <c r="I632" t="s">
        <v>12399</v>
      </c>
      <c r="J632" t="s">
        <v>12400</v>
      </c>
      <c r="K632" t="s">
        <v>74</v>
      </c>
      <c r="L632" t="s">
        <v>74</v>
      </c>
      <c r="M632" t="s">
        <v>78</v>
      </c>
      <c r="N632" t="s">
        <v>79</v>
      </c>
      <c r="O632" t="s">
        <v>74</v>
      </c>
      <c r="P632" t="s">
        <v>74</v>
      </c>
      <c r="Q632" t="s">
        <v>74</v>
      </c>
      <c r="R632" t="s">
        <v>74</v>
      </c>
      <c r="S632" t="s">
        <v>74</v>
      </c>
      <c r="T632" t="s">
        <v>74</v>
      </c>
      <c r="U632" t="s">
        <v>12401</v>
      </c>
      <c r="V632" t="s">
        <v>12402</v>
      </c>
      <c r="W632" t="s">
        <v>12403</v>
      </c>
      <c r="X632" t="s">
        <v>12404</v>
      </c>
      <c r="Y632" t="s">
        <v>12405</v>
      </c>
      <c r="Z632" t="s">
        <v>12406</v>
      </c>
      <c r="AA632" t="s">
        <v>12407</v>
      </c>
      <c r="AB632" t="s">
        <v>12408</v>
      </c>
      <c r="AC632" t="s">
        <v>12409</v>
      </c>
      <c r="AD632" t="s">
        <v>12410</v>
      </c>
      <c r="AE632" t="s">
        <v>12411</v>
      </c>
      <c r="AF632" t="s">
        <v>74</v>
      </c>
      <c r="AG632">
        <v>92</v>
      </c>
      <c r="AH632">
        <v>146</v>
      </c>
      <c r="AI632">
        <v>154</v>
      </c>
      <c r="AJ632">
        <v>5</v>
      </c>
      <c r="AK632">
        <v>46</v>
      </c>
      <c r="AL632" t="s">
        <v>149</v>
      </c>
      <c r="AM632" t="s">
        <v>150</v>
      </c>
      <c r="AN632" t="s">
        <v>151</v>
      </c>
      <c r="AO632" t="s">
        <v>12412</v>
      </c>
      <c r="AP632" t="s">
        <v>12413</v>
      </c>
      <c r="AQ632" t="s">
        <v>74</v>
      </c>
      <c r="AR632" t="s">
        <v>12414</v>
      </c>
      <c r="AS632" t="s">
        <v>12415</v>
      </c>
      <c r="AT632" t="s">
        <v>12337</v>
      </c>
      <c r="AU632">
        <v>2017</v>
      </c>
      <c r="AV632">
        <v>10</v>
      </c>
      <c r="AW632">
        <v>12</v>
      </c>
      <c r="AX632" t="s">
        <v>74</v>
      </c>
      <c r="AY632" t="s">
        <v>74</v>
      </c>
      <c r="AZ632" t="s">
        <v>74</v>
      </c>
      <c r="BA632" t="s">
        <v>74</v>
      </c>
      <c r="BB632">
        <v>4405</v>
      </c>
      <c r="BC632">
        <v>4417</v>
      </c>
      <c r="BD632" t="s">
        <v>74</v>
      </c>
      <c r="BE632" t="s">
        <v>12416</v>
      </c>
      <c r="BF632" t="str">
        <f>HYPERLINK("http://dx.doi.org/10.5194/gmd-10-4405-2017","http://dx.doi.org/10.5194/gmd-10-4405-2017")</f>
        <v>http://dx.doi.org/10.5194/gmd-10-4405-2017</v>
      </c>
      <c r="BG632" t="s">
        <v>74</v>
      </c>
      <c r="BH632" t="s">
        <v>74</v>
      </c>
      <c r="BI632">
        <v>13</v>
      </c>
      <c r="BJ632" t="s">
        <v>280</v>
      </c>
      <c r="BK632" t="s">
        <v>101</v>
      </c>
      <c r="BL632" t="s">
        <v>281</v>
      </c>
      <c r="BM632" t="s">
        <v>12417</v>
      </c>
      <c r="BN632" t="s">
        <v>74</v>
      </c>
      <c r="BO632" t="s">
        <v>236</v>
      </c>
      <c r="BP632" t="s">
        <v>74</v>
      </c>
      <c r="BQ632" t="s">
        <v>74</v>
      </c>
      <c r="BR632" t="s">
        <v>105</v>
      </c>
      <c r="BS632" t="s">
        <v>12418</v>
      </c>
      <c r="BT632" t="str">
        <f>HYPERLINK("https%3A%2F%2Fwww.webofscience.com%2Fwos%2Fwoscc%2Ffull-record%2FWOS:000417065500001","View Full Record in Web of Science")</f>
        <v>View Full Record in Web of Science</v>
      </c>
    </row>
    <row r="633" spans="1:72" x14ac:dyDescent="0.15">
      <c r="A633" t="s">
        <v>72</v>
      </c>
      <c r="B633" t="s">
        <v>12419</v>
      </c>
      <c r="C633" t="s">
        <v>74</v>
      </c>
      <c r="D633" t="s">
        <v>74</v>
      </c>
      <c r="E633" t="s">
        <v>74</v>
      </c>
      <c r="F633" t="s">
        <v>12420</v>
      </c>
      <c r="G633" t="s">
        <v>74</v>
      </c>
      <c r="H633" t="s">
        <v>74</v>
      </c>
      <c r="I633" t="s">
        <v>12421</v>
      </c>
      <c r="J633" t="s">
        <v>11781</v>
      </c>
      <c r="K633" t="s">
        <v>74</v>
      </c>
      <c r="L633" t="s">
        <v>74</v>
      </c>
      <c r="M633" t="s">
        <v>78</v>
      </c>
      <c r="N633" t="s">
        <v>79</v>
      </c>
      <c r="O633" t="s">
        <v>74</v>
      </c>
      <c r="P633" t="s">
        <v>74</v>
      </c>
      <c r="Q633" t="s">
        <v>74</v>
      </c>
      <c r="R633" t="s">
        <v>74</v>
      </c>
      <c r="S633" t="s">
        <v>74</v>
      </c>
      <c r="T633" t="s">
        <v>12422</v>
      </c>
      <c r="U633" t="s">
        <v>12423</v>
      </c>
      <c r="V633" t="s">
        <v>12424</v>
      </c>
      <c r="W633" t="s">
        <v>12425</v>
      </c>
      <c r="X633" t="s">
        <v>12426</v>
      </c>
      <c r="Y633" t="s">
        <v>12427</v>
      </c>
      <c r="Z633" t="s">
        <v>12428</v>
      </c>
      <c r="AA633" t="s">
        <v>74</v>
      </c>
      <c r="AB633" t="s">
        <v>12429</v>
      </c>
      <c r="AC633" t="s">
        <v>12430</v>
      </c>
      <c r="AD633" t="s">
        <v>12431</v>
      </c>
      <c r="AE633" t="s">
        <v>12432</v>
      </c>
      <c r="AF633" t="s">
        <v>74</v>
      </c>
      <c r="AG633">
        <v>78</v>
      </c>
      <c r="AH633">
        <v>6</v>
      </c>
      <c r="AI633">
        <v>6</v>
      </c>
      <c r="AJ633">
        <v>0</v>
      </c>
      <c r="AK633">
        <v>0</v>
      </c>
      <c r="AL633" t="s">
        <v>3149</v>
      </c>
      <c r="AM633" t="s">
        <v>1797</v>
      </c>
      <c r="AN633" t="s">
        <v>3150</v>
      </c>
      <c r="AO633" t="s">
        <v>11794</v>
      </c>
      <c r="AP633" t="s">
        <v>11795</v>
      </c>
      <c r="AQ633" t="s">
        <v>74</v>
      </c>
      <c r="AR633" t="s">
        <v>11796</v>
      </c>
      <c r="AS633" t="s">
        <v>11797</v>
      </c>
      <c r="AT633" t="s">
        <v>12433</v>
      </c>
      <c r="AU633">
        <v>2017</v>
      </c>
      <c r="AV633">
        <v>34</v>
      </c>
      <c r="AW633" t="s">
        <v>74</v>
      </c>
      <c r="AX633" t="s">
        <v>74</v>
      </c>
      <c r="AY633" t="s">
        <v>74</v>
      </c>
      <c r="AZ633" t="s">
        <v>74</v>
      </c>
      <c r="BA633" t="s">
        <v>74</v>
      </c>
      <c r="BB633" t="s">
        <v>74</v>
      </c>
      <c r="BC633" t="s">
        <v>74</v>
      </c>
      <c r="BD633" t="s">
        <v>12434</v>
      </c>
      <c r="BE633" t="s">
        <v>12435</v>
      </c>
      <c r="BF633" t="str">
        <f>HYPERLINK("http://dx.doi.org/10.1017/pasa.2017.59","http://dx.doi.org/10.1017/pasa.2017.59")</f>
        <v>http://dx.doi.org/10.1017/pasa.2017.59</v>
      </c>
      <c r="BG633" t="s">
        <v>74</v>
      </c>
      <c r="BH633" t="s">
        <v>74</v>
      </c>
      <c r="BI633">
        <v>23</v>
      </c>
      <c r="BJ633" t="s">
        <v>787</v>
      </c>
      <c r="BK633" t="s">
        <v>101</v>
      </c>
      <c r="BL633" t="s">
        <v>787</v>
      </c>
      <c r="BM633" t="s">
        <v>12436</v>
      </c>
      <c r="BN633" t="s">
        <v>74</v>
      </c>
      <c r="BO633" t="s">
        <v>432</v>
      </c>
      <c r="BP633" t="s">
        <v>74</v>
      </c>
      <c r="BQ633" t="s">
        <v>74</v>
      </c>
      <c r="BR633" t="s">
        <v>105</v>
      </c>
      <c r="BS633" t="s">
        <v>12437</v>
      </c>
      <c r="BT633" t="str">
        <f>HYPERLINK("https%3A%2F%2Fwww.webofscience.com%2Fwos%2Fwoscc%2Ffull-record%2FWOS:000416919000001","View Full Record in Web of Science")</f>
        <v>View Full Record in Web of Science</v>
      </c>
    </row>
    <row r="634" spans="1:72" x14ac:dyDescent="0.15">
      <c r="A634" t="s">
        <v>72</v>
      </c>
      <c r="B634" t="s">
        <v>12438</v>
      </c>
      <c r="C634" t="s">
        <v>74</v>
      </c>
      <c r="D634" t="s">
        <v>74</v>
      </c>
      <c r="E634" t="s">
        <v>74</v>
      </c>
      <c r="F634" t="s">
        <v>12439</v>
      </c>
      <c r="G634" t="s">
        <v>74</v>
      </c>
      <c r="H634" t="s">
        <v>74</v>
      </c>
      <c r="I634" t="s">
        <v>12440</v>
      </c>
      <c r="J634" t="s">
        <v>12441</v>
      </c>
      <c r="K634" t="s">
        <v>74</v>
      </c>
      <c r="L634" t="s">
        <v>74</v>
      </c>
      <c r="M634" t="s">
        <v>78</v>
      </c>
      <c r="N634" t="s">
        <v>79</v>
      </c>
      <c r="O634" t="s">
        <v>74</v>
      </c>
      <c r="P634" t="s">
        <v>74</v>
      </c>
      <c r="Q634" t="s">
        <v>74</v>
      </c>
      <c r="R634" t="s">
        <v>74</v>
      </c>
      <c r="S634" t="s">
        <v>74</v>
      </c>
      <c r="T634" t="s">
        <v>12442</v>
      </c>
      <c r="U634" t="s">
        <v>12443</v>
      </c>
      <c r="V634" t="s">
        <v>12444</v>
      </c>
      <c r="W634" t="s">
        <v>12445</v>
      </c>
      <c r="X634" t="s">
        <v>12446</v>
      </c>
      <c r="Y634" t="s">
        <v>12447</v>
      </c>
      <c r="Z634" t="s">
        <v>12448</v>
      </c>
      <c r="AA634" t="s">
        <v>12449</v>
      </c>
      <c r="AB634" t="s">
        <v>12450</v>
      </c>
      <c r="AC634" t="s">
        <v>12451</v>
      </c>
      <c r="AD634" t="s">
        <v>12452</v>
      </c>
      <c r="AE634" t="s">
        <v>12453</v>
      </c>
      <c r="AF634" t="s">
        <v>74</v>
      </c>
      <c r="AG634">
        <v>47</v>
      </c>
      <c r="AH634">
        <v>1</v>
      </c>
      <c r="AI634">
        <v>1</v>
      </c>
      <c r="AJ634">
        <v>0</v>
      </c>
      <c r="AK634">
        <v>7</v>
      </c>
      <c r="AL634" t="s">
        <v>12454</v>
      </c>
      <c r="AM634" t="s">
        <v>12455</v>
      </c>
      <c r="AN634" t="s">
        <v>12456</v>
      </c>
      <c r="AO634" t="s">
        <v>12457</v>
      </c>
      <c r="AP634" t="s">
        <v>12458</v>
      </c>
      <c r="AQ634" t="s">
        <v>74</v>
      </c>
      <c r="AR634" t="s">
        <v>12459</v>
      </c>
      <c r="AS634" t="s">
        <v>12460</v>
      </c>
      <c r="AT634" t="s">
        <v>12461</v>
      </c>
      <c r="AU634">
        <v>2017</v>
      </c>
      <c r="AV634">
        <v>13</v>
      </c>
      <c r="AW634">
        <v>4</v>
      </c>
      <c r="AX634" t="s">
        <v>74</v>
      </c>
      <c r="AY634" t="s">
        <v>74</v>
      </c>
      <c r="AZ634" t="s">
        <v>74</v>
      </c>
      <c r="BA634" t="s">
        <v>74</v>
      </c>
      <c r="BB634">
        <v>350</v>
      </c>
      <c r="BC634">
        <v>362</v>
      </c>
      <c r="BD634" t="s">
        <v>74</v>
      </c>
      <c r="BE634" t="s">
        <v>74</v>
      </c>
      <c r="BF634" t="s">
        <v>74</v>
      </c>
      <c r="BG634" t="s">
        <v>74</v>
      </c>
      <c r="BH634" t="s">
        <v>74</v>
      </c>
      <c r="BI634">
        <v>13</v>
      </c>
      <c r="BJ634" t="s">
        <v>3806</v>
      </c>
      <c r="BK634" t="s">
        <v>2081</v>
      </c>
      <c r="BL634" t="s">
        <v>3806</v>
      </c>
      <c r="BM634" t="s">
        <v>12462</v>
      </c>
      <c r="BN634" t="s">
        <v>74</v>
      </c>
      <c r="BO634" t="s">
        <v>74</v>
      </c>
      <c r="BP634" t="s">
        <v>74</v>
      </c>
      <c r="BQ634" t="s">
        <v>74</v>
      </c>
      <c r="BR634" t="s">
        <v>105</v>
      </c>
      <c r="BS634" t="s">
        <v>12463</v>
      </c>
      <c r="BT634" t="str">
        <f>HYPERLINK("https%3A%2F%2Fwww.webofscience.com%2Fwos%2Fwoscc%2Ffull-record%2FWOS:000435678500010","View Full Record in Web of Science")</f>
        <v>View Full Record in Web of Science</v>
      </c>
    </row>
    <row r="635" spans="1:72" x14ac:dyDescent="0.15">
      <c r="A635" t="s">
        <v>72</v>
      </c>
      <c r="B635" t="s">
        <v>12464</v>
      </c>
      <c r="C635" t="s">
        <v>74</v>
      </c>
      <c r="D635" t="s">
        <v>74</v>
      </c>
      <c r="E635" t="s">
        <v>74</v>
      </c>
      <c r="F635" t="s">
        <v>12465</v>
      </c>
      <c r="G635" t="s">
        <v>74</v>
      </c>
      <c r="H635" t="s">
        <v>74</v>
      </c>
      <c r="I635" t="s">
        <v>12466</v>
      </c>
      <c r="J635" t="s">
        <v>12467</v>
      </c>
      <c r="K635" t="s">
        <v>74</v>
      </c>
      <c r="L635" t="s">
        <v>74</v>
      </c>
      <c r="M635" t="s">
        <v>78</v>
      </c>
      <c r="N635" t="s">
        <v>79</v>
      </c>
      <c r="O635" t="s">
        <v>74</v>
      </c>
      <c r="P635" t="s">
        <v>74</v>
      </c>
      <c r="Q635" t="s">
        <v>74</v>
      </c>
      <c r="R635" t="s">
        <v>74</v>
      </c>
      <c r="S635" t="s">
        <v>74</v>
      </c>
      <c r="T635" t="s">
        <v>12468</v>
      </c>
      <c r="U635" t="s">
        <v>74</v>
      </c>
      <c r="V635" t="s">
        <v>12469</v>
      </c>
      <c r="W635" t="s">
        <v>12470</v>
      </c>
      <c r="X635" t="s">
        <v>4857</v>
      </c>
      <c r="Y635" t="s">
        <v>12471</v>
      </c>
      <c r="Z635" t="s">
        <v>12472</v>
      </c>
      <c r="AA635" t="s">
        <v>12473</v>
      </c>
      <c r="AB635" t="s">
        <v>12474</v>
      </c>
      <c r="AC635" t="s">
        <v>74</v>
      </c>
      <c r="AD635" t="s">
        <v>74</v>
      </c>
      <c r="AE635" t="s">
        <v>74</v>
      </c>
      <c r="AF635" t="s">
        <v>74</v>
      </c>
      <c r="AG635">
        <v>22</v>
      </c>
      <c r="AH635">
        <v>1</v>
      </c>
      <c r="AI635">
        <v>1</v>
      </c>
      <c r="AJ635">
        <v>0</v>
      </c>
      <c r="AK635">
        <v>0</v>
      </c>
      <c r="AL635" t="s">
        <v>4154</v>
      </c>
      <c r="AM635" t="s">
        <v>1797</v>
      </c>
      <c r="AN635" t="s">
        <v>4155</v>
      </c>
      <c r="AO635" t="s">
        <v>12475</v>
      </c>
      <c r="AP635" t="s">
        <v>12476</v>
      </c>
      <c r="AQ635" t="s">
        <v>74</v>
      </c>
      <c r="AR635" t="s">
        <v>12477</v>
      </c>
      <c r="AS635" t="s">
        <v>12478</v>
      </c>
      <c r="AT635" t="s">
        <v>12461</v>
      </c>
      <c r="AU635">
        <v>2017</v>
      </c>
      <c r="AV635">
        <v>51</v>
      </c>
      <c r="AW635">
        <v>7</v>
      </c>
      <c r="AX635" t="s">
        <v>74</v>
      </c>
      <c r="AY635" t="s">
        <v>74</v>
      </c>
      <c r="AZ635" t="s">
        <v>74</v>
      </c>
      <c r="BA635" t="s">
        <v>74</v>
      </c>
      <c r="BB635">
        <v>623</v>
      </c>
      <c r="BC635">
        <v>627</v>
      </c>
      <c r="BD635" t="s">
        <v>74</v>
      </c>
      <c r="BE635" t="s">
        <v>12479</v>
      </c>
      <c r="BF635" t="str">
        <f>HYPERLINK("http://dx.doi.org/10.1134/S0038094617070188","http://dx.doi.org/10.1134/S0038094617070188")</f>
        <v>http://dx.doi.org/10.1134/S0038094617070188</v>
      </c>
      <c r="BG635" t="s">
        <v>74</v>
      </c>
      <c r="BH635" t="s">
        <v>74</v>
      </c>
      <c r="BI635">
        <v>5</v>
      </c>
      <c r="BJ635" t="s">
        <v>787</v>
      </c>
      <c r="BK635" t="s">
        <v>101</v>
      </c>
      <c r="BL635" t="s">
        <v>787</v>
      </c>
      <c r="BM635" t="s">
        <v>12480</v>
      </c>
      <c r="BN635" t="s">
        <v>74</v>
      </c>
      <c r="BO635" t="s">
        <v>74</v>
      </c>
      <c r="BP635" t="s">
        <v>74</v>
      </c>
      <c r="BQ635" t="s">
        <v>74</v>
      </c>
      <c r="BR635" t="s">
        <v>105</v>
      </c>
      <c r="BS635" t="s">
        <v>12481</v>
      </c>
      <c r="BT635" t="str">
        <f>HYPERLINK("https%3A%2F%2Fwww.webofscience.com%2Fwos%2Fwoscc%2Ffull-record%2FWOS:000426246000012","View Full Record in Web of Science")</f>
        <v>View Full Record in Web of Science</v>
      </c>
    </row>
    <row r="636" spans="1:72" x14ac:dyDescent="0.15">
      <c r="A636" t="s">
        <v>72</v>
      </c>
      <c r="B636" t="s">
        <v>12482</v>
      </c>
      <c r="C636" t="s">
        <v>74</v>
      </c>
      <c r="D636" t="s">
        <v>74</v>
      </c>
      <c r="E636" t="s">
        <v>74</v>
      </c>
      <c r="F636" t="s">
        <v>12483</v>
      </c>
      <c r="G636" t="s">
        <v>74</v>
      </c>
      <c r="H636" t="s">
        <v>74</v>
      </c>
      <c r="I636" t="s">
        <v>12484</v>
      </c>
      <c r="J636" t="s">
        <v>12485</v>
      </c>
      <c r="K636" t="s">
        <v>74</v>
      </c>
      <c r="L636" t="s">
        <v>74</v>
      </c>
      <c r="M636" t="s">
        <v>78</v>
      </c>
      <c r="N636" t="s">
        <v>79</v>
      </c>
      <c r="O636" t="s">
        <v>74</v>
      </c>
      <c r="P636" t="s">
        <v>74</v>
      </c>
      <c r="Q636" t="s">
        <v>74</v>
      </c>
      <c r="R636" t="s">
        <v>74</v>
      </c>
      <c r="S636" t="s">
        <v>74</v>
      </c>
      <c r="T636" t="s">
        <v>74</v>
      </c>
      <c r="U636" t="s">
        <v>12486</v>
      </c>
      <c r="V636" t="s">
        <v>12487</v>
      </c>
      <c r="W636" t="s">
        <v>12488</v>
      </c>
      <c r="X636" t="s">
        <v>12489</v>
      </c>
      <c r="Y636" t="s">
        <v>12490</v>
      </c>
      <c r="Z636" t="s">
        <v>12491</v>
      </c>
      <c r="AA636" t="s">
        <v>12492</v>
      </c>
      <c r="AB636" t="s">
        <v>12493</v>
      </c>
      <c r="AC636" t="s">
        <v>12494</v>
      </c>
      <c r="AD636" t="s">
        <v>12495</v>
      </c>
      <c r="AE636" t="s">
        <v>12496</v>
      </c>
      <c r="AF636" t="s">
        <v>74</v>
      </c>
      <c r="AG636">
        <v>16</v>
      </c>
      <c r="AH636">
        <v>1</v>
      </c>
      <c r="AI636">
        <v>1</v>
      </c>
      <c r="AJ636">
        <v>1</v>
      </c>
      <c r="AK636">
        <v>7</v>
      </c>
      <c r="AL636" t="s">
        <v>4154</v>
      </c>
      <c r="AM636" t="s">
        <v>1797</v>
      </c>
      <c r="AN636" t="s">
        <v>4155</v>
      </c>
      <c r="AO636" t="s">
        <v>12497</v>
      </c>
      <c r="AP636" t="s">
        <v>12498</v>
      </c>
      <c r="AQ636" t="s">
        <v>74</v>
      </c>
      <c r="AR636" t="s">
        <v>12499</v>
      </c>
      <c r="AS636" t="s">
        <v>12500</v>
      </c>
      <c r="AT636" t="s">
        <v>12461</v>
      </c>
      <c r="AU636">
        <v>2017</v>
      </c>
      <c r="AV636">
        <v>57</v>
      </c>
      <c r="AW636">
        <v>7</v>
      </c>
      <c r="AX636" t="s">
        <v>74</v>
      </c>
      <c r="AY636" t="s">
        <v>74</v>
      </c>
      <c r="AZ636" t="s">
        <v>74</v>
      </c>
      <c r="BA636" t="s">
        <v>74</v>
      </c>
      <c r="BB636">
        <v>902</v>
      </c>
      <c r="BC636">
        <v>905</v>
      </c>
      <c r="BD636" t="s">
        <v>74</v>
      </c>
      <c r="BE636" t="s">
        <v>12501</v>
      </c>
      <c r="BF636" t="str">
        <f>HYPERLINK("http://dx.doi.org/10.1134/S0016793217070180","http://dx.doi.org/10.1134/S0016793217070180")</f>
        <v>http://dx.doi.org/10.1134/S0016793217070180</v>
      </c>
      <c r="BG636" t="s">
        <v>74</v>
      </c>
      <c r="BH636" t="s">
        <v>74</v>
      </c>
      <c r="BI636">
        <v>4</v>
      </c>
      <c r="BJ636" t="s">
        <v>1148</v>
      </c>
      <c r="BK636" t="s">
        <v>101</v>
      </c>
      <c r="BL636" t="s">
        <v>1148</v>
      </c>
      <c r="BM636" t="s">
        <v>12502</v>
      </c>
      <c r="BN636" t="s">
        <v>74</v>
      </c>
      <c r="BO636" t="s">
        <v>74</v>
      </c>
      <c r="BP636" t="s">
        <v>74</v>
      </c>
      <c r="BQ636" t="s">
        <v>74</v>
      </c>
      <c r="BR636" t="s">
        <v>105</v>
      </c>
      <c r="BS636" t="s">
        <v>12503</v>
      </c>
      <c r="BT636" t="str">
        <f>HYPERLINK("https%3A%2F%2Fwww.webofscience.com%2Fwos%2Fwoscc%2Ffull-record%2FWOS:000426083700024","View Full Record in Web of Science")</f>
        <v>View Full Record in Web of Science</v>
      </c>
    </row>
    <row r="637" spans="1:72" x14ac:dyDescent="0.15">
      <c r="A637" t="s">
        <v>72</v>
      </c>
      <c r="B637" t="s">
        <v>12504</v>
      </c>
      <c r="C637" t="s">
        <v>74</v>
      </c>
      <c r="D637" t="s">
        <v>74</v>
      </c>
      <c r="E637" t="s">
        <v>74</v>
      </c>
      <c r="F637" t="s">
        <v>12505</v>
      </c>
      <c r="G637" t="s">
        <v>74</v>
      </c>
      <c r="H637" t="s">
        <v>74</v>
      </c>
      <c r="I637" t="s">
        <v>12506</v>
      </c>
      <c r="J637" t="s">
        <v>4733</v>
      </c>
      <c r="K637" t="s">
        <v>74</v>
      </c>
      <c r="L637" t="s">
        <v>74</v>
      </c>
      <c r="M637" t="s">
        <v>78</v>
      </c>
      <c r="N637" t="s">
        <v>79</v>
      </c>
      <c r="O637" t="s">
        <v>74</v>
      </c>
      <c r="P637" t="s">
        <v>74</v>
      </c>
      <c r="Q637" t="s">
        <v>74</v>
      </c>
      <c r="R637" t="s">
        <v>74</v>
      </c>
      <c r="S637" t="s">
        <v>74</v>
      </c>
      <c r="T637" t="s">
        <v>12507</v>
      </c>
      <c r="U637" t="s">
        <v>12508</v>
      </c>
      <c r="V637" t="s">
        <v>12509</v>
      </c>
      <c r="W637" t="s">
        <v>12510</v>
      </c>
      <c r="X637" t="s">
        <v>74</v>
      </c>
      <c r="Y637" t="s">
        <v>12511</v>
      </c>
      <c r="Z637" t="s">
        <v>12512</v>
      </c>
      <c r="AA637" t="s">
        <v>74</v>
      </c>
      <c r="AB637" t="s">
        <v>12513</v>
      </c>
      <c r="AC637" t="s">
        <v>12514</v>
      </c>
      <c r="AD637" t="s">
        <v>10500</v>
      </c>
      <c r="AE637" t="s">
        <v>12515</v>
      </c>
      <c r="AF637" t="s">
        <v>74</v>
      </c>
      <c r="AG637">
        <v>24</v>
      </c>
      <c r="AH637">
        <v>3</v>
      </c>
      <c r="AI637">
        <v>3</v>
      </c>
      <c r="AJ637">
        <v>0</v>
      </c>
      <c r="AK637">
        <v>4</v>
      </c>
      <c r="AL637" t="s">
        <v>4154</v>
      </c>
      <c r="AM637" t="s">
        <v>1797</v>
      </c>
      <c r="AN637" t="s">
        <v>4155</v>
      </c>
      <c r="AO637" t="s">
        <v>4745</v>
      </c>
      <c r="AP637" t="s">
        <v>4746</v>
      </c>
      <c r="AQ637" t="s">
        <v>74</v>
      </c>
      <c r="AR637" t="s">
        <v>4747</v>
      </c>
      <c r="AS637" t="s">
        <v>4748</v>
      </c>
      <c r="AT637" t="s">
        <v>12461</v>
      </c>
      <c r="AU637">
        <v>2017</v>
      </c>
      <c r="AV637">
        <v>53</v>
      </c>
      <c r="AW637">
        <v>9</v>
      </c>
      <c r="AX637" t="s">
        <v>74</v>
      </c>
      <c r="AY637" t="s">
        <v>74</v>
      </c>
      <c r="AZ637" t="s">
        <v>74</v>
      </c>
      <c r="BA637" t="s">
        <v>74</v>
      </c>
      <c r="BB637">
        <v>904</v>
      </c>
      <c r="BC637">
        <v>910</v>
      </c>
      <c r="BD637" t="s">
        <v>74</v>
      </c>
      <c r="BE637" t="s">
        <v>12516</v>
      </c>
      <c r="BF637" t="str">
        <f>HYPERLINK("http://dx.doi.org/10.1134/S0001433817090341","http://dx.doi.org/10.1134/S0001433817090341")</f>
        <v>http://dx.doi.org/10.1134/S0001433817090341</v>
      </c>
      <c r="BG637" t="s">
        <v>74</v>
      </c>
      <c r="BH637" t="s">
        <v>74</v>
      </c>
      <c r="BI637">
        <v>7</v>
      </c>
      <c r="BJ637" t="s">
        <v>4750</v>
      </c>
      <c r="BK637" t="s">
        <v>101</v>
      </c>
      <c r="BL637" t="s">
        <v>4750</v>
      </c>
      <c r="BM637" t="s">
        <v>12517</v>
      </c>
      <c r="BN637" t="s">
        <v>74</v>
      </c>
      <c r="BO637" t="s">
        <v>74</v>
      </c>
      <c r="BP637" t="s">
        <v>74</v>
      </c>
      <c r="BQ637" t="s">
        <v>74</v>
      </c>
      <c r="BR637" t="s">
        <v>105</v>
      </c>
      <c r="BS637" t="s">
        <v>12518</v>
      </c>
      <c r="BT637" t="str">
        <f>HYPERLINK("https%3A%2F%2Fwww.webofscience.com%2Fwos%2Fwoscc%2Ffull-record%2FWOS:000425310200005","View Full Record in Web of Science")</f>
        <v>View Full Record in Web of Science</v>
      </c>
    </row>
    <row r="638" spans="1:72" x14ac:dyDescent="0.15">
      <c r="A638" t="s">
        <v>72</v>
      </c>
      <c r="B638" t="s">
        <v>12519</v>
      </c>
      <c r="C638" t="s">
        <v>74</v>
      </c>
      <c r="D638" t="s">
        <v>74</v>
      </c>
      <c r="E638" t="s">
        <v>74</v>
      </c>
      <c r="F638" t="s">
        <v>12520</v>
      </c>
      <c r="G638" t="s">
        <v>74</v>
      </c>
      <c r="H638" t="s">
        <v>74</v>
      </c>
      <c r="I638" t="s">
        <v>12521</v>
      </c>
      <c r="J638" t="s">
        <v>4733</v>
      </c>
      <c r="K638" t="s">
        <v>74</v>
      </c>
      <c r="L638" t="s">
        <v>74</v>
      </c>
      <c r="M638" t="s">
        <v>78</v>
      </c>
      <c r="N638" t="s">
        <v>79</v>
      </c>
      <c r="O638" t="s">
        <v>74</v>
      </c>
      <c r="P638" t="s">
        <v>74</v>
      </c>
      <c r="Q638" t="s">
        <v>74</v>
      </c>
      <c r="R638" t="s">
        <v>74</v>
      </c>
      <c r="S638" t="s">
        <v>74</v>
      </c>
      <c r="T638" t="s">
        <v>12522</v>
      </c>
      <c r="U638" t="s">
        <v>12523</v>
      </c>
      <c r="V638" t="s">
        <v>12524</v>
      </c>
      <c r="W638" t="s">
        <v>12525</v>
      </c>
      <c r="X638" t="s">
        <v>12526</v>
      </c>
      <c r="Y638" t="s">
        <v>12527</v>
      </c>
      <c r="Z638" t="s">
        <v>12528</v>
      </c>
      <c r="AA638" t="s">
        <v>12529</v>
      </c>
      <c r="AB638" t="s">
        <v>12530</v>
      </c>
      <c r="AC638" t="s">
        <v>12531</v>
      </c>
      <c r="AD638" t="s">
        <v>12532</v>
      </c>
      <c r="AE638" t="s">
        <v>12533</v>
      </c>
      <c r="AF638" t="s">
        <v>74</v>
      </c>
      <c r="AG638">
        <v>36</v>
      </c>
      <c r="AH638">
        <v>4</v>
      </c>
      <c r="AI638">
        <v>4</v>
      </c>
      <c r="AJ638">
        <v>2</v>
      </c>
      <c r="AK638">
        <v>11</v>
      </c>
      <c r="AL638" t="s">
        <v>4154</v>
      </c>
      <c r="AM638" t="s">
        <v>1797</v>
      </c>
      <c r="AN638" t="s">
        <v>4155</v>
      </c>
      <c r="AO638" t="s">
        <v>4745</v>
      </c>
      <c r="AP638" t="s">
        <v>4746</v>
      </c>
      <c r="AQ638" t="s">
        <v>74</v>
      </c>
      <c r="AR638" t="s">
        <v>4747</v>
      </c>
      <c r="AS638" t="s">
        <v>4748</v>
      </c>
      <c r="AT638" t="s">
        <v>12461</v>
      </c>
      <c r="AU638">
        <v>2017</v>
      </c>
      <c r="AV638">
        <v>53</v>
      </c>
      <c r="AW638">
        <v>9</v>
      </c>
      <c r="AX638" t="s">
        <v>74</v>
      </c>
      <c r="AY638" t="s">
        <v>74</v>
      </c>
      <c r="AZ638" t="s">
        <v>74</v>
      </c>
      <c r="BA638" t="s">
        <v>74</v>
      </c>
      <c r="BB638">
        <v>955</v>
      </c>
      <c r="BC638">
        <v>964</v>
      </c>
      <c r="BD638" t="s">
        <v>74</v>
      </c>
      <c r="BE638" t="s">
        <v>12534</v>
      </c>
      <c r="BF638" t="str">
        <f>HYPERLINK("http://dx.doi.org/10.1134/S000143381709016X","http://dx.doi.org/10.1134/S000143381709016X")</f>
        <v>http://dx.doi.org/10.1134/S000143381709016X</v>
      </c>
      <c r="BG638" t="s">
        <v>74</v>
      </c>
      <c r="BH638" t="s">
        <v>74</v>
      </c>
      <c r="BI638">
        <v>10</v>
      </c>
      <c r="BJ638" t="s">
        <v>4750</v>
      </c>
      <c r="BK638" t="s">
        <v>101</v>
      </c>
      <c r="BL638" t="s">
        <v>4750</v>
      </c>
      <c r="BM638" t="s">
        <v>12517</v>
      </c>
      <c r="BN638" t="s">
        <v>74</v>
      </c>
      <c r="BO638" t="s">
        <v>74</v>
      </c>
      <c r="BP638" t="s">
        <v>74</v>
      </c>
      <c r="BQ638" t="s">
        <v>74</v>
      </c>
      <c r="BR638" t="s">
        <v>105</v>
      </c>
      <c r="BS638" t="s">
        <v>12535</v>
      </c>
      <c r="BT638" t="str">
        <f>HYPERLINK("https%3A%2F%2Fwww.webofscience.com%2Fwos%2Fwoscc%2Ffull-record%2FWOS:000425310200011","View Full Record in Web of Science")</f>
        <v>View Full Record in Web of Science</v>
      </c>
    </row>
    <row r="639" spans="1:72" x14ac:dyDescent="0.15">
      <c r="A639" t="s">
        <v>72</v>
      </c>
      <c r="B639" t="s">
        <v>12536</v>
      </c>
      <c r="C639" t="s">
        <v>74</v>
      </c>
      <c r="D639" t="s">
        <v>74</v>
      </c>
      <c r="E639" t="s">
        <v>74</v>
      </c>
      <c r="F639" t="s">
        <v>12537</v>
      </c>
      <c r="G639" t="s">
        <v>74</v>
      </c>
      <c r="H639" t="s">
        <v>74</v>
      </c>
      <c r="I639" t="s">
        <v>12538</v>
      </c>
      <c r="J639" t="s">
        <v>12539</v>
      </c>
      <c r="K639" t="s">
        <v>74</v>
      </c>
      <c r="L639" t="s">
        <v>74</v>
      </c>
      <c r="M639" t="s">
        <v>78</v>
      </c>
      <c r="N639" t="s">
        <v>79</v>
      </c>
      <c r="O639" t="s">
        <v>74</v>
      </c>
      <c r="P639" t="s">
        <v>74</v>
      </c>
      <c r="Q639" t="s">
        <v>74</v>
      </c>
      <c r="R639" t="s">
        <v>74</v>
      </c>
      <c r="S639" t="s">
        <v>74</v>
      </c>
      <c r="T639" t="s">
        <v>74</v>
      </c>
      <c r="U639" t="s">
        <v>12540</v>
      </c>
      <c r="V639" t="s">
        <v>12541</v>
      </c>
      <c r="W639" t="s">
        <v>12542</v>
      </c>
      <c r="X639" t="s">
        <v>12543</v>
      </c>
      <c r="Y639" t="s">
        <v>12544</v>
      </c>
      <c r="Z639" t="s">
        <v>12545</v>
      </c>
      <c r="AA639" t="s">
        <v>12546</v>
      </c>
      <c r="AB639" t="s">
        <v>74</v>
      </c>
      <c r="AC639" t="s">
        <v>12547</v>
      </c>
      <c r="AD639" t="s">
        <v>12548</v>
      </c>
      <c r="AE639" t="s">
        <v>12549</v>
      </c>
      <c r="AF639" t="s">
        <v>74</v>
      </c>
      <c r="AG639">
        <v>124</v>
      </c>
      <c r="AH639">
        <v>22</v>
      </c>
      <c r="AI639">
        <v>24</v>
      </c>
      <c r="AJ639">
        <v>0</v>
      </c>
      <c r="AK639">
        <v>9</v>
      </c>
      <c r="AL639" t="s">
        <v>271</v>
      </c>
      <c r="AM639" t="s">
        <v>272</v>
      </c>
      <c r="AN639" t="s">
        <v>273</v>
      </c>
      <c r="AO639" t="s">
        <v>12550</v>
      </c>
      <c r="AP639" t="s">
        <v>12551</v>
      </c>
      <c r="AQ639" t="s">
        <v>74</v>
      </c>
      <c r="AR639" t="s">
        <v>12539</v>
      </c>
      <c r="AS639" t="s">
        <v>12552</v>
      </c>
      <c r="AT639" t="s">
        <v>12461</v>
      </c>
      <c r="AU639">
        <v>2017</v>
      </c>
      <c r="AV639">
        <v>36</v>
      </c>
      <c r="AW639">
        <v>12</v>
      </c>
      <c r="AX639" t="s">
        <v>74</v>
      </c>
      <c r="AY639" t="s">
        <v>74</v>
      </c>
      <c r="AZ639" t="s">
        <v>74</v>
      </c>
      <c r="BA639" t="s">
        <v>74</v>
      </c>
      <c r="BB639">
        <v>3229</v>
      </c>
      <c r="BC639">
        <v>3247</v>
      </c>
      <c r="BD639" t="s">
        <v>74</v>
      </c>
      <c r="BE639" t="s">
        <v>12553</v>
      </c>
      <c r="BF639" t="str">
        <f>HYPERLINK("http://dx.doi.org/10.1002/2017TC004611","http://dx.doi.org/10.1002/2017TC004611")</f>
        <v>http://dx.doi.org/10.1002/2017TC004611</v>
      </c>
      <c r="BG639" t="s">
        <v>74</v>
      </c>
      <c r="BH639" t="s">
        <v>74</v>
      </c>
      <c r="BI639">
        <v>19</v>
      </c>
      <c r="BJ639" t="s">
        <v>1148</v>
      </c>
      <c r="BK639" t="s">
        <v>101</v>
      </c>
      <c r="BL639" t="s">
        <v>1148</v>
      </c>
      <c r="BM639" t="s">
        <v>12554</v>
      </c>
      <c r="BN639" t="s">
        <v>74</v>
      </c>
      <c r="BO639" t="s">
        <v>306</v>
      </c>
      <c r="BP639" t="s">
        <v>74</v>
      </c>
      <c r="BQ639" t="s">
        <v>74</v>
      </c>
      <c r="BR639" t="s">
        <v>105</v>
      </c>
      <c r="BS639" t="s">
        <v>12555</v>
      </c>
      <c r="BT639" t="str">
        <f>HYPERLINK("https%3A%2F%2Fwww.webofscience.com%2Fwos%2Fwoscc%2Ffull-record%2FWOS:000423417300024","View Full Record in Web of Science")</f>
        <v>View Full Record in Web of Science</v>
      </c>
    </row>
    <row r="640" spans="1:72" x14ac:dyDescent="0.15">
      <c r="A640" t="s">
        <v>72</v>
      </c>
      <c r="B640" t="s">
        <v>12556</v>
      </c>
      <c r="C640" t="s">
        <v>74</v>
      </c>
      <c r="D640" t="s">
        <v>74</v>
      </c>
      <c r="E640" t="s">
        <v>74</v>
      </c>
      <c r="F640" t="s">
        <v>12557</v>
      </c>
      <c r="G640" t="s">
        <v>74</v>
      </c>
      <c r="H640" t="s">
        <v>74</v>
      </c>
      <c r="I640" t="s">
        <v>12558</v>
      </c>
      <c r="J640" t="s">
        <v>12559</v>
      </c>
      <c r="K640" t="s">
        <v>74</v>
      </c>
      <c r="L640" t="s">
        <v>74</v>
      </c>
      <c r="M640" t="s">
        <v>78</v>
      </c>
      <c r="N640" t="s">
        <v>79</v>
      </c>
      <c r="O640" t="s">
        <v>74</v>
      </c>
      <c r="P640" t="s">
        <v>74</v>
      </c>
      <c r="Q640" t="s">
        <v>74</v>
      </c>
      <c r="R640" t="s">
        <v>74</v>
      </c>
      <c r="S640" t="s">
        <v>74</v>
      </c>
      <c r="T640" t="s">
        <v>12560</v>
      </c>
      <c r="U640" t="s">
        <v>12561</v>
      </c>
      <c r="V640" t="s">
        <v>12562</v>
      </c>
      <c r="W640" t="s">
        <v>12563</v>
      </c>
      <c r="X640" t="s">
        <v>12564</v>
      </c>
      <c r="Y640" t="s">
        <v>12565</v>
      </c>
      <c r="Z640" t="s">
        <v>12566</v>
      </c>
      <c r="AA640" t="s">
        <v>12567</v>
      </c>
      <c r="AB640" t="s">
        <v>12568</v>
      </c>
      <c r="AC640" t="s">
        <v>12569</v>
      </c>
      <c r="AD640" t="s">
        <v>8546</v>
      </c>
      <c r="AE640" t="s">
        <v>12570</v>
      </c>
      <c r="AF640" t="s">
        <v>74</v>
      </c>
      <c r="AG640">
        <v>81</v>
      </c>
      <c r="AH640">
        <v>18</v>
      </c>
      <c r="AI640">
        <v>21</v>
      </c>
      <c r="AJ640">
        <v>2</v>
      </c>
      <c r="AK640">
        <v>26</v>
      </c>
      <c r="AL640" t="s">
        <v>1139</v>
      </c>
      <c r="AM640" t="s">
        <v>1140</v>
      </c>
      <c r="AN640" t="s">
        <v>1141</v>
      </c>
      <c r="AO640" t="s">
        <v>12571</v>
      </c>
      <c r="AP640" t="s">
        <v>12572</v>
      </c>
      <c r="AQ640" t="s">
        <v>74</v>
      </c>
      <c r="AR640" t="s">
        <v>12573</v>
      </c>
      <c r="AS640" t="s">
        <v>12574</v>
      </c>
      <c r="AT640" t="s">
        <v>12461</v>
      </c>
      <c r="AU640">
        <v>2017</v>
      </c>
      <c r="AV640">
        <v>146</v>
      </c>
      <c r="AW640" t="s">
        <v>74</v>
      </c>
      <c r="AX640" t="s">
        <v>74</v>
      </c>
      <c r="AY640" t="s">
        <v>74</v>
      </c>
      <c r="AZ640" t="s">
        <v>1146</v>
      </c>
      <c r="BA640" t="s">
        <v>74</v>
      </c>
      <c r="BB640">
        <v>82</v>
      </c>
      <c r="BC640">
        <v>92</v>
      </c>
      <c r="BD640" t="s">
        <v>74</v>
      </c>
      <c r="BE640" t="s">
        <v>12575</v>
      </c>
      <c r="BF640" t="str">
        <f>HYPERLINK("http://dx.doi.org/10.1016/j.dsr2.2016.10.010","http://dx.doi.org/10.1016/j.dsr2.2016.10.010")</f>
        <v>http://dx.doi.org/10.1016/j.dsr2.2016.10.010</v>
      </c>
      <c r="BG640" t="s">
        <v>74</v>
      </c>
      <c r="BH640" t="s">
        <v>74</v>
      </c>
      <c r="BI640">
        <v>11</v>
      </c>
      <c r="BJ640" t="s">
        <v>1907</v>
      </c>
      <c r="BK640" t="s">
        <v>101</v>
      </c>
      <c r="BL640" t="s">
        <v>1907</v>
      </c>
      <c r="BM640" t="s">
        <v>12576</v>
      </c>
      <c r="BN640" t="s">
        <v>74</v>
      </c>
      <c r="BO640" t="s">
        <v>74</v>
      </c>
      <c r="BP640" t="s">
        <v>74</v>
      </c>
      <c r="BQ640" t="s">
        <v>74</v>
      </c>
      <c r="BR640" t="s">
        <v>105</v>
      </c>
      <c r="BS640" t="s">
        <v>12577</v>
      </c>
      <c r="BT640" t="str">
        <f>HYPERLINK("https%3A%2F%2Fwww.webofscience.com%2Fwos%2Fwoscc%2Ffull-record%2FWOS:000423245400011","View Full Record in Web of Science")</f>
        <v>View Full Record in Web of Science</v>
      </c>
    </row>
    <row r="641" spans="1:72" x14ac:dyDescent="0.15">
      <c r="A641" t="s">
        <v>72</v>
      </c>
      <c r="B641" t="s">
        <v>12578</v>
      </c>
      <c r="C641" t="s">
        <v>74</v>
      </c>
      <c r="D641" t="s">
        <v>74</v>
      </c>
      <c r="E641" t="s">
        <v>74</v>
      </c>
      <c r="F641" t="s">
        <v>12579</v>
      </c>
      <c r="G641" t="s">
        <v>74</v>
      </c>
      <c r="H641" t="s">
        <v>74</v>
      </c>
      <c r="I641" t="s">
        <v>12580</v>
      </c>
      <c r="J641" t="s">
        <v>7861</v>
      </c>
      <c r="K641" t="s">
        <v>74</v>
      </c>
      <c r="L641" t="s">
        <v>74</v>
      </c>
      <c r="M641" t="s">
        <v>78</v>
      </c>
      <c r="N641" t="s">
        <v>79</v>
      </c>
      <c r="O641" t="s">
        <v>74</v>
      </c>
      <c r="P641" t="s">
        <v>74</v>
      </c>
      <c r="Q641" t="s">
        <v>74</v>
      </c>
      <c r="R641" t="s">
        <v>74</v>
      </c>
      <c r="S641" t="s">
        <v>74</v>
      </c>
      <c r="T641" t="s">
        <v>74</v>
      </c>
      <c r="U641" t="s">
        <v>12581</v>
      </c>
      <c r="V641" t="s">
        <v>12582</v>
      </c>
      <c r="W641" t="s">
        <v>12583</v>
      </c>
      <c r="X641" t="s">
        <v>12584</v>
      </c>
      <c r="Y641" t="s">
        <v>12585</v>
      </c>
      <c r="Z641" t="s">
        <v>12586</v>
      </c>
      <c r="AA641" t="s">
        <v>12587</v>
      </c>
      <c r="AB641" t="s">
        <v>12588</v>
      </c>
      <c r="AC641" t="s">
        <v>12589</v>
      </c>
      <c r="AD641" t="s">
        <v>12590</v>
      </c>
      <c r="AE641" t="s">
        <v>12591</v>
      </c>
      <c r="AF641" t="s">
        <v>74</v>
      </c>
      <c r="AG641">
        <v>48</v>
      </c>
      <c r="AH641">
        <v>24</v>
      </c>
      <c r="AI641">
        <v>31</v>
      </c>
      <c r="AJ641">
        <v>0</v>
      </c>
      <c r="AK641">
        <v>16</v>
      </c>
      <c r="AL641" t="s">
        <v>4022</v>
      </c>
      <c r="AM641" t="s">
        <v>4023</v>
      </c>
      <c r="AN641" t="s">
        <v>12592</v>
      </c>
      <c r="AO641" t="s">
        <v>7870</v>
      </c>
      <c r="AP641" t="s">
        <v>7871</v>
      </c>
      <c r="AQ641" t="s">
        <v>74</v>
      </c>
      <c r="AR641" t="s">
        <v>7872</v>
      </c>
      <c r="AS641" t="s">
        <v>7873</v>
      </c>
      <c r="AT641" t="s">
        <v>12461</v>
      </c>
      <c r="AU641">
        <v>2017</v>
      </c>
      <c r="AV641">
        <v>30</v>
      </c>
      <c r="AW641">
        <v>24</v>
      </c>
      <c r="AX641" t="s">
        <v>74</v>
      </c>
      <c r="AY641" t="s">
        <v>74</v>
      </c>
      <c r="AZ641" t="s">
        <v>74</v>
      </c>
      <c r="BA641" t="s">
        <v>74</v>
      </c>
      <c r="BB641">
        <v>9999</v>
      </c>
      <c r="BC641">
        <v>10017</v>
      </c>
      <c r="BD641" t="s">
        <v>74</v>
      </c>
      <c r="BE641" t="s">
        <v>12593</v>
      </c>
      <c r="BF641" t="str">
        <f>HYPERLINK("http://dx.doi.org/10.1175/JCLI-D-16-0917.1","http://dx.doi.org/10.1175/JCLI-D-16-0917.1")</f>
        <v>http://dx.doi.org/10.1175/JCLI-D-16-0917.1</v>
      </c>
      <c r="BG641" t="s">
        <v>74</v>
      </c>
      <c r="BH641" t="s">
        <v>74</v>
      </c>
      <c r="BI641">
        <v>19</v>
      </c>
      <c r="BJ641" t="s">
        <v>430</v>
      </c>
      <c r="BK641" t="s">
        <v>101</v>
      </c>
      <c r="BL641" t="s">
        <v>430</v>
      </c>
      <c r="BM641" t="s">
        <v>12594</v>
      </c>
      <c r="BN641" t="s">
        <v>74</v>
      </c>
      <c r="BO641" t="s">
        <v>1150</v>
      </c>
      <c r="BP641" t="s">
        <v>74</v>
      </c>
      <c r="BQ641" t="s">
        <v>74</v>
      </c>
      <c r="BR641" t="s">
        <v>105</v>
      </c>
      <c r="BS641" t="s">
        <v>12595</v>
      </c>
      <c r="BT641" t="str">
        <f>HYPERLINK("https%3A%2F%2Fwww.webofscience.com%2Fwos%2Fwoscc%2Ffull-record%2FWOS:000423492500012","View Full Record in Web of Science")</f>
        <v>View Full Record in Web of Science</v>
      </c>
    </row>
    <row r="642" spans="1:72" x14ac:dyDescent="0.15">
      <c r="A642" t="s">
        <v>72</v>
      </c>
      <c r="B642" t="s">
        <v>12596</v>
      </c>
      <c r="C642" t="s">
        <v>74</v>
      </c>
      <c r="D642" t="s">
        <v>74</v>
      </c>
      <c r="E642" t="s">
        <v>74</v>
      </c>
      <c r="F642" t="s">
        <v>12597</v>
      </c>
      <c r="G642" t="s">
        <v>74</v>
      </c>
      <c r="H642" t="s">
        <v>74</v>
      </c>
      <c r="I642" t="s">
        <v>12598</v>
      </c>
      <c r="J642" t="s">
        <v>12599</v>
      </c>
      <c r="K642" t="s">
        <v>74</v>
      </c>
      <c r="L642" t="s">
        <v>74</v>
      </c>
      <c r="M642" t="s">
        <v>78</v>
      </c>
      <c r="N642" t="s">
        <v>79</v>
      </c>
      <c r="O642" t="s">
        <v>74</v>
      </c>
      <c r="P642" t="s">
        <v>74</v>
      </c>
      <c r="Q642" t="s">
        <v>74</v>
      </c>
      <c r="R642" t="s">
        <v>74</v>
      </c>
      <c r="S642" t="s">
        <v>74</v>
      </c>
      <c r="T642" t="s">
        <v>12600</v>
      </c>
      <c r="U642" t="s">
        <v>12601</v>
      </c>
      <c r="V642" t="s">
        <v>12602</v>
      </c>
      <c r="W642" t="s">
        <v>12603</v>
      </c>
      <c r="X642" t="s">
        <v>12604</v>
      </c>
      <c r="Y642" t="s">
        <v>12605</v>
      </c>
      <c r="Z642" t="s">
        <v>12606</v>
      </c>
      <c r="AA642" t="s">
        <v>74</v>
      </c>
      <c r="AB642" t="s">
        <v>74</v>
      </c>
      <c r="AC642" t="s">
        <v>12607</v>
      </c>
      <c r="AD642" t="s">
        <v>12608</v>
      </c>
      <c r="AE642" t="s">
        <v>12609</v>
      </c>
      <c r="AF642" t="s">
        <v>74</v>
      </c>
      <c r="AG642">
        <v>29</v>
      </c>
      <c r="AH642">
        <v>4</v>
      </c>
      <c r="AI642">
        <v>5</v>
      </c>
      <c r="AJ642">
        <v>3</v>
      </c>
      <c r="AK642">
        <v>32</v>
      </c>
      <c r="AL642" t="s">
        <v>3149</v>
      </c>
      <c r="AM642" t="s">
        <v>1797</v>
      </c>
      <c r="AN642" t="s">
        <v>3150</v>
      </c>
      <c r="AO642" t="s">
        <v>12610</v>
      </c>
      <c r="AP642" t="s">
        <v>12611</v>
      </c>
      <c r="AQ642" t="s">
        <v>74</v>
      </c>
      <c r="AR642" t="s">
        <v>12612</v>
      </c>
      <c r="AS642" t="s">
        <v>12613</v>
      </c>
      <c r="AT642" t="s">
        <v>12461</v>
      </c>
      <c r="AU642">
        <v>2017</v>
      </c>
      <c r="AV642">
        <v>29</v>
      </c>
      <c r="AW642">
        <v>6</v>
      </c>
      <c r="AX642" t="s">
        <v>74</v>
      </c>
      <c r="AY642" t="s">
        <v>74</v>
      </c>
      <c r="AZ642" t="s">
        <v>74</v>
      </c>
      <c r="BA642" t="s">
        <v>74</v>
      </c>
      <c r="BB642">
        <v>511</v>
      </c>
      <c r="BC642">
        <v>516</v>
      </c>
      <c r="BD642" t="s">
        <v>74</v>
      </c>
      <c r="BE642" t="s">
        <v>12614</v>
      </c>
      <c r="BF642" t="str">
        <f>HYPERLINK("http://dx.doi.org/10.1017/S0954102017000281","http://dx.doi.org/10.1017/S0954102017000281")</f>
        <v>http://dx.doi.org/10.1017/S0954102017000281</v>
      </c>
      <c r="BG642" t="s">
        <v>74</v>
      </c>
      <c r="BH642" t="s">
        <v>74</v>
      </c>
      <c r="BI642">
        <v>6</v>
      </c>
      <c r="BJ642" t="s">
        <v>12615</v>
      </c>
      <c r="BK642" t="s">
        <v>101</v>
      </c>
      <c r="BL642" t="s">
        <v>12616</v>
      </c>
      <c r="BM642" t="s">
        <v>12617</v>
      </c>
      <c r="BN642" t="s">
        <v>74</v>
      </c>
      <c r="BO642" t="s">
        <v>74</v>
      </c>
      <c r="BP642" t="s">
        <v>74</v>
      </c>
      <c r="BQ642" t="s">
        <v>74</v>
      </c>
      <c r="BR642" t="s">
        <v>105</v>
      </c>
      <c r="BS642" t="s">
        <v>12618</v>
      </c>
      <c r="BT642" t="str">
        <f>HYPERLINK("https%3A%2F%2Fwww.webofscience.com%2Fwos%2Fwoscc%2Ffull-record%2FWOS:000423172800005","View Full Record in Web of Science")</f>
        <v>View Full Record in Web of Science</v>
      </c>
    </row>
    <row r="643" spans="1:72" x14ac:dyDescent="0.15">
      <c r="A643" t="s">
        <v>72</v>
      </c>
      <c r="B643" t="s">
        <v>12619</v>
      </c>
      <c r="C643" t="s">
        <v>74</v>
      </c>
      <c r="D643" t="s">
        <v>74</v>
      </c>
      <c r="E643" t="s">
        <v>74</v>
      </c>
      <c r="F643" t="s">
        <v>12620</v>
      </c>
      <c r="G643" t="s">
        <v>74</v>
      </c>
      <c r="H643" t="s">
        <v>74</v>
      </c>
      <c r="I643" t="s">
        <v>12621</v>
      </c>
      <c r="J643" t="s">
        <v>12599</v>
      </c>
      <c r="K643" t="s">
        <v>74</v>
      </c>
      <c r="L643" t="s">
        <v>74</v>
      </c>
      <c r="M643" t="s">
        <v>78</v>
      </c>
      <c r="N643" t="s">
        <v>79</v>
      </c>
      <c r="O643" t="s">
        <v>74</v>
      </c>
      <c r="P643" t="s">
        <v>74</v>
      </c>
      <c r="Q643" t="s">
        <v>74</v>
      </c>
      <c r="R643" t="s">
        <v>74</v>
      </c>
      <c r="S643" t="s">
        <v>74</v>
      </c>
      <c r="T643" t="s">
        <v>12622</v>
      </c>
      <c r="U643" t="s">
        <v>12623</v>
      </c>
      <c r="V643" t="s">
        <v>12624</v>
      </c>
      <c r="W643" t="s">
        <v>12625</v>
      </c>
      <c r="X643" t="s">
        <v>12626</v>
      </c>
      <c r="Y643" t="s">
        <v>12627</v>
      </c>
      <c r="Z643" t="s">
        <v>12628</v>
      </c>
      <c r="AA643" t="s">
        <v>12629</v>
      </c>
      <c r="AB643" t="s">
        <v>12630</v>
      </c>
      <c r="AC643" t="s">
        <v>12631</v>
      </c>
      <c r="AD643" t="s">
        <v>12632</v>
      </c>
      <c r="AE643" t="s">
        <v>12633</v>
      </c>
      <c r="AF643" t="s">
        <v>74</v>
      </c>
      <c r="AG643">
        <v>38</v>
      </c>
      <c r="AH643">
        <v>11</v>
      </c>
      <c r="AI643">
        <v>11</v>
      </c>
      <c r="AJ643">
        <v>1</v>
      </c>
      <c r="AK643">
        <v>18</v>
      </c>
      <c r="AL643" t="s">
        <v>3149</v>
      </c>
      <c r="AM643" t="s">
        <v>1797</v>
      </c>
      <c r="AN643" t="s">
        <v>3150</v>
      </c>
      <c r="AO643" t="s">
        <v>12610</v>
      </c>
      <c r="AP643" t="s">
        <v>12611</v>
      </c>
      <c r="AQ643" t="s">
        <v>74</v>
      </c>
      <c r="AR643" t="s">
        <v>12612</v>
      </c>
      <c r="AS643" t="s">
        <v>12613</v>
      </c>
      <c r="AT643" t="s">
        <v>12461</v>
      </c>
      <c r="AU643">
        <v>2017</v>
      </c>
      <c r="AV643">
        <v>29</v>
      </c>
      <c r="AW643">
        <v>6</v>
      </c>
      <c r="AX643" t="s">
        <v>74</v>
      </c>
      <c r="AY643" t="s">
        <v>74</v>
      </c>
      <c r="AZ643" t="s">
        <v>74</v>
      </c>
      <c r="BA643" t="s">
        <v>74</v>
      </c>
      <c r="BB643">
        <v>517</v>
      </c>
      <c r="BC643">
        <v>530</v>
      </c>
      <c r="BD643" t="s">
        <v>74</v>
      </c>
      <c r="BE643" t="s">
        <v>12634</v>
      </c>
      <c r="BF643" t="str">
        <f>HYPERLINK("http://dx.doi.org/10.1017/S095410201700027X","http://dx.doi.org/10.1017/S095410201700027X")</f>
        <v>http://dx.doi.org/10.1017/S095410201700027X</v>
      </c>
      <c r="BG643" t="s">
        <v>74</v>
      </c>
      <c r="BH643" t="s">
        <v>74</v>
      </c>
      <c r="BI643">
        <v>14</v>
      </c>
      <c r="BJ643" t="s">
        <v>12615</v>
      </c>
      <c r="BK643" t="s">
        <v>101</v>
      </c>
      <c r="BL643" t="s">
        <v>12616</v>
      </c>
      <c r="BM643" t="s">
        <v>12617</v>
      </c>
      <c r="BN643" t="s">
        <v>74</v>
      </c>
      <c r="BO643" t="s">
        <v>74</v>
      </c>
      <c r="BP643" t="s">
        <v>74</v>
      </c>
      <c r="BQ643" t="s">
        <v>74</v>
      </c>
      <c r="BR643" t="s">
        <v>105</v>
      </c>
      <c r="BS643" t="s">
        <v>12635</v>
      </c>
      <c r="BT643" t="str">
        <f>HYPERLINK("https%3A%2F%2Fwww.webofscience.com%2Fwos%2Fwoscc%2Ffull-record%2FWOS:000423172800006","View Full Record in Web of Science")</f>
        <v>View Full Record in Web of Science</v>
      </c>
    </row>
    <row r="644" spans="1:72" x14ac:dyDescent="0.15">
      <c r="A644" t="s">
        <v>72</v>
      </c>
      <c r="B644" t="s">
        <v>12636</v>
      </c>
      <c r="C644" t="s">
        <v>74</v>
      </c>
      <c r="D644" t="s">
        <v>74</v>
      </c>
      <c r="E644" t="s">
        <v>74</v>
      </c>
      <c r="F644" t="s">
        <v>12637</v>
      </c>
      <c r="G644" t="s">
        <v>74</v>
      </c>
      <c r="H644" t="s">
        <v>74</v>
      </c>
      <c r="I644" t="s">
        <v>12638</v>
      </c>
      <c r="J644" t="s">
        <v>12599</v>
      </c>
      <c r="K644" t="s">
        <v>74</v>
      </c>
      <c r="L644" t="s">
        <v>74</v>
      </c>
      <c r="M644" t="s">
        <v>78</v>
      </c>
      <c r="N644" t="s">
        <v>79</v>
      </c>
      <c r="O644" t="s">
        <v>74</v>
      </c>
      <c r="P644" t="s">
        <v>74</v>
      </c>
      <c r="Q644" t="s">
        <v>74</v>
      </c>
      <c r="R644" t="s">
        <v>74</v>
      </c>
      <c r="S644" t="s">
        <v>74</v>
      </c>
      <c r="T644" t="s">
        <v>12639</v>
      </c>
      <c r="U644" t="s">
        <v>12640</v>
      </c>
      <c r="V644" t="s">
        <v>12641</v>
      </c>
      <c r="W644" t="s">
        <v>12642</v>
      </c>
      <c r="X644" t="s">
        <v>12643</v>
      </c>
      <c r="Y644" t="s">
        <v>12644</v>
      </c>
      <c r="Z644" t="s">
        <v>12645</v>
      </c>
      <c r="AA644" t="s">
        <v>12646</v>
      </c>
      <c r="AB644" t="s">
        <v>12647</v>
      </c>
      <c r="AC644" t="s">
        <v>12648</v>
      </c>
      <c r="AD644" t="s">
        <v>12649</v>
      </c>
      <c r="AE644" t="s">
        <v>12650</v>
      </c>
      <c r="AF644" t="s">
        <v>74</v>
      </c>
      <c r="AG644">
        <v>40</v>
      </c>
      <c r="AH644">
        <v>4</v>
      </c>
      <c r="AI644">
        <v>5</v>
      </c>
      <c r="AJ644">
        <v>2</v>
      </c>
      <c r="AK644">
        <v>22</v>
      </c>
      <c r="AL644" t="s">
        <v>3149</v>
      </c>
      <c r="AM644" t="s">
        <v>1797</v>
      </c>
      <c r="AN644" t="s">
        <v>3150</v>
      </c>
      <c r="AO644" t="s">
        <v>12610</v>
      </c>
      <c r="AP644" t="s">
        <v>12611</v>
      </c>
      <c r="AQ644" t="s">
        <v>74</v>
      </c>
      <c r="AR644" t="s">
        <v>12612</v>
      </c>
      <c r="AS644" t="s">
        <v>12613</v>
      </c>
      <c r="AT644" t="s">
        <v>12461</v>
      </c>
      <c r="AU644">
        <v>2017</v>
      </c>
      <c r="AV644">
        <v>29</v>
      </c>
      <c r="AW644">
        <v>6</v>
      </c>
      <c r="AX644" t="s">
        <v>74</v>
      </c>
      <c r="AY644" t="s">
        <v>74</v>
      </c>
      <c r="AZ644" t="s">
        <v>74</v>
      </c>
      <c r="BA644" t="s">
        <v>74</v>
      </c>
      <c r="BB644">
        <v>545</v>
      </c>
      <c r="BC644">
        <v>554</v>
      </c>
      <c r="BD644" t="s">
        <v>74</v>
      </c>
      <c r="BE644" t="s">
        <v>12651</v>
      </c>
      <c r="BF644" t="str">
        <f>HYPERLINK("http://dx.doi.org/10.1017/S095410201700030X","http://dx.doi.org/10.1017/S095410201700030X")</f>
        <v>http://dx.doi.org/10.1017/S095410201700030X</v>
      </c>
      <c r="BG644" t="s">
        <v>74</v>
      </c>
      <c r="BH644" t="s">
        <v>74</v>
      </c>
      <c r="BI644">
        <v>10</v>
      </c>
      <c r="BJ644" t="s">
        <v>12615</v>
      </c>
      <c r="BK644" t="s">
        <v>101</v>
      </c>
      <c r="BL644" t="s">
        <v>12616</v>
      </c>
      <c r="BM644" t="s">
        <v>12617</v>
      </c>
      <c r="BN644" t="s">
        <v>74</v>
      </c>
      <c r="BO644" t="s">
        <v>74</v>
      </c>
      <c r="BP644" t="s">
        <v>74</v>
      </c>
      <c r="BQ644" t="s">
        <v>74</v>
      </c>
      <c r="BR644" t="s">
        <v>105</v>
      </c>
      <c r="BS644" t="s">
        <v>12652</v>
      </c>
      <c r="BT644" t="str">
        <f>HYPERLINK("https%3A%2F%2Fwww.webofscience.com%2Fwos%2Fwoscc%2Ffull-record%2FWOS:000423172800008","View Full Record in Web of Science")</f>
        <v>View Full Record in Web of Science</v>
      </c>
    </row>
    <row r="645" spans="1:72" x14ac:dyDescent="0.15">
      <c r="A645" t="s">
        <v>72</v>
      </c>
      <c r="B645" t="s">
        <v>12653</v>
      </c>
      <c r="C645" t="s">
        <v>74</v>
      </c>
      <c r="D645" t="s">
        <v>74</v>
      </c>
      <c r="E645" t="s">
        <v>74</v>
      </c>
      <c r="F645" t="s">
        <v>12654</v>
      </c>
      <c r="G645" t="s">
        <v>74</v>
      </c>
      <c r="H645" t="s">
        <v>74</v>
      </c>
      <c r="I645" t="s">
        <v>12655</v>
      </c>
      <c r="J645" t="s">
        <v>12599</v>
      </c>
      <c r="K645" t="s">
        <v>74</v>
      </c>
      <c r="L645" t="s">
        <v>74</v>
      </c>
      <c r="M645" t="s">
        <v>78</v>
      </c>
      <c r="N645" t="s">
        <v>79</v>
      </c>
      <c r="O645" t="s">
        <v>74</v>
      </c>
      <c r="P645" t="s">
        <v>74</v>
      </c>
      <c r="Q645" t="s">
        <v>74</v>
      </c>
      <c r="R645" t="s">
        <v>74</v>
      </c>
      <c r="S645" t="s">
        <v>74</v>
      </c>
      <c r="T645" t="s">
        <v>12656</v>
      </c>
      <c r="U645" t="s">
        <v>12657</v>
      </c>
      <c r="V645" t="s">
        <v>12658</v>
      </c>
      <c r="W645" t="s">
        <v>12659</v>
      </c>
      <c r="X645" t="s">
        <v>12660</v>
      </c>
      <c r="Y645" t="s">
        <v>12661</v>
      </c>
      <c r="Z645" t="s">
        <v>12662</v>
      </c>
      <c r="AA645" t="s">
        <v>12663</v>
      </c>
      <c r="AB645" t="s">
        <v>12664</v>
      </c>
      <c r="AC645" t="s">
        <v>12665</v>
      </c>
      <c r="AD645" t="s">
        <v>12666</v>
      </c>
      <c r="AE645" t="s">
        <v>12667</v>
      </c>
      <c r="AF645" t="s">
        <v>74</v>
      </c>
      <c r="AG645">
        <v>26</v>
      </c>
      <c r="AH645">
        <v>3</v>
      </c>
      <c r="AI645">
        <v>3</v>
      </c>
      <c r="AJ645">
        <v>0</v>
      </c>
      <c r="AK645">
        <v>2</v>
      </c>
      <c r="AL645" t="s">
        <v>3149</v>
      </c>
      <c r="AM645" t="s">
        <v>1797</v>
      </c>
      <c r="AN645" t="s">
        <v>3150</v>
      </c>
      <c r="AO645" t="s">
        <v>12610</v>
      </c>
      <c r="AP645" t="s">
        <v>12611</v>
      </c>
      <c r="AQ645" t="s">
        <v>74</v>
      </c>
      <c r="AR645" t="s">
        <v>12612</v>
      </c>
      <c r="AS645" t="s">
        <v>12613</v>
      </c>
      <c r="AT645" t="s">
        <v>12461</v>
      </c>
      <c r="AU645">
        <v>2017</v>
      </c>
      <c r="AV645">
        <v>29</v>
      </c>
      <c r="AW645">
        <v>6</v>
      </c>
      <c r="AX645" t="s">
        <v>74</v>
      </c>
      <c r="AY645" t="s">
        <v>74</v>
      </c>
      <c r="AZ645" t="s">
        <v>74</v>
      </c>
      <c r="BA645" t="s">
        <v>74</v>
      </c>
      <c r="BB645">
        <v>555</v>
      </c>
      <c r="BC645">
        <v>559</v>
      </c>
      <c r="BD645" t="s">
        <v>74</v>
      </c>
      <c r="BE645" t="s">
        <v>12668</v>
      </c>
      <c r="BF645" t="str">
        <f>HYPERLINK("http://dx.doi.org/10.1017/S0954102017000335","http://dx.doi.org/10.1017/S0954102017000335")</f>
        <v>http://dx.doi.org/10.1017/S0954102017000335</v>
      </c>
      <c r="BG645" t="s">
        <v>74</v>
      </c>
      <c r="BH645" t="s">
        <v>74</v>
      </c>
      <c r="BI645">
        <v>5</v>
      </c>
      <c r="BJ645" t="s">
        <v>12615</v>
      </c>
      <c r="BK645" t="s">
        <v>101</v>
      </c>
      <c r="BL645" t="s">
        <v>12616</v>
      </c>
      <c r="BM645" t="s">
        <v>12617</v>
      </c>
      <c r="BN645" t="s">
        <v>74</v>
      </c>
      <c r="BO645" t="s">
        <v>74</v>
      </c>
      <c r="BP645" t="s">
        <v>74</v>
      </c>
      <c r="BQ645" t="s">
        <v>74</v>
      </c>
      <c r="BR645" t="s">
        <v>105</v>
      </c>
      <c r="BS645" t="s">
        <v>12669</v>
      </c>
      <c r="BT645" t="str">
        <f>HYPERLINK("https%3A%2F%2Fwww.webofscience.com%2Fwos%2Fwoscc%2Ffull-record%2FWOS:000423172800009","View Full Record in Web of Science")</f>
        <v>View Full Record in Web of Science</v>
      </c>
    </row>
    <row r="646" spans="1:72" x14ac:dyDescent="0.15">
      <c r="A646" t="s">
        <v>72</v>
      </c>
      <c r="B646" t="s">
        <v>12670</v>
      </c>
      <c r="C646" t="s">
        <v>74</v>
      </c>
      <c r="D646" t="s">
        <v>74</v>
      </c>
      <c r="E646" t="s">
        <v>74</v>
      </c>
      <c r="F646" t="s">
        <v>12671</v>
      </c>
      <c r="G646" t="s">
        <v>74</v>
      </c>
      <c r="H646" t="s">
        <v>74</v>
      </c>
      <c r="I646" t="s">
        <v>12672</v>
      </c>
      <c r="J646" t="s">
        <v>12673</v>
      </c>
      <c r="K646" t="s">
        <v>74</v>
      </c>
      <c r="L646" t="s">
        <v>74</v>
      </c>
      <c r="M646" t="s">
        <v>78</v>
      </c>
      <c r="N646" t="s">
        <v>79</v>
      </c>
      <c r="O646" t="s">
        <v>74</v>
      </c>
      <c r="P646" t="s">
        <v>74</v>
      </c>
      <c r="Q646" t="s">
        <v>74</v>
      </c>
      <c r="R646" t="s">
        <v>74</v>
      </c>
      <c r="S646" t="s">
        <v>74</v>
      </c>
      <c r="T646" t="s">
        <v>12674</v>
      </c>
      <c r="U646" t="s">
        <v>74</v>
      </c>
      <c r="V646" t="s">
        <v>12675</v>
      </c>
      <c r="W646" t="s">
        <v>12676</v>
      </c>
      <c r="X646" t="s">
        <v>12677</v>
      </c>
      <c r="Y646" t="s">
        <v>12678</v>
      </c>
      <c r="Z646" t="s">
        <v>12679</v>
      </c>
      <c r="AA646" t="s">
        <v>12680</v>
      </c>
      <c r="AB646" t="s">
        <v>12681</v>
      </c>
      <c r="AC646" t="s">
        <v>74</v>
      </c>
      <c r="AD646" t="s">
        <v>74</v>
      </c>
      <c r="AE646" t="s">
        <v>74</v>
      </c>
      <c r="AF646" t="s">
        <v>74</v>
      </c>
      <c r="AG646">
        <v>26</v>
      </c>
      <c r="AH646">
        <v>3</v>
      </c>
      <c r="AI646">
        <v>3</v>
      </c>
      <c r="AJ646">
        <v>0</v>
      </c>
      <c r="AK646">
        <v>0</v>
      </c>
      <c r="AL646" t="s">
        <v>12682</v>
      </c>
      <c r="AM646" t="s">
        <v>3248</v>
      </c>
      <c r="AN646" t="s">
        <v>12683</v>
      </c>
      <c r="AO646" t="s">
        <v>12684</v>
      </c>
      <c r="AP646" t="s">
        <v>12685</v>
      </c>
      <c r="AQ646" t="s">
        <v>74</v>
      </c>
      <c r="AR646" t="s">
        <v>12686</v>
      </c>
      <c r="AS646" t="s">
        <v>12687</v>
      </c>
      <c r="AT646" t="s">
        <v>12461</v>
      </c>
      <c r="AU646">
        <v>2017</v>
      </c>
      <c r="AV646">
        <v>104</v>
      </c>
      <c r="AW646">
        <v>1</v>
      </c>
      <c r="AX646" t="s">
        <v>74</v>
      </c>
      <c r="AY646" t="s">
        <v>74</v>
      </c>
      <c r="AZ646" t="s">
        <v>74</v>
      </c>
      <c r="BA646" t="s">
        <v>74</v>
      </c>
      <c r="BB646">
        <v>65</v>
      </c>
      <c r="BC646">
        <v>78</v>
      </c>
      <c r="BD646" t="s">
        <v>74</v>
      </c>
      <c r="BE646" t="s">
        <v>12688</v>
      </c>
      <c r="BF646" t="str">
        <f>HYPERLINK("http://dx.doi.org/10.1515/rgg-2017-0016","http://dx.doi.org/10.1515/rgg-2017-0016")</f>
        <v>http://dx.doi.org/10.1515/rgg-2017-0016</v>
      </c>
      <c r="BG646" t="s">
        <v>74</v>
      </c>
      <c r="BH646" t="s">
        <v>74</v>
      </c>
      <c r="BI646">
        <v>14</v>
      </c>
      <c r="BJ646" t="s">
        <v>12689</v>
      </c>
      <c r="BK646" t="s">
        <v>2081</v>
      </c>
      <c r="BL646" t="s">
        <v>12689</v>
      </c>
      <c r="BM646" t="s">
        <v>12690</v>
      </c>
      <c r="BN646" t="s">
        <v>74</v>
      </c>
      <c r="BO646" t="s">
        <v>160</v>
      </c>
      <c r="BP646" t="s">
        <v>74</v>
      </c>
      <c r="BQ646" t="s">
        <v>74</v>
      </c>
      <c r="BR646" t="s">
        <v>105</v>
      </c>
      <c r="BS646" t="s">
        <v>12691</v>
      </c>
      <c r="BT646" t="str">
        <f>HYPERLINK("https%3A%2F%2Fwww.webofscience.com%2Fwos%2Fwoscc%2Ffull-record%2FWOS:000423159200006","View Full Record in Web of Science")</f>
        <v>View Full Record in Web of Science</v>
      </c>
    </row>
    <row r="647" spans="1:72" x14ac:dyDescent="0.15">
      <c r="A647" t="s">
        <v>72</v>
      </c>
      <c r="B647" t="s">
        <v>12692</v>
      </c>
      <c r="C647" t="s">
        <v>74</v>
      </c>
      <c r="D647" t="s">
        <v>74</v>
      </c>
      <c r="E647" t="s">
        <v>74</v>
      </c>
      <c r="F647" t="s">
        <v>12693</v>
      </c>
      <c r="G647" t="s">
        <v>74</v>
      </c>
      <c r="H647" t="s">
        <v>74</v>
      </c>
      <c r="I647" t="s">
        <v>12694</v>
      </c>
      <c r="J647" t="s">
        <v>12695</v>
      </c>
      <c r="K647" t="s">
        <v>74</v>
      </c>
      <c r="L647" t="s">
        <v>74</v>
      </c>
      <c r="M647" t="s">
        <v>78</v>
      </c>
      <c r="N647" t="s">
        <v>79</v>
      </c>
      <c r="O647" t="s">
        <v>74</v>
      </c>
      <c r="P647" t="s">
        <v>74</v>
      </c>
      <c r="Q647" t="s">
        <v>74</v>
      </c>
      <c r="R647" t="s">
        <v>74</v>
      </c>
      <c r="S647" t="s">
        <v>74</v>
      </c>
      <c r="T647" t="s">
        <v>12696</v>
      </c>
      <c r="U647" t="s">
        <v>12697</v>
      </c>
      <c r="V647" t="s">
        <v>12698</v>
      </c>
      <c r="W647" t="s">
        <v>12699</v>
      </c>
      <c r="X647" t="s">
        <v>12700</v>
      </c>
      <c r="Y647" t="s">
        <v>12701</v>
      </c>
      <c r="Z647" t="s">
        <v>12702</v>
      </c>
      <c r="AA647" t="s">
        <v>12703</v>
      </c>
      <c r="AB647" t="s">
        <v>12704</v>
      </c>
      <c r="AC647" t="s">
        <v>12705</v>
      </c>
      <c r="AD647" t="s">
        <v>12706</v>
      </c>
      <c r="AE647" t="s">
        <v>12707</v>
      </c>
      <c r="AF647" t="s">
        <v>74</v>
      </c>
      <c r="AG647">
        <v>24</v>
      </c>
      <c r="AH647">
        <v>14</v>
      </c>
      <c r="AI647">
        <v>17</v>
      </c>
      <c r="AJ647">
        <v>0</v>
      </c>
      <c r="AK647">
        <v>10</v>
      </c>
      <c r="AL647" t="s">
        <v>271</v>
      </c>
      <c r="AM647" t="s">
        <v>272</v>
      </c>
      <c r="AN647" t="s">
        <v>273</v>
      </c>
      <c r="AO647" t="s">
        <v>12708</v>
      </c>
      <c r="AP647" t="s">
        <v>12709</v>
      </c>
      <c r="AQ647" t="s">
        <v>74</v>
      </c>
      <c r="AR647" t="s">
        <v>12710</v>
      </c>
      <c r="AS647" t="s">
        <v>12711</v>
      </c>
      <c r="AT647" t="s">
        <v>12461</v>
      </c>
      <c r="AU647">
        <v>2017</v>
      </c>
      <c r="AV647">
        <v>122</v>
      </c>
      <c r="AW647">
        <v>12</v>
      </c>
      <c r="AX647" t="s">
        <v>74</v>
      </c>
      <c r="AY647" t="s">
        <v>74</v>
      </c>
      <c r="AZ647" t="s">
        <v>74</v>
      </c>
      <c r="BA647" t="s">
        <v>74</v>
      </c>
      <c r="BB647">
        <v>2284</v>
      </c>
      <c r="BC647">
        <v>2301</v>
      </c>
      <c r="BD647" t="s">
        <v>74</v>
      </c>
      <c r="BE647" t="s">
        <v>12712</v>
      </c>
      <c r="BF647" t="str">
        <f>HYPERLINK("http://dx.doi.org/10.1002/2017JF004357","http://dx.doi.org/10.1002/2017JF004357")</f>
        <v>http://dx.doi.org/10.1002/2017JF004357</v>
      </c>
      <c r="BG647" t="s">
        <v>74</v>
      </c>
      <c r="BH647" t="s">
        <v>74</v>
      </c>
      <c r="BI647">
        <v>18</v>
      </c>
      <c r="BJ647" t="s">
        <v>280</v>
      </c>
      <c r="BK647" t="s">
        <v>101</v>
      </c>
      <c r="BL647" t="s">
        <v>281</v>
      </c>
      <c r="BM647" t="s">
        <v>12713</v>
      </c>
      <c r="BN647" t="s">
        <v>74</v>
      </c>
      <c r="BO647" t="s">
        <v>1168</v>
      </c>
      <c r="BP647" t="s">
        <v>74</v>
      </c>
      <c r="BQ647" t="s">
        <v>74</v>
      </c>
      <c r="BR647" t="s">
        <v>105</v>
      </c>
      <c r="BS647" t="s">
        <v>12714</v>
      </c>
      <c r="BT647" t="str">
        <f>HYPERLINK("https%3A%2F%2Fwww.webofscience.com%2Fwos%2Fwoscc%2Ffull-record%2FWOS:000419994700001","View Full Record in Web of Science")</f>
        <v>View Full Record in Web of Science</v>
      </c>
    </row>
    <row r="648" spans="1:72" x14ac:dyDescent="0.15">
      <c r="A648" t="s">
        <v>72</v>
      </c>
      <c r="B648" t="s">
        <v>12715</v>
      </c>
      <c r="C648" t="s">
        <v>74</v>
      </c>
      <c r="D648" t="s">
        <v>74</v>
      </c>
      <c r="E648" t="s">
        <v>74</v>
      </c>
      <c r="F648" t="s">
        <v>12716</v>
      </c>
      <c r="G648" t="s">
        <v>74</v>
      </c>
      <c r="H648" t="s">
        <v>74</v>
      </c>
      <c r="I648" t="s">
        <v>12717</v>
      </c>
      <c r="J648" t="s">
        <v>8360</v>
      </c>
      <c r="K648" t="s">
        <v>74</v>
      </c>
      <c r="L648" t="s">
        <v>74</v>
      </c>
      <c r="M648" t="s">
        <v>78</v>
      </c>
      <c r="N648" t="s">
        <v>79</v>
      </c>
      <c r="O648" t="s">
        <v>74</v>
      </c>
      <c r="P648" t="s">
        <v>74</v>
      </c>
      <c r="Q648" t="s">
        <v>74</v>
      </c>
      <c r="R648" t="s">
        <v>74</v>
      </c>
      <c r="S648" t="s">
        <v>74</v>
      </c>
      <c r="T648" t="s">
        <v>12718</v>
      </c>
      <c r="U648" t="s">
        <v>12719</v>
      </c>
      <c r="V648" t="s">
        <v>12720</v>
      </c>
      <c r="W648" t="s">
        <v>12721</v>
      </c>
      <c r="X648" t="s">
        <v>12722</v>
      </c>
      <c r="Y648" t="s">
        <v>12723</v>
      </c>
      <c r="Z648" t="s">
        <v>12724</v>
      </c>
      <c r="AA648" t="s">
        <v>12725</v>
      </c>
      <c r="AB648" t="s">
        <v>12726</v>
      </c>
      <c r="AC648" t="s">
        <v>12727</v>
      </c>
      <c r="AD648" t="s">
        <v>12728</v>
      </c>
      <c r="AE648" t="s">
        <v>12729</v>
      </c>
      <c r="AF648" t="s">
        <v>74</v>
      </c>
      <c r="AG648">
        <v>112</v>
      </c>
      <c r="AH648">
        <v>17</v>
      </c>
      <c r="AI648">
        <v>17</v>
      </c>
      <c r="AJ648">
        <v>1</v>
      </c>
      <c r="AK648">
        <v>11</v>
      </c>
      <c r="AL648" t="s">
        <v>271</v>
      </c>
      <c r="AM648" t="s">
        <v>272</v>
      </c>
      <c r="AN648" t="s">
        <v>273</v>
      </c>
      <c r="AO648" t="s">
        <v>8373</v>
      </c>
      <c r="AP648" t="s">
        <v>8374</v>
      </c>
      <c r="AQ648" t="s">
        <v>74</v>
      </c>
      <c r="AR648" t="s">
        <v>8375</v>
      </c>
      <c r="AS648" t="s">
        <v>8376</v>
      </c>
      <c r="AT648" t="s">
        <v>12461</v>
      </c>
      <c r="AU648">
        <v>2017</v>
      </c>
      <c r="AV648">
        <v>122</v>
      </c>
      <c r="AW648">
        <v>12</v>
      </c>
      <c r="AX648" t="s">
        <v>74</v>
      </c>
      <c r="AY648" t="s">
        <v>74</v>
      </c>
      <c r="AZ648" t="s">
        <v>74</v>
      </c>
      <c r="BA648" t="s">
        <v>74</v>
      </c>
      <c r="BB648">
        <v>9548</v>
      </c>
      <c r="BC648">
        <v>9571</v>
      </c>
      <c r="BD648" t="s">
        <v>74</v>
      </c>
      <c r="BE648" t="s">
        <v>12730</v>
      </c>
      <c r="BF648" t="str">
        <f>HYPERLINK("http://dx.doi.org/10.1002/2017JC013288","http://dx.doi.org/10.1002/2017JC013288")</f>
        <v>http://dx.doi.org/10.1002/2017JC013288</v>
      </c>
      <c r="BG648" t="s">
        <v>74</v>
      </c>
      <c r="BH648" t="s">
        <v>74</v>
      </c>
      <c r="BI648">
        <v>24</v>
      </c>
      <c r="BJ648" t="s">
        <v>1907</v>
      </c>
      <c r="BK648" t="s">
        <v>101</v>
      </c>
      <c r="BL648" t="s">
        <v>1907</v>
      </c>
      <c r="BM648" t="s">
        <v>12731</v>
      </c>
      <c r="BN648" t="s">
        <v>74</v>
      </c>
      <c r="BO648" t="s">
        <v>8718</v>
      </c>
      <c r="BP648" t="s">
        <v>74</v>
      </c>
      <c r="BQ648" t="s">
        <v>74</v>
      </c>
      <c r="BR648" t="s">
        <v>105</v>
      </c>
      <c r="BS648" t="s">
        <v>12732</v>
      </c>
      <c r="BT648" t="str">
        <f>HYPERLINK("https%3A%2F%2Fwww.webofscience.com%2Fwos%2Fwoscc%2Ffull-record%2FWOS:000422732100014","View Full Record in Web of Science")</f>
        <v>View Full Record in Web of Science</v>
      </c>
    </row>
    <row r="649" spans="1:72" x14ac:dyDescent="0.15">
      <c r="A649" t="s">
        <v>72</v>
      </c>
      <c r="B649" t="s">
        <v>12733</v>
      </c>
      <c r="C649" t="s">
        <v>74</v>
      </c>
      <c r="D649" t="s">
        <v>74</v>
      </c>
      <c r="E649" t="s">
        <v>74</v>
      </c>
      <c r="F649" t="s">
        <v>12734</v>
      </c>
      <c r="G649" t="s">
        <v>74</v>
      </c>
      <c r="H649" t="s">
        <v>74</v>
      </c>
      <c r="I649" t="s">
        <v>12735</v>
      </c>
      <c r="J649" t="s">
        <v>8360</v>
      </c>
      <c r="K649" t="s">
        <v>74</v>
      </c>
      <c r="L649" t="s">
        <v>74</v>
      </c>
      <c r="M649" t="s">
        <v>78</v>
      </c>
      <c r="N649" t="s">
        <v>79</v>
      </c>
      <c r="O649" t="s">
        <v>74</v>
      </c>
      <c r="P649" t="s">
        <v>74</v>
      </c>
      <c r="Q649" t="s">
        <v>74</v>
      </c>
      <c r="R649" t="s">
        <v>74</v>
      </c>
      <c r="S649" t="s">
        <v>74</v>
      </c>
      <c r="T649" t="s">
        <v>74</v>
      </c>
      <c r="U649" t="s">
        <v>12736</v>
      </c>
      <c r="V649" t="s">
        <v>12737</v>
      </c>
      <c r="W649" t="s">
        <v>12738</v>
      </c>
      <c r="X649" t="s">
        <v>12739</v>
      </c>
      <c r="Y649" t="s">
        <v>12740</v>
      </c>
      <c r="Z649" t="s">
        <v>12741</v>
      </c>
      <c r="AA649" t="s">
        <v>12742</v>
      </c>
      <c r="AB649" t="s">
        <v>12743</v>
      </c>
      <c r="AC649" t="s">
        <v>12744</v>
      </c>
      <c r="AD649" t="s">
        <v>12744</v>
      </c>
      <c r="AE649" t="s">
        <v>12745</v>
      </c>
      <c r="AF649" t="s">
        <v>74</v>
      </c>
      <c r="AG649">
        <v>49</v>
      </c>
      <c r="AH649">
        <v>41</v>
      </c>
      <c r="AI649">
        <v>44</v>
      </c>
      <c r="AJ649">
        <v>1</v>
      </c>
      <c r="AK649">
        <v>17</v>
      </c>
      <c r="AL649" t="s">
        <v>271</v>
      </c>
      <c r="AM649" t="s">
        <v>272</v>
      </c>
      <c r="AN649" t="s">
        <v>273</v>
      </c>
      <c r="AO649" t="s">
        <v>8373</v>
      </c>
      <c r="AP649" t="s">
        <v>8374</v>
      </c>
      <c r="AQ649" t="s">
        <v>74</v>
      </c>
      <c r="AR649" t="s">
        <v>8375</v>
      </c>
      <c r="AS649" t="s">
        <v>8376</v>
      </c>
      <c r="AT649" t="s">
        <v>12461</v>
      </c>
      <c r="AU649">
        <v>2017</v>
      </c>
      <c r="AV649">
        <v>122</v>
      </c>
      <c r="AW649">
        <v>12</v>
      </c>
      <c r="AX649" t="s">
        <v>74</v>
      </c>
      <c r="AY649" t="s">
        <v>74</v>
      </c>
      <c r="AZ649" t="s">
        <v>74</v>
      </c>
      <c r="BA649" t="s">
        <v>74</v>
      </c>
      <c r="BB649">
        <v>10042</v>
      </c>
      <c r="BC649">
        <v>10060</v>
      </c>
      <c r="BD649" t="s">
        <v>74</v>
      </c>
      <c r="BE649" t="s">
        <v>12746</v>
      </c>
      <c r="BF649" t="str">
        <f>HYPERLINK("http://dx.doi.org/10.1002/2017JC013314","http://dx.doi.org/10.1002/2017JC013314")</f>
        <v>http://dx.doi.org/10.1002/2017JC013314</v>
      </c>
      <c r="BG649" t="s">
        <v>74</v>
      </c>
      <c r="BH649" t="s">
        <v>74</v>
      </c>
      <c r="BI649">
        <v>19</v>
      </c>
      <c r="BJ649" t="s">
        <v>1907</v>
      </c>
      <c r="BK649" t="s">
        <v>101</v>
      </c>
      <c r="BL649" t="s">
        <v>1907</v>
      </c>
      <c r="BM649" t="s">
        <v>12731</v>
      </c>
      <c r="BN649" t="s">
        <v>74</v>
      </c>
      <c r="BO649" t="s">
        <v>306</v>
      </c>
      <c r="BP649" t="s">
        <v>74</v>
      </c>
      <c r="BQ649" t="s">
        <v>74</v>
      </c>
      <c r="BR649" t="s">
        <v>105</v>
      </c>
      <c r="BS649" t="s">
        <v>12747</v>
      </c>
      <c r="BT649" t="str">
        <f>HYPERLINK("https%3A%2F%2Fwww.webofscience.com%2Fwos%2Fwoscc%2Ffull-record%2FWOS:000422732100042","View Full Record in Web of Science")</f>
        <v>View Full Record in Web of Science</v>
      </c>
    </row>
    <row r="650" spans="1:72" x14ac:dyDescent="0.15">
      <c r="A650" t="s">
        <v>72</v>
      </c>
      <c r="B650" t="s">
        <v>12748</v>
      </c>
      <c r="C650" t="s">
        <v>74</v>
      </c>
      <c r="D650" t="s">
        <v>74</v>
      </c>
      <c r="E650" t="s">
        <v>74</v>
      </c>
      <c r="F650" t="s">
        <v>12749</v>
      </c>
      <c r="G650" t="s">
        <v>74</v>
      </c>
      <c r="H650" t="s">
        <v>74</v>
      </c>
      <c r="I650" t="s">
        <v>12750</v>
      </c>
      <c r="J650" t="s">
        <v>8360</v>
      </c>
      <c r="K650" t="s">
        <v>74</v>
      </c>
      <c r="L650" t="s">
        <v>74</v>
      </c>
      <c r="M650" t="s">
        <v>78</v>
      </c>
      <c r="N650" t="s">
        <v>79</v>
      </c>
      <c r="O650" t="s">
        <v>74</v>
      </c>
      <c r="P650" t="s">
        <v>74</v>
      </c>
      <c r="Q650" t="s">
        <v>74</v>
      </c>
      <c r="R650" t="s">
        <v>74</v>
      </c>
      <c r="S650" t="s">
        <v>74</v>
      </c>
      <c r="T650" t="s">
        <v>74</v>
      </c>
      <c r="U650" t="s">
        <v>12751</v>
      </c>
      <c r="V650" t="s">
        <v>12752</v>
      </c>
      <c r="W650" t="s">
        <v>12753</v>
      </c>
      <c r="X650" t="s">
        <v>12754</v>
      </c>
      <c r="Y650" t="s">
        <v>12755</v>
      </c>
      <c r="Z650" t="s">
        <v>12756</v>
      </c>
      <c r="AA650" t="s">
        <v>12757</v>
      </c>
      <c r="AB650" t="s">
        <v>12758</v>
      </c>
      <c r="AC650" t="s">
        <v>12759</v>
      </c>
      <c r="AD650" t="s">
        <v>12760</v>
      </c>
      <c r="AE650" t="s">
        <v>12761</v>
      </c>
      <c r="AF650" t="s">
        <v>74</v>
      </c>
      <c r="AG650">
        <v>61</v>
      </c>
      <c r="AH650">
        <v>48</v>
      </c>
      <c r="AI650">
        <v>56</v>
      </c>
      <c r="AJ650">
        <v>0</v>
      </c>
      <c r="AK650">
        <v>18</v>
      </c>
      <c r="AL650" t="s">
        <v>271</v>
      </c>
      <c r="AM650" t="s">
        <v>272</v>
      </c>
      <c r="AN650" t="s">
        <v>273</v>
      </c>
      <c r="AO650" t="s">
        <v>8373</v>
      </c>
      <c r="AP650" t="s">
        <v>8374</v>
      </c>
      <c r="AQ650" t="s">
        <v>74</v>
      </c>
      <c r="AR650" t="s">
        <v>8375</v>
      </c>
      <c r="AS650" t="s">
        <v>8376</v>
      </c>
      <c r="AT650" t="s">
        <v>12461</v>
      </c>
      <c r="AU650">
        <v>2017</v>
      </c>
      <c r="AV650">
        <v>122</v>
      </c>
      <c r="AW650">
        <v>12</v>
      </c>
      <c r="AX650" t="s">
        <v>74</v>
      </c>
      <c r="AY650" t="s">
        <v>74</v>
      </c>
      <c r="AZ650" t="s">
        <v>74</v>
      </c>
      <c r="BA650" t="s">
        <v>74</v>
      </c>
      <c r="BB650">
        <v>10131</v>
      </c>
      <c r="BC650">
        <v>10155</v>
      </c>
      <c r="BD650" t="s">
        <v>74</v>
      </c>
      <c r="BE650" t="s">
        <v>12762</v>
      </c>
      <c r="BF650" t="str">
        <f>HYPERLINK("http://dx.doi.org/10.1002/2017JC012926","http://dx.doi.org/10.1002/2017JC012926")</f>
        <v>http://dx.doi.org/10.1002/2017JC012926</v>
      </c>
      <c r="BG650" t="s">
        <v>74</v>
      </c>
      <c r="BH650" t="s">
        <v>74</v>
      </c>
      <c r="BI650">
        <v>25</v>
      </c>
      <c r="BJ650" t="s">
        <v>1907</v>
      </c>
      <c r="BK650" t="s">
        <v>101</v>
      </c>
      <c r="BL650" t="s">
        <v>1907</v>
      </c>
      <c r="BM650" t="s">
        <v>12731</v>
      </c>
      <c r="BN650" t="s">
        <v>74</v>
      </c>
      <c r="BO650" t="s">
        <v>12763</v>
      </c>
      <c r="BP650" t="s">
        <v>74</v>
      </c>
      <c r="BQ650" t="s">
        <v>74</v>
      </c>
      <c r="BR650" t="s">
        <v>105</v>
      </c>
      <c r="BS650" t="s">
        <v>12764</v>
      </c>
      <c r="BT650" t="str">
        <f>HYPERLINK("https%3A%2F%2Fwww.webofscience.com%2Fwos%2Fwoscc%2Ffull-record%2FWOS:000422732100048","View Full Record in Web of Science")</f>
        <v>View Full Record in Web of Science</v>
      </c>
    </row>
    <row r="651" spans="1:72" x14ac:dyDescent="0.15">
      <c r="A651" t="s">
        <v>72</v>
      </c>
      <c r="B651" t="s">
        <v>12765</v>
      </c>
      <c r="C651" t="s">
        <v>74</v>
      </c>
      <c r="D651" t="s">
        <v>74</v>
      </c>
      <c r="E651" t="s">
        <v>74</v>
      </c>
      <c r="F651" t="s">
        <v>12766</v>
      </c>
      <c r="G651" t="s">
        <v>74</v>
      </c>
      <c r="H651" t="s">
        <v>74</v>
      </c>
      <c r="I651" t="s">
        <v>12767</v>
      </c>
      <c r="J651" t="s">
        <v>8360</v>
      </c>
      <c r="K651" t="s">
        <v>74</v>
      </c>
      <c r="L651" t="s">
        <v>74</v>
      </c>
      <c r="M651" t="s">
        <v>78</v>
      </c>
      <c r="N651" t="s">
        <v>79</v>
      </c>
      <c r="O651" t="s">
        <v>74</v>
      </c>
      <c r="P651" t="s">
        <v>74</v>
      </c>
      <c r="Q651" t="s">
        <v>74</v>
      </c>
      <c r="R651" t="s">
        <v>74</v>
      </c>
      <c r="S651" t="s">
        <v>74</v>
      </c>
      <c r="T651" t="s">
        <v>74</v>
      </c>
      <c r="U651" t="s">
        <v>12768</v>
      </c>
      <c r="V651" t="s">
        <v>12769</v>
      </c>
      <c r="W651" t="s">
        <v>12770</v>
      </c>
      <c r="X651" t="s">
        <v>12771</v>
      </c>
      <c r="Y651" t="s">
        <v>12772</v>
      </c>
      <c r="Z651" t="s">
        <v>12773</v>
      </c>
      <c r="AA651" t="s">
        <v>12774</v>
      </c>
      <c r="AB651" t="s">
        <v>12775</v>
      </c>
      <c r="AC651" t="s">
        <v>12776</v>
      </c>
      <c r="AD651" t="s">
        <v>12777</v>
      </c>
      <c r="AE651" t="s">
        <v>12778</v>
      </c>
      <c r="AF651" t="s">
        <v>74</v>
      </c>
      <c r="AG651">
        <v>79</v>
      </c>
      <c r="AH651">
        <v>33</v>
      </c>
      <c r="AI651">
        <v>35</v>
      </c>
      <c r="AJ651">
        <v>0</v>
      </c>
      <c r="AK651">
        <v>10</v>
      </c>
      <c r="AL651" t="s">
        <v>271</v>
      </c>
      <c r="AM651" t="s">
        <v>272</v>
      </c>
      <c r="AN651" t="s">
        <v>273</v>
      </c>
      <c r="AO651" t="s">
        <v>8373</v>
      </c>
      <c r="AP651" t="s">
        <v>8374</v>
      </c>
      <c r="AQ651" t="s">
        <v>74</v>
      </c>
      <c r="AR651" t="s">
        <v>8375</v>
      </c>
      <c r="AS651" t="s">
        <v>8376</v>
      </c>
      <c r="AT651" t="s">
        <v>12461</v>
      </c>
      <c r="AU651">
        <v>2017</v>
      </c>
      <c r="AV651">
        <v>122</v>
      </c>
      <c r="AW651">
        <v>12</v>
      </c>
      <c r="AX651" t="s">
        <v>74</v>
      </c>
      <c r="AY651" t="s">
        <v>74</v>
      </c>
      <c r="AZ651" t="s">
        <v>74</v>
      </c>
      <c r="BA651" t="s">
        <v>74</v>
      </c>
      <c r="BB651">
        <v>10206</v>
      </c>
      <c r="BC651">
        <v>10224</v>
      </c>
      <c r="BD651" t="s">
        <v>74</v>
      </c>
      <c r="BE651" t="s">
        <v>12779</v>
      </c>
      <c r="BF651" t="str">
        <f>HYPERLINK("http://dx.doi.org/10.1002/2017JC013059","http://dx.doi.org/10.1002/2017JC013059")</f>
        <v>http://dx.doi.org/10.1002/2017JC013059</v>
      </c>
      <c r="BG651" t="s">
        <v>74</v>
      </c>
      <c r="BH651" t="s">
        <v>74</v>
      </c>
      <c r="BI651">
        <v>19</v>
      </c>
      <c r="BJ651" t="s">
        <v>1907</v>
      </c>
      <c r="BK651" t="s">
        <v>101</v>
      </c>
      <c r="BL651" t="s">
        <v>1907</v>
      </c>
      <c r="BM651" t="s">
        <v>12731</v>
      </c>
      <c r="BN651" t="s">
        <v>74</v>
      </c>
      <c r="BO651" t="s">
        <v>104</v>
      </c>
      <c r="BP651" t="s">
        <v>74</v>
      </c>
      <c r="BQ651" t="s">
        <v>74</v>
      </c>
      <c r="BR651" t="s">
        <v>105</v>
      </c>
      <c r="BS651" t="s">
        <v>12780</v>
      </c>
      <c r="BT651" t="str">
        <f>HYPERLINK("https%3A%2F%2Fwww.webofscience.com%2Fwos%2Fwoscc%2Ffull-record%2FWOS:000422732100052","View Full Record in Web of Science")</f>
        <v>View Full Record in Web of Science</v>
      </c>
    </row>
    <row r="652" spans="1:72" x14ac:dyDescent="0.15">
      <c r="A652" t="s">
        <v>72</v>
      </c>
      <c r="B652" t="s">
        <v>12781</v>
      </c>
      <c r="C652" t="s">
        <v>74</v>
      </c>
      <c r="D652" t="s">
        <v>74</v>
      </c>
      <c r="E652" t="s">
        <v>74</v>
      </c>
      <c r="F652" t="s">
        <v>12782</v>
      </c>
      <c r="G652" t="s">
        <v>74</v>
      </c>
      <c r="H652" t="s">
        <v>74</v>
      </c>
      <c r="I652" t="s">
        <v>12783</v>
      </c>
      <c r="J652" t="s">
        <v>8513</v>
      </c>
      <c r="K652" t="s">
        <v>74</v>
      </c>
      <c r="L652" t="s">
        <v>74</v>
      </c>
      <c r="M652" t="s">
        <v>78</v>
      </c>
      <c r="N652" t="s">
        <v>79</v>
      </c>
      <c r="O652" t="s">
        <v>74</v>
      </c>
      <c r="P652" t="s">
        <v>74</v>
      </c>
      <c r="Q652" t="s">
        <v>74</v>
      </c>
      <c r="R652" t="s">
        <v>74</v>
      </c>
      <c r="S652" t="s">
        <v>74</v>
      </c>
      <c r="T652" t="s">
        <v>74</v>
      </c>
      <c r="U652" t="s">
        <v>12784</v>
      </c>
      <c r="V652" t="s">
        <v>12785</v>
      </c>
      <c r="W652" t="s">
        <v>12786</v>
      </c>
      <c r="X652" t="s">
        <v>12787</v>
      </c>
      <c r="Y652" t="s">
        <v>12788</v>
      </c>
      <c r="Z652" t="s">
        <v>12789</v>
      </c>
      <c r="AA652" t="s">
        <v>12790</v>
      </c>
      <c r="AB652" t="s">
        <v>12791</v>
      </c>
      <c r="AC652" t="s">
        <v>12792</v>
      </c>
      <c r="AD652" t="s">
        <v>12793</v>
      </c>
      <c r="AE652" t="s">
        <v>12794</v>
      </c>
      <c r="AF652" t="s">
        <v>74</v>
      </c>
      <c r="AG652">
        <v>111</v>
      </c>
      <c r="AH652">
        <v>7</v>
      </c>
      <c r="AI652">
        <v>8</v>
      </c>
      <c r="AJ652">
        <v>0</v>
      </c>
      <c r="AK652">
        <v>3</v>
      </c>
      <c r="AL652" t="s">
        <v>271</v>
      </c>
      <c r="AM652" t="s">
        <v>272</v>
      </c>
      <c r="AN652" t="s">
        <v>273</v>
      </c>
      <c r="AO652" t="s">
        <v>8525</v>
      </c>
      <c r="AP652" t="s">
        <v>8526</v>
      </c>
      <c r="AQ652" t="s">
        <v>74</v>
      </c>
      <c r="AR652" t="s">
        <v>8527</v>
      </c>
      <c r="AS652" t="s">
        <v>8528</v>
      </c>
      <c r="AT652" t="s">
        <v>12461</v>
      </c>
      <c r="AU652">
        <v>2017</v>
      </c>
      <c r="AV652">
        <v>122</v>
      </c>
      <c r="AW652">
        <v>12</v>
      </c>
      <c r="AX652" t="s">
        <v>74</v>
      </c>
      <c r="AY652" t="s">
        <v>74</v>
      </c>
      <c r="AZ652" t="s">
        <v>74</v>
      </c>
      <c r="BA652" t="s">
        <v>74</v>
      </c>
      <c r="BB652">
        <v>12072</v>
      </c>
      <c r="BC652">
        <v>12089</v>
      </c>
      <c r="BD652" t="s">
        <v>74</v>
      </c>
      <c r="BE652" t="s">
        <v>12795</v>
      </c>
      <c r="BF652" t="str">
        <f>HYPERLINK("http://dx.doi.org/10.1002/2017JA024607","http://dx.doi.org/10.1002/2017JA024607")</f>
        <v>http://dx.doi.org/10.1002/2017JA024607</v>
      </c>
      <c r="BG652" t="s">
        <v>74</v>
      </c>
      <c r="BH652" t="s">
        <v>74</v>
      </c>
      <c r="BI652">
        <v>18</v>
      </c>
      <c r="BJ652" t="s">
        <v>787</v>
      </c>
      <c r="BK652" t="s">
        <v>101</v>
      </c>
      <c r="BL652" t="s">
        <v>787</v>
      </c>
      <c r="BM652" t="s">
        <v>12796</v>
      </c>
      <c r="BN652" t="s">
        <v>74</v>
      </c>
      <c r="BO652" t="s">
        <v>12797</v>
      </c>
      <c r="BP652" t="s">
        <v>74</v>
      </c>
      <c r="BQ652" t="s">
        <v>74</v>
      </c>
      <c r="BR652" t="s">
        <v>105</v>
      </c>
      <c r="BS652" t="s">
        <v>12798</v>
      </c>
      <c r="BT652" t="str">
        <f>HYPERLINK("https%3A%2F%2Fwww.webofscience.com%2Fwos%2Fwoscc%2Ffull-record%2FWOS:000422735500024","View Full Record in Web of Science")</f>
        <v>View Full Record in Web of Science</v>
      </c>
    </row>
    <row r="653" spans="1:72" x14ac:dyDescent="0.15">
      <c r="A653" t="s">
        <v>72</v>
      </c>
      <c r="B653" t="s">
        <v>12799</v>
      </c>
      <c r="C653" t="s">
        <v>74</v>
      </c>
      <c r="D653" t="s">
        <v>74</v>
      </c>
      <c r="E653" t="s">
        <v>74</v>
      </c>
      <c r="F653" t="s">
        <v>12800</v>
      </c>
      <c r="G653" t="s">
        <v>74</v>
      </c>
      <c r="H653" t="s">
        <v>74</v>
      </c>
      <c r="I653" t="s">
        <v>12801</v>
      </c>
      <c r="J653" t="s">
        <v>8513</v>
      </c>
      <c r="K653" t="s">
        <v>74</v>
      </c>
      <c r="L653" t="s">
        <v>74</v>
      </c>
      <c r="M653" t="s">
        <v>78</v>
      </c>
      <c r="N653" t="s">
        <v>79</v>
      </c>
      <c r="O653" t="s">
        <v>74</v>
      </c>
      <c r="P653" t="s">
        <v>74</v>
      </c>
      <c r="Q653" t="s">
        <v>74</v>
      </c>
      <c r="R653" t="s">
        <v>74</v>
      </c>
      <c r="S653" t="s">
        <v>74</v>
      </c>
      <c r="T653" t="s">
        <v>74</v>
      </c>
      <c r="U653" t="s">
        <v>12802</v>
      </c>
      <c r="V653" t="s">
        <v>12803</v>
      </c>
      <c r="W653" t="s">
        <v>12804</v>
      </c>
      <c r="X653" t="s">
        <v>12805</v>
      </c>
      <c r="Y653" t="s">
        <v>12806</v>
      </c>
      <c r="Z653" t="s">
        <v>12807</v>
      </c>
      <c r="AA653" t="s">
        <v>12808</v>
      </c>
      <c r="AB653" t="s">
        <v>12809</v>
      </c>
      <c r="AC653" t="s">
        <v>12810</v>
      </c>
      <c r="AD653" t="s">
        <v>12811</v>
      </c>
      <c r="AE653" t="s">
        <v>12812</v>
      </c>
      <c r="AF653" t="s">
        <v>74</v>
      </c>
      <c r="AG653">
        <v>103</v>
      </c>
      <c r="AH653">
        <v>26</v>
      </c>
      <c r="AI653">
        <v>27</v>
      </c>
      <c r="AJ653">
        <v>0</v>
      </c>
      <c r="AK653">
        <v>12</v>
      </c>
      <c r="AL653" t="s">
        <v>271</v>
      </c>
      <c r="AM653" t="s">
        <v>272</v>
      </c>
      <c r="AN653" t="s">
        <v>273</v>
      </c>
      <c r="AO653" t="s">
        <v>8525</v>
      </c>
      <c r="AP653" t="s">
        <v>8526</v>
      </c>
      <c r="AQ653" t="s">
        <v>74</v>
      </c>
      <c r="AR653" t="s">
        <v>8527</v>
      </c>
      <c r="AS653" t="s">
        <v>8528</v>
      </c>
      <c r="AT653" t="s">
        <v>12461</v>
      </c>
      <c r="AU653">
        <v>2017</v>
      </c>
      <c r="AV653">
        <v>122</v>
      </c>
      <c r="AW653">
        <v>12</v>
      </c>
      <c r="AX653" t="s">
        <v>74</v>
      </c>
      <c r="AY653" t="s">
        <v>74</v>
      </c>
      <c r="AZ653" t="s">
        <v>74</v>
      </c>
      <c r="BA653" t="s">
        <v>74</v>
      </c>
      <c r="BB653">
        <v>12310</v>
      </c>
      <c r="BC653">
        <v>12327</v>
      </c>
      <c r="BD653" t="s">
        <v>74</v>
      </c>
      <c r="BE653" t="s">
        <v>12813</v>
      </c>
      <c r="BF653" t="str">
        <f>HYPERLINK("http://dx.doi.org/10.1002/2017JA024730","http://dx.doi.org/10.1002/2017JA024730")</f>
        <v>http://dx.doi.org/10.1002/2017JA024730</v>
      </c>
      <c r="BG653" t="s">
        <v>74</v>
      </c>
      <c r="BH653" t="s">
        <v>74</v>
      </c>
      <c r="BI653">
        <v>18</v>
      </c>
      <c r="BJ653" t="s">
        <v>787</v>
      </c>
      <c r="BK653" t="s">
        <v>101</v>
      </c>
      <c r="BL653" t="s">
        <v>787</v>
      </c>
      <c r="BM653" t="s">
        <v>12796</v>
      </c>
      <c r="BN653" t="s">
        <v>74</v>
      </c>
      <c r="BO653" t="s">
        <v>7675</v>
      </c>
      <c r="BP653" t="s">
        <v>74</v>
      </c>
      <c r="BQ653" t="s">
        <v>74</v>
      </c>
      <c r="BR653" t="s">
        <v>105</v>
      </c>
      <c r="BS653" t="s">
        <v>12814</v>
      </c>
      <c r="BT653" t="str">
        <f>HYPERLINK("https%3A%2F%2Fwww.webofscience.com%2Fwos%2Fwoscc%2Ffull-record%2FWOS:000422735500031","View Full Record in Web of Science")</f>
        <v>View Full Record in Web of Science</v>
      </c>
    </row>
    <row r="654" spans="1:72" x14ac:dyDescent="0.15">
      <c r="A654" t="s">
        <v>72</v>
      </c>
      <c r="B654" t="s">
        <v>12815</v>
      </c>
      <c r="C654" t="s">
        <v>74</v>
      </c>
      <c r="D654" t="s">
        <v>74</v>
      </c>
      <c r="E654" t="s">
        <v>74</v>
      </c>
      <c r="F654" t="s">
        <v>12816</v>
      </c>
      <c r="G654" t="s">
        <v>74</v>
      </c>
      <c r="H654" t="s">
        <v>74</v>
      </c>
      <c r="I654" t="s">
        <v>12817</v>
      </c>
      <c r="J654" t="s">
        <v>10648</v>
      </c>
      <c r="K654" t="s">
        <v>74</v>
      </c>
      <c r="L654" t="s">
        <v>74</v>
      </c>
      <c r="M654" t="s">
        <v>78</v>
      </c>
      <c r="N654" t="s">
        <v>79</v>
      </c>
      <c r="O654" t="s">
        <v>74</v>
      </c>
      <c r="P654" t="s">
        <v>74</v>
      </c>
      <c r="Q654" t="s">
        <v>74</v>
      </c>
      <c r="R654" t="s">
        <v>74</v>
      </c>
      <c r="S654" t="s">
        <v>74</v>
      </c>
      <c r="T654" t="s">
        <v>74</v>
      </c>
      <c r="U654" t="s">
        <v>12818</v>
      </c>
      <c r="V654" t="s">
        <v>12819</v>
      </c>
      <c r="W654" t="s">
        <v>12820</v>
      </c>
      <c r="X654" t="s">
        <v>12821</v>
      </c>
      <c r="Y654" t="s">
        <v>12822</v>
      </c>
      <c r="Z654" t="s">
        <v>12823</v>
      </c>
      <c r="AA654" t="s">
        <v>12824</v>
      </c>
      <c r="AB654" t="s">
        <v>74</v>
      </c>
      <c r="AC654" t="s">
        <v>12825</v>
      </c>
      <c r="AD654" t="s">
        <v>12826</v>
      </c>
      <c r="AE654" t="s">
        <v>12827</v>
      </c>
      <c r="AF654" t="s">
        <v>74</v>
      </c>
      <c r="AG654">
        <v>57</v>
      </c>
      <c r="AH654">
        <v>22</v>
      </c>
      <c r="AI654">
        <v>25</v>
      </c>
      <c r="AJ654">
        <v>0</v>
      </c>
      <c r="AK654">
        <v>17</v>
      </c>
      <c r="AL654" t="s">
        <v>4270</v>
      </c>
      <c r="AM654" t="s">
        <v>4271</v>
      </c>
      <c r="AN654" t="s">
        <v>4272</v>
      </c>
      <c r="AO654" t="s">
        <v>10661</v>
      </c>
      <c r="AP654" t="s">
        <v>10662</v>
      </c>
      <c r="AQ654" t="s">
        <v>74</v>
      </c>
      <c r="AR654" t="s">
        <v>10663</v>
      </c>
      <c r="AS654" t="s">
        <v>10664</v>
      </c>
      <c r="AT654" t="s">
        <v>12461</v>
      </c>
      <c r="AU654">
        <v>2017</v>
      </c>
      <c r="AV654">
        <v>48</v>
      </c>
      <c r="AW654">
        <v>12</v>
      </c>
      <c r="AX654" t="s">
        <v>74</v>
      </c>
      <c r="AY654" t="s">
        <v>74</v>
      </c>
      <c r="AZ654" t="s">
        <v>74</v>
      </c>
      <c r="BA654" t="s">
        <v>74</v>
      </c>
      <c r="BB654">
        <v>1549</v>
      </c>
      <c r="BC654">
        <v>1555</v>
      </c>
      <c r="BD654" t="s">
        <v>74</v>
      </c>
      <c r="BE654" t="s">
        <v>12828</v>
      </c>
      <c r="BF654" t="str">
        <f>HYPERLINK("http://dx.doi.org/10.1111/jav.01238","http://dx.doi.org/10.1111/jav.01238")</f>
        <v>http://dx.doi.org/10.1111/jav.01238</v>
      </c>
      <c r="BG654" t="s">
        <v>74</v>
      </c>
      <c r="BH654" t="s">
        <v>74</v>
      </c>
      <c r="BI654">
        <v>7</v>
      </c>
      <c r="BJ654" t="s">
        <v>4328</v>
      </c>
      <c r="BK654" t="s">
        <v>101</v>
      </c>
      <c r="BL654" t="s">
        <v>655</v>
      </c>
      <c r="BM654" t="s">
        <v>12829</v>
      </c>
      <c r="BN654" t="s">
        <v>74</v>
      </c>
      <c r="BO654" t="s">
        <v>389</v>
      </c>
      <c r="BP654" t="s">
        <v>74</v>
      </c>
      <c r="BQ654" t="s">
        <v>74</v>
      </c>
      <c r="BR654" t="s">
        <v>105</v>
      </c>
      <c r="BS654" t="s">
        <v>12830</v>
      </c>
      <c r="BT654" t="str">
        <f>HYPERLINK("https%3A%2F%2Fwww.webofscience.com%2Fwos%2Fwoscc%2Ffull-record%2FWOS:000418276300006","View Full Record in Web of Science")</f>
        <v>View Full Record in Web of Science</v>
      </c>
    </row>
    <row r="655" spans="1:72" x14ac:dyDescent="0.15">
      <c r="A655" t="s">
        <v>72</v>
      </c>
      <c r="B655" t="s">
        <v>12831</v>
      </c>
      <c r="C655" t="s">
        <v>74</v>
      </c>
      <c r="D655" t="s">
        <v>74</v>
      </c>
      <c r="E655" t="s">
        <v>74</v>
      </c>
      <c r="F655" t="s">
        <v>12832</v>
      </c>
      <c r="G655" t="s">
        <v>74</v>
      </c>
      <c r="H655" t="s">
        <v>74</v>
      </c>
      <c r="I655" t="s">
        <v>12833</v>
      </c>
      <c r="J655" t="s">
        <v>5707</v>
      </c>
      <c r="K655" t="s">
        <v>74</v>
      </c>
      <c r="L655" t="s">
        <v>74</v>
      </c>
      <c r="M655" t="s">
        <v>78</v>
      </c>
      <c r="N655" t="s">
        <v>79</v>
      </c>
      <c r="O655" t="s">
        <v>74</v>
      </c>
      <c r="P655" t="s">
        <v>74</v>
      </c>
      <c r="Q655" t="s">
        <v>74</v>
      </c>
      <c r="R655" t="s">
        <v>74</v>
      </c>
      <c r="S655" t="s">
        <v>74</v>
      </c>
      <c r="T655" t="s">
        <v>12834</v>
      </c>
      <c r="U655" t="s">
        <v>12835</v>
      </c>
      <c r="V655" t="s">
        <v>12836</v>
      </c>
      <c r="W655" t="s">
        <v>12837</v>
      </c>
      <c r="X655" t="s">
        <v>12838</v>
      </c>
      <c r="Y655" t="s">
        <v>12839</v>
      </c>
      <c r="Z655" t="s">
        <v>12840</v>
      </c>
      <c r="AA655" t="s">
        <v>12841</v>
      </c>
      <c r="AB655" t="s">
        <v>12842</v>
      </c>
      <c r="AC655" t="s">
        <v>12843</v>
      </c>
      <c r="AD655" t="s">
        <v>12843</v>
      </c>
      <c r="AE655" t="s">
        <v>12844</v>
      </c>
      <c r="AF655" t="s">
        <v>74</v>
      </c>
      <c r="AG655">
        <v>69</v>
      </c>
      <c r="AH655">
        <v>12</v>
      </c>
      <c r="AI655">
        <v>14</v>
      </c>
      <c r="AJ655">
        <v>4</v>
      </c>
      <c r="AK655">
        <v>22</v>
      </c>
      <c r="AL655" t="s">
        <v>5720</v>
      </c>
      <c r="AM655" t="s">
        <v>2463</v>
      </c>
      <c r="AN655" t="s">
        <v>2464</v>
      </c>
      <c r="AO655" t="s">
        <v>5721</v>
      </c>
      <c r="AP655" t="s">
        <v>74</v>
      </c>
      <c r="AQ655" t="s">
        <v>74</v>
      </c>
      <c r="AR655" t="s">
        <v>5722</v>
      </c>
      <c r="AS655" t="s">
        <v>5723</v>
      </c>
      <c r="AT655" t="s">
        <v>12461</v>
      </c>
      <c r="AU655">
        <v>2017</v>
      </c>
      <c r="AV655">
        <v>9</v>
      </c>
      <c r="AW655">
        <v>12</v>
      </c>
      <c r="AX655" t="s">
        <v>74</v>
      </c>
      <c r="AY655" t="s">
        <v>74</v>
      </c>
      <c r="AZ655" t="s">
        <v>74</v>
      </c>
      <c r="BA655" t="s">
        <v>74</v>
      </c>
      <c r="BB655" t="s">
        <v>74</v>
      </c>
      <c r="BC655" t="s">
        <v>74</v>
      </c>
      <c r="BD655">
        <v>1324</v>
      </c>
      <c r="BE655" t="s">
        <v>12845</v>
      </c>
      <c r="BF655" t="str">
        <f>HYPERLINK("http://dx.doi.org/10.3390/rs9121324","http://dx.doi.org/10.3390/rs9121324")</f>
        <v>http://dx.doi.org/10.3390/rs9121324</v>
      </c>
      <c r="BG655" t="s">
        <v>74</v>
      </c>
      <c r="BH655" t="s">
        <v>74</v>
      </c>
      <c r="BI655">
        <v>38</v>
      </c>
      <c r="BJ655" t="s">
        <v>5725</v>
      </c>
      <c r="BK655" t="s">
        <v>101</v>
      </c>
      <c r="BL655" t="s">
        <v>5726</v>
      </c>
      <c r="BM655" t="s">
        <v>12846</v>
      </c>
      <c r="BN655" t="s">
        <v>74</v>
      </c>
      <c r="BO655" t="s">
        <v>212</v>
      </c>
      <c r="BP655" t="s">
        <v>74</v>
      </c>
      <c r="BQ655" t="s">
        <v>74</v>
      </c>
      <c r="BR655" t="s">
        <v>105</v>
      </c>
      <c r="BS655" t="s">
        <v>12847</v>
      </c>
      <c r="BT655" t="str">
        <f>HYPERLINK("https%3A%2F%2Fwww.webofscience.com%2Fwos%2Fwoscc%2Ffull-record%2FWOS:000419235700119","View Full Record in Web of Science")</f>
        <v>View Full Record in Web of Science</v>
      </c>
    </row>
    <row r="656" spans="1:72" x14ac:dyDescent="0.15">
      <c r="A656" t="s">
        <v>72</v>
      </c>
      <c r="B656" t="s">
        <v>12848</v>
      </c>
      <c r="C656" t="s">
        <v>74</v>
      </c>
      <c r="D656" t="s">
        <v>74</v>
      </c>
      <c r="E656" t="s">
        <v>74</v>
      </c>
      <c r="F656" t="s">
        <v>12849</v>
      </c>
      <c r="G656" t="s">
        <v>74</v>
      </c>
      <c r="H656" t="s">
        <v>74</v>
      </c>
      <c r="I656" t="s">
        <v>12850</v>
      </c>
      <c r="J656" t="s">
        <v>12851</v>
      </c>
      <c r="K656" t="s">
        <v>74</v>
      </c>
      <c r="L656" t="s">
        <v>74</v>
      </c>
      <c r="M656" t="s">
        <v>78</v>
      </c>
      <c r="N656" t="s">
        <v>79</v>
      </c>
      <c r="O656" t="s">
        <v>74</v>
      </c>
      <c r="P656" t="s">
        <v>74</v>
      </c>
      <c r="Q656" t="s">
        <v>74</v>
      </c>
      <c r="R656" t="s">
        <v>74</v>
      </c>
      <c r="S656" t="s">
        <v>74</v>
      </c>
      <c r="T656" t="s">
        <v>12852</v>
      </c>
      <c r="U656" t="s">
        <v>12853</v>
      </c>
      <c r="V656" t="s">
        <v>12854</v>
      </c>
      <c r="W656" t="s">
        <v>12855</v>
      </c>
      <c r="X656" t="s">
        <v>12856</v>
      </c>
      <c r="Y656" t="s">
        <v>12857</v>
      </c>
      <c r="Z656" t="s">
        <v>12858</v>
      </c>
      <c r="AA656" t="s">
        <v>74</v>
      </c>
      <c r="AB656" t="s">
        <v>12859</v>
      </c>
      <c r="AC656" t="s">
        <v>12860</v>
      </c>
      <c r="AD656" t="s">
        <v>12861</v>
      </c>
      <c r="AE656" t="s">
        <v>12862</v>
      </c>
      <c r="AF656" t="s">
        <v>74</v>
      </c>
      <c r="AG656">
        <v>47</v>
      </c>
      <c r="AH656">
        <v>34</v>
      </c>
      <c r="AI656">
        <v>39</v>
      </c>
      <c r="AJ656">
        <v>3</v>
      </c>
      <c r="AK656">
        <v>43</v>
      </c>
      <c r="AL656" t="s">
        <v>2462</v>
      </c>
      <c r="AM656" t="s">
        <v>2463</v>
      </c>
      <c r="AN656" t="s">
        <v>2464</v>
      </c>
      <c r="AO656" t="s">
        <v>74</v>
      </c>
      <c r="AP656" t="s">
        <v>12863</v>
      </c>
      <c r="AQ656" t="s">
        <v>74</v>
      </c>
      <c r="AR656" t="s">
        <v>12864</v>
      </c>
      <c r="AS656" t="s">
        <v>12865</v>
      </c>
      <c r="AT656" t="s">
        <v>12461</v>
      </c>
      <c r="AU656">
        <v>2017</v>
      </c>
      <c r="AV656">
        <v>18</v>
      </c>
      <c r="AW656">
        <v>12</v>
      </c>
      <c r="AX656" t="s">
        <v>74</v>
      </c>
      <c r="AY656" t="s">
        <v>74</v>
      </c>
      <c r="AZ656" t="s">
        <v>74</v>
      </c>
      <c r="BA656" t="s">
        <v>74</v>
      </c>
      <c r="BB656" t="s">
        <v>74</v>
      </c>
      <c r="BC656" t="s">
        <v>74</v>
      </c>
      <c r="BD656">
        <v>2554</v>
      </c>
      <c r="BE656" t="s">
        <v>12866</v>
      </c>
      <c r="BF656" t="str">
        <f>HYPERLINK("http://dx.doi.org/10.3390/ijms18122554","http://dx.doi.org/10.3390/ijms18122554")</f>
        <v>http://dx.doi.org/10.3390/ijms18122554</v>
      </c>
      <c r="BG656" t="s">
        <v>74</v>
      </c>
      <c r="BH656" t="s">
        <v>74</v>
      </c>
      <c r="BI656">
        <v>15</v>
      </c>
      <c r="BJ656" t="s">
        <v>9243</v>
      </c>
      <c r="BK656" t="s">
        <v>101</v>
      </c>
      <c r="BL656" t="s">
        <v>9244</v>
      </c>
      <c r="BM656" t="s">
        <v>12867</v>
      </c>
      <c r="BN656">
        <v>29182579</v>
      </c>
      <c r="BO656" t="s">
        <v>3808</v>
      </c>
      <c r="BP656" t="s">
        <v>74</v>
      </c>
      <c r="BQ656" t="s">
        <v>74</v>
      </c>
      <c r="BR656" t="s">
        <v>105</v>
      </c>
      <c r="BS656" t="s">
        <v>12868</v>
      </c>
      <c r="BT656" t="str">
        <f>HYPERLINK("https%3A%2F%2Fwww.webofscience.com%2Fwos%2Fwoscc%2Ffull-record%2FWOS:000418896700058","View Full Record in Web of Science")</f>
        <v>View Full Record in Web of Science</v>
      </c>
    </row>
    <row r="657" spans="1:72" x14ac:dyDescent="0.15">
      <c r="A657" t="s">
        <v>72</v>
      </c>
      <c r="B657" t="s">
        <v>12869</v>
      </c>
      <c r="C657" t="s">
        <v>74</v>
      </c>
      <c r="D657" t="s">
        <v>74</v>
      </c>
      <c r="E657" t="s">
        <v>74</v>
      </c>
      <c r="F657" t="s">
        <v>12870</v>
      </c>
      <c r="G657" t="s">
        <v>74</v>
      </c>
      <c r="H657" t="s">
        <v>74</v>
      </c>
      <c r="I657" t="s">
        <v>12871</v>
      </c>
      <c r="J657" t="s">
        <v>12872</v>
      </c>
      <c r="K657" t="s">
        <v>74</v>
      </c>
      <c r="L657" t="s">
        <v>74</v>
      </c>
      <c r="M657" t="s">
        <v>78</v>
      </c>
      <c r="N657" t="s">
        <v>79</v>
      </c>
      <c r="O657" t="s">
        <v>74</v>
      </c>
      <c r="P657" t="s">
        <v>74</v>
      </c>
      <c r="Q657" t="s">
        <v>74</v>
      </c>
      <c r="R657" t="s">
        <v>74</v>
      </c>
      <c r="S657" t="s">
        <v>74</v>
      </c>
      <c r="T657" t="s">
        <v>12873</v>
      </c>
      <c r="U657" t="s">
        <v>12874</v>
      </c>
      <c r="V657" t="s">
        <v>12875</v>
      </c>
      <c r="W657" t="s">
        <v>12876</v>
      </c>
      <c r="X657" t="s">
        <v>12877</v>
      </c>
      <c r="Y657" t="s">
        <v>12878</v>
      </c>
      <c r="Z657" t="s">
        <v>12879</v>
      </c>
      <c r="AA657" t="s">
        <v>74</v>
      </c>
      <c r="AB657" t="s">
        <v>74</v>
      </c>
      <c r="AC657" t="s">
        <v>12880</v>
      </c>
      <c r="AD657" t="s">
        <v>12881</v>
      </c>
      <c r="AE657" t="s">
        <v>12882</v>
      </c>
      <c r="AF657" t="s">
        <v>74</v>
      </c>
      <c r="AG657">
        <v>74</v>
      </c>
      <c r="AH657">
        <v>4</v>
      </c>
      <c r="AI657">
        <v>4</v>
      </c>
      <c r="AJ657">
        <v>0</v>
      </c>
      <c r="AK657">
        <v>16</v>
      </c>
      <c r="AL657" t="s">
        <v>2462</v>
      </c>
      <c r="AM657" t="s">
        <v>2463</v>
      </c>
      <c r="AN657" t="s">
        <v>2464</v>
      </c>
      <c r="AO657" t="s">
        <v>12883</v>
      </c>
      <c r="AP657" t="s">
        <v>74</v>
      </c>
      <c r="AQ657" t="s">
        <v>74</v>
      </c>
      <c r="AR657" t="s">
        <v>12884</v>
      </c>
      <c r="AS657" t="s">
        <v>12885</v>
      </c>
      <c r="AT657" t="s">
        <v>12461</v>
      </c>
      <c r="AU657">
        <v>2017</v>
      </c>
      <c r="AV657">
        <v>15</v>
      </c>
      <c r="AW657">
        <v>12</v>
      </c>
      <c r="AX657" t="s">
        <v>74</v>
      </c>
      <c r="AY657" t="s">
        <v>74</v>
      </c>
      <c r="AZ657" t="s">
        <v>74</v>
      </c>
      <c r="BA657" t="s">
        <v>74</v>
      </c>
      <c r="BB657" t="s">
        <v>74</v>
      </c>
      <c r="BC657" t="s">
        <v>74</v>
      </c>
      <c r="BD657">
        <v>372</v>
      </c>
      <c r="BE657" t="s">
        <v>12886</v>
      </c>
      <c r="BF657" t="str">
        <f>HYPERLINK("http://dx.doi.org/10.3390/md15120372","http://dx.doi.org/10.3390/md15120372")</f>
        <v>http://dx.doi.org/10.3390/md15120372</v>
      </c>
      <c r="BG657" t="s">
        <v>74</v>
      </c>
      <c r="BH657" t="s">
        <v>74</v>
      </c>
      <c r="BI657">
        <v>13</v>
      </c>
      <c r="BJ657" t="s">
        <v>12887</v>
      </c>
      <c r="BK657" t="s">
        <v>101</v>
      </c>
      <c r="BL657" t="s">
        <v>12888</v>
      </c>
      <c r="BM657" t="s">
        <v>12889</v>
      </c>
      <c r="BN657">
        <v>29194380</v>
      </c>
      <c r="BO657" t="s">
        <v>1725</v>
      </c>
      <c r="BP657" t="s">
        <v>74</v>
      </c>
      <c r="BQ657" t="s">
        <v>74</v>
      </c>
      <c r="BR657" t="s">
        <v>105</v>
      </c>
      <c r="BS657" t="s">
        <v>12890</v>
      </c>
      <c r="BT657" t="str">
        <f>HYPERLINK("https%3A%2F%2Fwww.webofscience.com%2Fwos%2Fwoscc%2Ffull-record%2FWOS:000419216500009","View Full Record in Web of Science")</f>
        <v>View Full Record in Web of Science</v>
      </c>
    </row>
    <row r="658" spans="1:72" x14ac:dyDescent="0.15">
      <c r="A658" t="s">
        <v>72</v>
      </c>
      <c r="B658" t="s">
        <v>12891</v>
      </c>
      <c r="C658" t="s">
        <v>74</v>
      </c>
      <c r="D658" t="s">
        <v>74</v>
      </c>
      <c r="E658" t="s">
        <v>74</v>
      </c>
      <c r="F658" t="s">
        <v>12892</v>
      </c>
      <c r="G658" t="s">
        <v>74</v>
      </c>
      <c r="H658" t="s">
        <v>74</v>
      </c>
      <c r="I658" t="s">
        <v>12893</v>
      </c>
      <c r="J658" t="s">
        <v>8826</v>
      </c>
      <c r="K658" t="s">
        <v>74</v>
      </c>
      <c r="L658" t="s">
        <v>74</v>
      </c>
      <c r="M658" t="s">
        <v>78</v>
      </c>
      <c r="N658" t="s">
        <v>79</v>
      </c>
      <c r="O658" t="s">
        <v>74</v>
      </c>
      <c r="P658" t="s">
        <v>74</v>
      </c>
      <c r="Q658" t="s">
        <v>74</v>
      </c>
      <c r="R658" t="s">
        <v>74</v>
      </c>
      <c r="S658" t="s">
        <v>74</v>
      </c>
      <c r="T658" t="s">
        <v>12894</v>
      </c>
      <c r="U658" t="s">
        <v>12895</v>
      </c>
      <c r="V658" t="s">
        <v>12896</v>
      </c>
      <c r="W658" t="s">
        <v>12897</v>
      </c>
      <c r="X658" t="s">
        <v>12898</v>
      </c>
      <c r="Y658" t="s">
        <v>12899</v>
      </c>
      <c r="Z658" t="s">
        <v>12900</v>
      </c>
      <c r="AA658" t="s">
        <v>12901</v>
      </c>
      <c r="AB658" t="s">
        <v>12902</v>
      </c>
      <c r="AC658" t="s">
        <v>12903</v>
      </c>
      <c r="AD658" t="s">
        <v>12904</v>
      </c>
      <c r="AE658" t="s">
        <v>12905</v>
      </c>
      <c r="AF658" t="s">
        <v>74</v>
      </c>
      <c r="AG658">
        <v>41</v>
      </c>
      <c r="AH658">
        <v>12</v>
      </c>
      <c r="AI658">
        <v>13</v>
      </c>
      <c r="AJ658">
        <v>4</v>
      </c>
      <c r="AK658">
        <v>37</v>
      </c>
      <c r="AL658" t="s">
        <v>1139</v>
      </c>
      <c r="AM658" t="s">
        <v>1140</v>
      </c>
      <c r="AN658" t="s">
        <v>1141</v>
      </c>
      <c r="AO658" t="s">
        <v>8839</v>
      </c>
      <c r="AP658" t="s">
        <v>8840</v>
      </c>
      <c r="AQ658" t="s">
        <v>74</v>
      </c>
      <c r="AR658" t="s">
        <v>8841</v>
      </c>
      <c r="AS658" t="s">
        <v>8842</v>
      </c>
      <c r="AT658" t="s">
        <v>12906</v>
      </c>
      <c r="AU658">
        <v>2017</v>
      </c>
      <c r="AV658">
        <v>151</v>
      </c>
      <c r="AW658" t="s">
        <v>74</v>
      </c>
      <c r="AX658" t="s">
        <v>74</v>
      </c>
      <c r="AY658" t="s">
        <v>74</v>
      </c>
      <c r="AZ658" t="s">
        <v>74</v>
      </c>
      <c r="BA658" t="s">
        <v>74</v>
      </c>
      <c r="BB658">
        <v>84</v>
      </c>
      <c r="BC658">
        <v>93</v>
      </c>
      <c r="BD658" t="s">
        <v>74</v>
      </c>
      <c r="BE658" t="s">
        <v>12907</v>
      </c>
      <c r="BF658" t="str">
        <f>HYPERLINK("http://dx.doi.org/10.1016/j.csr.2017.10.012","http://dx.doi.org/10.1016/j.csr.2017.10.012")</f>
        <v>http://dx.doi.org/10.1016/j.csr.2017.10.012</v>
      </c>
      <c r="BG658" t="s">
        <v>74</v>
      </c>
      <c r="BH658" t="s">
        <v>74</v>
      </c>
      <c r="BI658">
        <v>10</v>
      </c>
      <c r="BJ658" t="s">
        <v>1907</v>
      </c>
      <c r="BK658" t="s">
        <v>101</v>
      </c>
      <c r="BL658" t="s">
        <v>1907</v>
      </c>
      <c r="BM658" t="s">
        <v>12908</v>
      </c>
      <c r="BN658" t="s">
        <v>74</v>
      </c>
      <c r="BO658" t="s">
        <v>74</v>
      </c>
      <c r="BP658" t="s">
        <v>74</v>
      </c>
      <c r="BQ658" t="s">
        <v>74</v>
      </c>
      <c r="BR658" t="s">
        <v>105</v>
      </c>
      <c r="BS658" t="s">
        <v>12909</v>
      </c>
      <c r="BT658" t="str">
        <f>HYPERLINK("https%3A%2F%2Fwww.webofscience.com%2Fwos%2Fwoscc%2Ffull-record%2FWOS:000418984400010","View Full Record in Web of Science")</f>
        <v>View Full Record in Web of Science</v>
      </c>
    </row>
    <row r="659" spans="1:72" x14ac:dyDescent="0.15">
      <c r="A659" t="s">
        <v>72</v>
      </c>
      <c r="B659" t="s">
        <v>12910</v>
      </c>
      <c r="C659" t="s">
        <v>74</v>
      </c>
      <c r="D659" t="s">
        <v>74</v>
      </c>
      <c r="E659" t="s">
        <v>74</v>
      </c>
      <c r="F659" t="s">
        <v>12911</v>
      </c>
      <c r="G659" t="s">
        <v>74</v>
      </c>
      <c r="H659" t="s">
        <v>74</v>
      </c>
      <c r="I659" t="s">
        <v>12912</v>
      </c>
      <c r="J659" t="s">
        <v>12913</v>
      </c>
      <c r="K659" t="s">
        <v>74</v>
      </c>
      <c r="L659" t="s">
        <v>74</v>
      </c>
      <c r="M659" t="s">
        <v>78</v>
      </c>
      <c r="N659" t="s">
        <v>79</v>
      </c>
      <c r="O659" t="s">
        <v>74</v>
      </c>
      <c r="P659" t="s">
        <v>74</v>
      </c>
      <c r="Q659" t="s">
        <v>74</v>
      </c>
      <c r="R659" t="s">
        <v>74</v>
      </c>
      <c r="S659" t="s">
        <v>74</v>
      </c>
      <c r="T659" t="s">
        <v>12914</v>
      </c>
      <c r="U659" t="s">
        <v>12915</v>
      </c>
      <c r="V659" t="s">
        <v>12916</v>
      </c>
      <c r="W659" t="s">
        <v>12917</v>
      </c>
      <c r="X659" t="s">
        <v>12918</v>
      </c>
      <c r="Y659" t="s">
        <v>12919</v>
      </c>
      <c r="Z659" t="s">
        <v>12920</v>
      </c>
      <c r="AA659" t="s">
        <v>12921</v>
      </c>
      <c r="AB659" t="s">
        <v>12922</v>
      </c>
      <c r="AC659" t="s">
        <v>12923</v>
      </c>
      <c r="AD659" t="s">
        <v>12924</v>
      </c>
      <c r="AE659" t="s">
        <v>12925</v>
      </c>
      <c r="AF659" t="s">
        <v>74</v>
      </c>
      <c r="AG659">
        <v>55</v>
      </c>
      <c r="AH659">
        <v>5</v>
      </c>
      <c r="AI659">
        <v>5</v>
      </c>
      <c r="AJ659">
        <v>0</v>
      </c>
      <c r="AK659">
        <v>17</v>
      </c>
      <c r="AL659" t="s">
        <v>1139</v>
      </c>
      <c r="AM659" t="s">
        <v>1140</v>
      </c>
      <c r="AN659" t="s">
        <v>1141</v>
      </c>
      <c r="AO659" t="s">
        <v>12926</v>
      </c>
      <c r="AP659" t="s">
        <v>74</v>
      </c>
      <c r="AQ659" t="s">
        <v>74</v>
      </c>
      <c r="AR659" t="s">
        <v>12927</v>
      </c>
      <c r="AS659" t="s">
        <v>12928</v>
      </c>
      <c r="AT659" t="s">
        <v>12461</v>
      </c>
      <c r="AU659">
        <v>2017</v>
      </c>
      <c r="AV659">
        <v>159</v>
      </c>
      <c r="AW659" t="s">
        <v>74</v>
      </c>
      <c r="AX659" t="s">
        <v>74</v>
      </c>
      <c r="AY659" t="s">
        <v>74</v>
      </c>
      <c r="AZ659" t="s">
        <v>74</v>
      </c>
      <c r="BA659" t="s">
        <v>74</v>
      </c>
      <c r="BB659">
        <v>1</v>
      </c>
      <c r="BC659">
        <v>12</v>
      </c>
      <c r="BD659" t="s">
        <v>74</v>
      </c>
      <c r="BE659" t="s">
        <v>12929</v>
      </c>
      <c r="BF659" t="str">
        <f>HYPERLINK("http://dx.doi.org/10.1016/j.pocean.2017.09.008","http://dx.doi.org/10.1016/j.pocean.2017.09.008")</f>
        <v>http://dx.doi.org/10.1016/j.pocean.2017.09.008</v>
      </c>
      <c r="BG659" t="s">
        <v>74</v>
      </c>
      <c r="BH659" t="s">
        <v>74</v>
      </c>
      <c r="BI659">
        <v>12</v>
      </c>
      <c r="BJ659" t="s">
        <v>1907</v>
      </c>
      <c r="BK659" t="s">
        <v>101</v>
      </c>
      <c r="BL659" t="s">
        <v>1907</v>
      </c>
      <c r="BM659" t="s">
        <v>12930</v>
      </c>
      <c r="BN659" t="s">
        <v>74</v>
      </c>
      <c r="BO659" t="s">
        <v>74</v>
      </c>
      <c r="BP659" t="s">
        <v>74</v>
      </c>
      <c r="BQ659" t="s">
        <v>74</v>
      </c>
      <c r="BR659" t="s">
        <v>105</v>
      </c>
      <c r="BS659" t="s">
        <v>12931</v>
      </c>
      <c r="BT659" t="str">
        <f>HYPERLINK("https%3A%2F%2Fwww.webofscience.com%2Fwos%2Fwoscc%2Ffull-record%2FWOS:000418980600001","View Full Record in Web of Science")</f>
        <v>View Full Record in Web of Science</v>
      </c>
    </row>
    <row r="660" spans="1:72" x14ac:dyDescent="0.15">
      <c r="A660" t="s">
        <v>72</v>
      </c>
      <c r="B660" t="s">
        <v>12932</v>
      </c>
      <c r="C660" t="s">
        <v>74</v>
      </c>
      <c r="D660" t="s">
        <v>74</v>
      </c>
      <c r="E660" t="s">
        <v>74</v>
      </c>
      <c r="F660" t="s">
        <v>12933</v>
      </c>
      <c r="G660" t="s">
        <v>74</v>
      </c>
      <c r="H660" t="s">
        <v>74</v>
      </c>
      <c r="I660" t="s">
        <v>12934</v>
      </c>
      <c r="J660" t="s">
        <v>12935</v>
      </c>
      <c r="K660" t="s">
        <v>74</v>
      </c>
      <c r="L660" t="s">
        <v>74</v>
      </c>
      <c r="M660" t="s">
        <v>78</v>
      </c>
      <c r="N660" t="s">
        <v>79</v>
      </c>
      <c r="O660" t="s">
        <v>74</v>
      </c>
      <c r="P660" t="s">
        <v>74</v>
      </c>
      <c r="Q660" t="s">
        <v>74</v>
      </c>
      <c r="R660" t="s">
        <v>74</v>
      </c>
      <c r="S660" t="s">
        <v>74</v>
      </c>
      <c r="T660" t="s">
        <v>12936</v>
      </c>
      <c r="U660" t="s">
        <v>12937</v>
      </c>
      <c r="V660" t="s">
        <v>12938</v>
      </c>
      <c r="W660" t="s">
        <v>12939</v>
      </c>
      <c r="X660" t="s">
        <v>12940</v>
      </c>
      <c r="Y660" t="s">
        <v>12941</v>
      </c>
      <c r="Z660" t="s">
        <v>12942</v>
      </c>
      <c r="AA660" t="s">
        <v>12943</v>
      </c>
      <c r="AB660" t="s">
        <v>12944</v>
      </c>
      <c r="AC660" t="s">
        <v>12945</v>
      </c>
      <c r="AD660" t="s">
        <v>12946</v>
      </c>
      <c r="AE660" t="s">
        <v>12947</v>
      </c>
      <c r="AF660" t="s">
        <v>74</v>
      </c>
      <c r="AG660">
        <v>74</v>
      </c>
      <c r="AH660">
        <v>4</v>
      </c>
      <c r="AI660">
        <v>4</v>
      </c>
      <c r="AJ660">
        <v>0</v>
      </c>
      <c r="AK660">
        <v>4</v>
      </c>
      <c r="AL660" t="s">
        <v>3149</v>
      </c>
      <c r="AM660" t="s">
        <v>8222</v>
      </c>
      <c r="AN660" t="s">
        <v>8223</v>
      </c>
      <c r="AO660" t="s">
        <v>12948</v>
      </c>
      <c r="AP660" t="s">
        <v>12949</v>
      </c>
      <c r="AQ660" t="s">
        <v>74</v>
      </c>
      <c r="AR660" t="s">
        <v>12950</v>
      </c>
      <c r="AS660" t="s">
        <v>12951</v>
      </c>
      <c r="AT660" t="s">
        <v>12461</v>
      </c>
      <c r="AU660">
        <v>2017</v>
      </c>
      <c r="AV660">
        <v>63</v>
      </c>
      <c r="AW660">
        <v>242</v>
      </c>
      <c r="AX660" t="s">
        <v>74</v>
      </c>
      <c r="AY660" t="s">
        <v>74</v>
      </c>
      <c r="AZ660" t="s">
        <v>74</v>
      </c>
      <c r="BA660" t="s">
        <v>74</v>
      </c>
      <c r="BB660">
        <v>959</v>
      </c>
      <c r="BC660">
        <v>972</v>
      </c>
      <c r="BD660" t="s">
        <v>74</v>
      </c>
      <c r="BE660" t="s">
        <v>12952</v>
      </c>
      <c r="BF660" t="str">
        <f>HYPERLINK("http://dx.doi.org/10.1017/jog.2017.60","http://dx.doi.org/10.1017/jog.2017.60")</f>
        <v>http://dx.doi.org/10.1017/jog.2017.60</v>
      </c>
      <c r="BG660" t="s">
        <v>74</v>
      </c>
      <c r="BH660" t="s">
        <v>74</v>
      </c>
      <c r="BI660">
        <v>14</v>
      </c>
      <c r="BJ660" t="s">
        <v>233</v>
      </c>
      <c r="BK660" t="s">
        <v>101</v>
      </c>
      <c r="BL660" t="s">
        <v>234</v>
      </c>
      <c r="BM660" t="s">
        <v>12953</v>
      </c>
      <c r="BN660" t="s">
        <v>74</v>
      </c>
      <c r="BO660" t="s">
        <v>2267</v>
      </c>
      <c r="BP660" t="s">
        <v>74</v>
      </c>
      <c r="BQ660" t="s">
        <v>74</v>
      </c>
      <c r="BR660" t="s">
        <v>105</v>
      </c>
      <c r="BS660" t="s">
        <v>12954</v>
      </c>
      <c r="BT660" t="str">
        <f>HYPERLINK("https%3A%2F%2Fwww.webofscience.com%2Fwos%2Fwoscc%2Ffull-record%2FWOS:000418852500003","View Full Record in Web of Science")</f>
        <v>View Full Record in Web of Science</v>
      </c>
    </row>
    <row r="661" spans="1:72" x14ac:dyDescent="0.15">
      <c r="A661" t="s">
        <v>72</v>
      </c>
      <c r="B661" t="s">
        <v>12955</v>
      </c>
      <c r="C661" t="s">
        <v>74</v>
      </c>
      <c r="D661" t="s">
        <v>74</v>
      </c>
      <c r="E661" t="s">
        <v>74</v>
      </c>
      <c r="F661" t="s">
        <v>12956</v>
      </c>
      <c r="G661" t="s">
        <v>74</v>
      </c>
      <c r="H661" t="s">
        <v>74</v>
      </c>
      <c r="I661" t="s">
        <v>12957</v>
      </c>
      <c r="J661" t="s">
        <v>12935</v>
      </c>
      <c r="K661" t="s">
        <v>74</v>
      </c>
      <c r="L661" t="s">
        <v>74</v>
      </c>
      <c r="M661" t="s">
        <v>78</v>
      </c>
      <c r="N661" t="s">
        <v>79</v>
      </c>
      <c r="O661" t="s">
        <v>74</v>
      </c>
      <c r="P661" t="s">
        <v>74</v>
      </c>
      <c r="Q661" t="s">
        <v>74</v>
      </c>
      <c r="R661" t="s">
        <v>74</v>
      </c>
      <c r="S661" t="s">
        <v>74</v>
      </c>
      <c r="T661" t="s">
        <v>12958</v>
      </c>
      <c r="U661" t="s">
        <v>12959</v>
      </c>
      <c r="V661" t="s">
        <v>12960</v>
      </c>
      <c r="W661" t="s">
        <v>12961</v>
      </c>
      <c r="X661" t="s">
        <v>12962</v>
      </c>
      <c r="Y661" t="s">
        <v>12963</v>
      </c>
      <c r="Z661" t="s">
        <v>12964</v>
      </c>
      <c r="AA661" t="s">
        <v>12965</v>
      </c>
      <c r="AB661" t="s">
        <v>12966</v>
      </c>
      <c r="AC661" t="s">
        <v>12967</v>
      </c>
      <c r="AD661" t="s">
        <v>12968</v>
      </c>
      <c r="AE661" t="s">
        <v>12969</v>
      </c>
      <c r="AF661" t="s">
        <v>74</v>
      </c>
      <c r="AG661">
        <v>142</v>
      </c>
      <c r="AH661">
        <v>11</v>
      </c>
      <c r="AI661">
        <v>13</v>
      </c>
      <c r="AJ661">
        <v>2</v>
      </c>
      <c r="AK661">
        <v>14</v>
      </c>
      <c r="AL661" t="s">
        <v>3149</v>
      </c>
      <c r="AM661" t="s">
        <v>8222</v>
      </c>
      <c r="AN661" t="s">
        <v>8223</v>
      </c>
      <c r="AO661" t="s">
        <v>12948</v>
      </c>
      <c r="AP661" t="s">
        <v>12949</v>
      </c>
      <c r="AQ661" t="s">
        <v>74</v>
      </c>
      <c r="AR661" t="s">
        <v>12950</v>
      </c>
      <c r="AS661" t="s">
        <v>12951</v>
      </c>
      <c r="AT661" t="s">
        <v>12461</v>
      </c>
      <c r="AU661">
        <v>2017</v>
      </c>
      <c r="AV661">
        <v>63</v>
      </c>
      <c r="AW661">
        <v>242</v>
      </c>
      <c r="AX661" t="s">
        <v>74</v>
      </c>
      <c r="AY661" t="s">
        <v>74</v>
      </c>
      <c r="AZ661" t="s">
        <v>74</v>
      </c>
      <c r="BA661" t="s">
        <v>74</v>
      </c>
      <c r="BB661">
        <v>1034</v>
      </c>
      <c r="BC661">
        <v>1048</v>
      </c>
      <c r="BD661" t="s">
        <v>74</v>
      </c>
      <c r="BE661" t="s">
        <v>12970</v>
      </c>
      <c r="BF661" t="str">
        <f>HYPERLINK("http://dx.doi.org/10.1017/jog.2017.71","http://dx.doi.org/10.1017/jog.2017.71")</f>
        <v>http://dx.doi.org/10.1017/jog.2017.71</v>
      </c>
      <c r="BG661" t="s">
        <v>74</v>
      </c>
      <c r="BH661" t="s">
        <v>74</v>
      </c>
      <c r="BI661">
        <v>15</v>
      </c>
      <c r="BJ661" t="s">
        <v>233</v>
      </c>
      <c r="BK661" t="s">
        <v>101</v>
      </c>
      <c r="BL661" t="s">
        <v>234</v>
      </c>
      <c r="BM661" t="s">
        <v>12953</v>
      </c>
      <c r="BN661" t="s">
        <v>74</v>
      </c>
      <c r="BO661" t="s">
        <v>494</v>
      </c>
      <c r="BP661" t="s">
        <v>74</v>
      </c>
      <c r="BQ661" t="s">
        <v>74</v>
      </c>
      <c r="BR661" t="s">
        <v>105</v>
      </c>
      <c r="BS661" t="s">
        <v>12971</v>
      </c>
      <c r="BT661" t="str">
        <f>HYPERLINK("https%3A%2F%2Fwww.webofscience.com%2Fwos%2Fwoscc%2Ffull-record%2FWOS:000418852500009","View Full Record in Web of Science")</f>
        <v>View Full Record in Web of Science</v>
      </c>
    </row>
    <row r="662" spans="1:72" x14ac:dyDescent="0.15">
      <c r="A662" t="s">
        <v>72</v>
      </c>
      <c r="B662" t="s">
        <v>12972</v>
      </c>
      <c r="C662" t="s">
        <v>74</v>
      </c>
      <c r="D662" t="s">
        <v>74</v>
      </c>
      <c r="E662" t="s">
        <v>74</v>
      </c>
      <c r="F662" t="s">
        <v>12973</v>
      </c>
      <c r="G662" t="s">
        <v>74</v>
      </c>
      <c r="H662" t="s">
        <v>74</v>
      </c>
      <c r="I662" t="s">
        <v>12974</v>
      </c>
      <c r="J662" t="s">
        <v>12935</v>
      </c>
      <c r="K662" t="s">
        <v>74</v>
      </c>
      <c r="L662" t="s">
        <v>74</v>
      </c>
      <c r="M662" t="s">
        <v>78</v>
      </c>
      <c r="N662" t="s">
        <v>79</v>
      </c>
      <c r="O662" t="s">
        <v>74</v>
      </c>
      <c r="P662" t="s">
        <v>74</v>
      </c>
      <c r="Q662" t="s">
        <v>74</v>
      </c>
      <c r="R662" t="s">
        <v>74</v>
      </c>
      <c r="S662" t="s">
        <v>74</v>
      </c>
      <c r="T662" t="s">
        <v>12975</v>
      </c>
      <c r="U662" t="s">
        <v>12976</v>
      </c>
      <c r="V662" t="s">
        <v>12977</v>
      </c>
      <c r="W662" t="s">
        <v>12978</v>
      </c>
      <c r="X662" t="s">
        <v>12979</v>
      </c>
      <c r="Y662" t="s">
        <v>12980</v>
      </c>
      <c r="Z662" t="s">
        <v>12981</v>
      </c>
      <c r="AA662" t="s">
        <v>12982</v>
      </c>
      <c r="AB662" t="s">
        <v>12983</v>
      </c>
      <c r="AC662" t="s">
        <v>12984</v>
      </c>
      <c r="AD662" t="s">
        <v>12985</v>
      </c>
      <c r="AE662" t="s">
        <v>12986</v>
      </c>
      <c r="AF662" t="s">
        <v>74</v>
      </c>
      <c r="AG662">
        <v>41</v>
      </c>
      <c r="AH662">
        <v>23</v>
      </c>
      <c r="AI662">
        <v>25</v>
      </c>
      <c r="AJ662">
        <v>1</v>
      </c>
      <c r="AK662">
        <v>14</v>
      </c>
      <c r="AL662" t="s">
        <v>3149</v>
      </c>
      <c r="AM662" t="s">
        <v>8222</v>
      </c>
      <c r="AN662" t="s">
        <v>8223</v>
      </c>
      <c r="AO662" t="s">
        <v>12948</v>
      </c>
      <c r="AP662" t="s">
        <v>12949</v>
      </c>
      <c r="AQ662" t="s">
        <v>74</v>
      </c>
      <c r="AR662" t="s">
        <v>12950</v>
      </c>
      <c r="AS662" t="s">
        <v>12951</v>
      </c>
      <c r="AT662" t="s">
        <v>12461</v>
      </c>
      <c r="AU662">
        <v>2017</v>
      </c>
      <c r="AV662">
        <v>63</v>
      </c>
      <c r="AW662">
        <v>242</v>
      </c>
      <c r="AX662" t="s">
        <v>74</v>
      </c>
      <c r="AY662" t="s">
        <v>74</v>
      </c>
      <c r="AZ662" t="s">
        <v>74</v>
      </c>
      <c r="BA662" t="s">
        <v>74</v>
      </c>
      <c r="BB662">
        <v>1105</v>
      </c>
      <c r="BC662">
        <v>1118</v>
      </c>
      <c r="BD662" t="s">
        <v>74</v>
      </c>
      <c r="BE662" t="s">
        <v>12987</v>
      </c>
      <c r="BF662" t="str">
        <f>HYPERLINK("http://dx.doi.org/10.1017/jog.2017.79","http://dx.doi.org/10.1017/jog.2017.79")</f>
        <v>http://dx.doi.org/10.1017/jog.2017.79</v>
      </c>
      <c r="BG662" t="s">
        <v>74</v>
      </c>
      <c r="BH662" t="s">
        <v>74</v>
      </c>
      <c r="BI662">
        <v>14</v>
      </c>
      <c r="BJ662" t="s">
        <v>233</v>
      </c>
      <c r="BK662" t="s">
        <v>101</v>
      </c>
      <c r="BL662" t="s">
        <v>234</v>
      </c>
      <c r="BM662" t="s">
        <v>12953</v>
      </c>
      <c r="BN662" t="s">
        <v>74</v>
      </c>
      <c r="BO662" t="s">
        <v>160</v>
      </c>
      <c r="BP662" t="s">
        <v>74</v>
      </c>
      <c r="BQ662" t="s">
        <v>74</v>
      </c>
      <c r="BR662" t="s">
        <v>105</v>
      </c>
      <c r="BS662" t="s">
        <v>12988</v>
      </c>
      <c r="BT662" t="str">
        <f>HYPERLINK("https%3A%2F%2Fwww.webofscience.com%2Fwos%2Fwoscc%2Ffull-record%2FWOS:000418852500014","View Full Record in Web of Science")</f>
        <v>View Full Record in Web of Science</v>
      </c>
    </row>
    <row r="663" spans="1:72" x14ac:dyDescent="0.15">
      <c r="A663" t="s">
        <v>72</v>
      </c>
      <c r="B663" t="s">
        <v>12989</v>
      </c>
      <c r="C663" t="s">
        <v>74</v>
      </c>
      <c r="D663" t="s">
        <v>74</v>
      </c>
      <c r="E663" t="s">
        <v>74</v>
      </c>
      <c r="F663" t="s">
        <v>12990</v>
      </c>
      <c r="G663" t="s">
        <v>74</v>
      </c>
      <c r="H663" t="s">
        <v>74</v>
      </c>
      <c r="I663" t="s">
        <v>12991</v>
      </c>
      <c r="J663" t="s">
        <v>12992</v>
      </c>
      <c r="K663" t="s">
        <v>74</v>
      </c>
      <c r="L663" t="s">
        <v>74</v>
      </c>
      <c r="M663" t="s">
        <v>78</v>
      </c>
      <c r="N663" t="s">
        <v>289</v>
      </c>
      <c r="O663" t="s">
        <v>74</v>
      </c>
      <c r="P663" t="s">
        <v>74</v>
      </c>
      <c r="Q663" t="s">
        <v>74</v>
      </c>
      <c r="R663" t="s">
        <v>74</v>
      </c>
      <c r="S663" t="s">
        <v>74</v>
      </c>
      <c r="T663" t="s">
        <v>12993</v>
      </c>
      <c r="U663" t="s">
        <v>12994</v>
      </c>
      <c r="V663" t="s">
        <v>12995</v>
      </c>
      <c r="W663" t="s">
        <v>12996</v>
      </c>
      <c r="X663" t="s">
        <v>12997</v>
      </c>
      <c r="Y663" t="s">
        <v>12998</v>
      </c>
      <c r="Z663" t="s">
        <v>12999</v>
      </c>
      <c r="AA663" t="s">
        <v>13000</v>
      </c>
      <c r="AB663" t="s">
        <v>74</v>
      </c>
      <c r="AC663" t="s">
        <v>74</v>
      </c>
      <c r="AD663" t="s">
        <v>74</v>
      </c>
      <c r="AE663" t="s">
        <v>74</v>
      </c>
      <c r="AF663" t="s">
        <v>74</v>
      </c>
      <c r="AG663">
        <v>38</v>
      </c>
      <c r="AH663">
        <v>3</v>
      </c>
      <c r="AI663">
        <v>3</v>
      </c>
      <c r="AJ663">
        <v>0</v>
      </c>
      <c r="AK663">
        <v>19</v>
      </c>
      <c r="AL663" t="s">
        <v>13001</v>
      </c>
      <c r="AM663" t="s">
        <v>13002</v>
      </c>
      <c r="AN663" t="s">
        <v>13003</v>
      </c>
      <c r="AO663" t="s">
        <v>13004</v>
      </c>
      <c r="AP663" t="s">
        <v>13005</v>
      </c>
      <c r="AQ663" t="s">
        <v>74</v>
      </c>
      <c r="AR663" t="s">
        <v>13006</v>
      </c>
      <c r="AS663" t="s">
        <v>13007</v>
      </c>
      <c r="AT663" t="s">
        <v>12461</v>
      </c>
      <c r="AU663">
        <v>2017</v>
      </c>
      <c r="AV663">
        <v>87</v>
      </c>
      <c r="AW663">
        <v>4</v>
      </c>
      <c r="AX663" t="s">
        <v>74</v>
      </c>
      <c r="AY663" t="s">
        <v>74</v>
      </c>
      <c r="AZ663" t="s">
        <v>74</v>
      </c>
      <c r="BA663" t="s">
        <v>74</v>
      </c>
      <c r="BB663">
        <v>581</v>
      </c>
      <c r="BC663">
        <v>592</v>
      </c>
      <c r="BD663" t="s">
        <v>74</v>
      </c>
      <c r="BE663" t="s">
        <v>13008</v>
      </c>
      <c r="BF663" t="str">
        <f>HYPERLINK("http://dx.doi.org/10.1007/s40010-017-0436-8","http://dx.doi.org/10.1007/s40010-017-0436-8")</f>
        <v>http://dx.doi.org/10.1007/s40010-017-0436-8</v>
      </c>
      <c r="BG663" t="s">
        <v>74</v>
      </c>
      <c r="BH663" t="s">
        <v>74</v>
      </c>
      <c r="BI663">
        <v>12</v>
      </c>
      <c r="BJ663" t="s">
        <v>129</v>
      </c>
      <c r="BK663" t="s">
        <v>101</v>
      </c>
      <c r="BL663" t="s">
        <v>130</v>
      </c>
      <c r="BM663" t="s">
        <v>13009</v>
      </c>
      <c r="BN663" t="s">
        <v>74</v>
      </c>
      <c r="BO663" t="s">
        <v>74</v>
      </c>
      <c r="BP663" t="s">
        <v>74</v>
      </c>
      <c r="BQ663" t="s">
        <v>74</v>
      </c>
      <c r="BR663" t="s">
        <v>105</v>
      </c>
      <c r="BS663" t="s">
        <v>13010</v>
      </c>
      <c r="BT663" t="str">
        <f>HYPERLINK("https%3A%2F%2Fwww.webofscience.com%2Fwos%2Fwoscc%2Ffull-record%2FWOS:000418819200009","View Full Record in Web of Science")</f>
        <v>View Full Record in Web of Science</v>
      </c>
    </row>
    <row r="664" spans="1:72" x14ac:dyDescent="0.15">
      <c r="A664" t="s">
        <v>72</v>
      </c>
      <c r="B664" t="s">
        <v>13011</v>
      </c>
      <c r="C664" t="s">
        <v>74</v>
      </c>
      <c r="D664" t="s">
        <v>74</v>
      </c>
      <c r="E664" t="s">
        <v>74</v>
      </c>
      <c r="F664" t="s">
        <v>13012</v>
      </c>
      <c r="G664" t="s">
        <v>74</v>
      </c>
      <c r="H664" t="s">
        <v>74</v>
      </c>
      <c r="I664" t="s">
        <v>13013</v>
      </c>
      <c r="J664" t="s">
        <v>13014</v>
      </c>
      <c r="K664" t="s">
        <v>74</v>
      </c>
      <c r="L664" t="s">
        <v>74</v>
      </c>
      <c r="M664" t="s">
        <v>78</v>
      </c>
      <c r="N664" t="s">
        <v>79</v>
      </c>
      <c r="O664" t="s">
        <v>74</v>
      </c>
      <c r="P664" t="s">
        <v>74</v>
      </c>
      <c r="Q664" t="s">
        <v>74</v>
      </c>
      <c r="R664" t="s">
        <v>74</v>
      </c>
      <c r="S664" t="s">
        <v>74</v>
      </c>
      <c r="T664" t="s">
        <v>13015</v>
      </c>
      <c r="U664" t="s">
        <v>13016</v>
      </c>
      <c r="V664" t="s">
        <v>13017</v>
      </c>
      <c r="W664" t="s">
        <v>13018</v>
      </c>
      <c r="X664" t="s">
        <v>13019</v>
      </c>
      <c r="Y664" t="s">
        <v>13020</v>
      </c>
      <c r="Z664" t="s">
        <v>13021</v>
      </c>
      <c r="AA664" t="s">
        <v>13022</v>
      </c>
      <c r="AB664" t="s">
        <v>13023</v>
      </c>
      <c r="AC664" t="s">
        <v>13024</v>
      </c>
      <c r="AD664" t="s">
        <v>13025</v>
      </c>
      <c r="AE664" t="s">
        <v>13026</v>
      </c>
      <c r="AF664" t="s">
        <v>74</v>
      </c>
      <c r="AG664">
        <v>59</v>
      </c>
      <c r="AH664">
        <v>6</v>
      </c>
      <c r="AI664">
        <v>7</v>
      </c>
      <c r="AJ664">
        <v>0</v>
      </c>
      <c r="AK664">
        <v>9</v>
      </c>
      <c r="AL664" t="s">
        <v>91</v>
      </c>
      <c r="AM664" t="s">
        <v>92</v>
      </c>
      <c r="AN664" t="s">
        <v>93</v>
      </c>
      <c r="AO664" t="s">
        <v>13027</v>
      </c>
      <c r="AP664" t="s">
        <v>13028</v>
      </c>
      <c r="AQ664" t="s">
        <v>74</v>
      </c>
      <c r="AR664" t="s">
        <v>13029</v>
      </c>
      <c r="AS664" t="s">
        <v>13030</v>
      </c>
      <c r="AT664" t="s">
        <v>12906</v>
      </c>
      <c r="AU664">
        <v>2017</v>
      </c>
      <c r="AV664">
        <v>14</v>
      </c>
      <c r="AW664">
        <v>137</v>
      </c>
      <c r="AX664" t="s">
        <v>74</v>
      </c>
      <c r="AY664" t="s">
        <v>74</v>
      </c>
      <c r="AZ664" t="s">
        <v>74</v>
      </c>
      <c r="BA664" t="s">
        <v>74</v>
      </c>
      <c r="BB664" t="s">
        <v>74</v>
      </c>
      <c r="BC664" t="s">
        <v>74</v>
      </c>
      <c r="BD664">
        <v>20170729</v>
      </c>
      <c r="BE664" t="s">
        <v>13031</v>
      </c>
      <c r="BF664" t="str">
        <f>HYPERLINK("http://dx.doi.org/10.1098/rsif.2017.0729","http://dx.doi.org/10.1098/rsif.2017.0729")</f>
        <v>http://dx.doi.org/10.1098/rsif.2017.0729</v>
      </c>
      <c r="BG664" t="s">
        <v>74</v>
      </c>
      <c r="BH664" t="s">
        <v>74</v>
      </c>
      <c r="BI664">
        <v>10</v>
      </c>
      <c r="BJ664" t="s">
        <v>129</v>
      </c>
      <c r="BK664" t="s">
        <v>101</v>
      </c>
      <c r="BL664" t="s">
        <v>130</v>
      </c>
      <c r="BM664" t="s">
        <v>13032</v>
      </c>
      <c r="BN664">
        <v>29263129</v>
      </c>
      <c r="BO664" t="s">
        <v>4418</v>
      </c>
      <c r="BP664" t="s">
        <v>74</v>
      </c>
      <c r="BQ664" t="s">
        <v>74</v>
      </c>
      <c r="BR664" t="s">
        <v>105</v>
      </c>
      <c r="BS664" t="s">
        <v>13033</v>
      </c>
      <c r="BT664" t="str">
        <f>HYPERLINK("https%3A%2F%2Fwww.webofscience.com%2Fwos%2Fwoscc%2Ffull-record%2FWOS:000418696300013","View Full Record in Web of Science")</f>
        <v>View Full Record in Web of Science</v>
      </c>
    </row>
    <row r="665" spans="1:72" x14ac:dyDescent="0.15">
      <c r="A665" t="s">
        <v>72</v>
      </c>
      <c r="B665" t="s">
        <v>13034</v>
      </c>
      <c r="C665" t="s">
        <v>74</v>
      </c>
      <c r="D665" t="s">
        <v>74</v>
      </c>
      <c r="E665" t="s">
        <v>74</v>
      </c>
      <c r="F665" t="s">
        <v>13035</v>
      </c>
      <c r="G665" t="s">
        <v>74</v>
      </c>
      <c r="H665" t="s">
        <v>74</v>
      </c>
      <c r="I665" t="s">
        <v>13036</v>
      </c>
      <c r="J665" t="s">
        <v>5552</v>
      </c>
      <c r="K665" t="s">
        <v>74</v>
      </c>
      <c r="L665" t="s">
        <v>74</v>
      </c>
      <c r="M665" t="s">
        <v>78</v>
      </c>
      <c r="N665" t="s">
        <v>79</v>
      </c>
      <c r="O665" t="s">
        <v>74</v>
      </c>
      <c r="P665" t="s">
        <v>74</v>
      </c>
      <c r="Q665" t="s">
        <v>74</v>
      </c>
      <c r="R665" t="s">
        <v>74</v>
      </c>
      <c r="S665" t="s">
        <v>74</v>
      </c>
      <c r="T665" t="s">
        <v>13037</v>
      </c>
      <c r="U665" t="s">
        <v>13038</v>
      </c>
      <c r="V665" t="s">
        <v>13039</v>
      </c>
      <c r="W665" t="s">
        <v>13040</v>
      </c>
      <c r="X665" t="s">
        <v>13041</v>
      </c>
      <c r="Y665" t="s">
        <v>13042</v>
      </c>
      <c r="Z665" t="s">
        <v>13043</v>
      </c>
      <c r="AA665" t="s">
        <v>13044</v>
      </c>
      <c r="AB665" t="s">
        <v>13045</v>
      </c>
      <c r="AC665" t="s">
        <v>13046</v>
      </c>
      <c r="AD665" t="s">
        <v>13047</v>
      </c>
      <c r="AE665" t="s">
        <v>13048</v>
      </c>
      <c r="AF665" t="s">
        <v>74</v>
      </c>
      <c r="AG665">
        <v>68</v>
      </c>
      <c r="AH665">
        <v>7</v>
      </c>
      <c r="AI665">
        <v>8</v>
      </c>
      <c r="AJ665">
        <v>1</v>
      </c>
      <c r="AK665">
        <v>23</v>
      </c>
      <c r="AL665" t="s">
        <v>1973</v>
      </c>
      <c r="AM665" t="s">
        <v>1797</v>
      </c>
      <c r="AN665" t="s">
        <v>5588</v>
      </c>
      <c r="AO665" t="s">
        <v>5565</v>
      </c>
      <c r="AP665" t="s">
        <v>5566</v>
      </c>
      <c r="AQ665" t="s">
        <v>74</v>
      </c>
      <c r="AR665" t="s">
        <v>5567</v>
      </c>
      <c r="AS665" t="s">
        <v>5568</v>
      </c>
      <c r="AT665" t="s">
        <v>12461</v>
      </c>
      <c r="AU665">
        <v>2017</v>
      </c>
      <c r="AV665">
        <v>40</v>
      </c>
      <c r="AW665">
        <v>12</v>
      </c>
      <c r="AX665" t="s">
        <v>74</v>
      </c>
      <c r="AY665" t="s">
        <v>74</v>
      </c>
      <c r="AZ665" t="s">
        <v>74</v>
      </c>
      <c r="BA665" t="s">
        <v>74</v>
      </c>
      <c r="BB665">
        <v>2397</v>
      </c>
      <c r="BC665">
        <v>2409</v>
      </c>
      <c r="BD665" t="s">
        <v>74</v>
      </c>
      <c r="BE665" t="s">
        <v>13049</v>
      </c>
      <c r="BF665" t="str">
        <f>HYPERLINK("http://dx.doi.org/10.1007/s00300-017-2152-x","http://dx.doi.org/10.1007/s00300-017-2152-x")</f>
        <v>http://dx.doi.org/10.1007/s00300-017-2152-x</v>
      </c>
      <c r="BG665" t="s">
        <v>74</v>
      </c>
      <c r="BH665" t="s">
        <v>74</v>
      </c>
      <c r="BI665">
        <v>13</v>
      </c>
      <c r="BJ665" t="s">
        <v>4277</v>
      </c>
      <c r="BK665" t="s">
        <v>101</v>
      </c>
      <c r="BL665" t="s">
        <v>4278</v>
      </c>
      <c r="BM665" t="s">
        <v>13050</v>
      </c>
      <c r="BN665" t="s">
        <v>74</v>
      </c>
      <c r="BO665" t="s">
        <v>74</v>
      </c>
      <c r="BP665" t="s">
        <v>74</v>
      </c>
      <c r="BQ665" t="s">
        <v>74</v>
      </c>
      <c r="BR665" t="s">
        <v>105</v>
      </c>
      <c r="BS665" t="s">
        <v>13051</v>
      </c>
      <c r="BT665" t="str">
        <f>HYPERLINK("https%3A%2F%2Fwww.webofscience.com%2Fwos%2Fwoscc%2Ffull-record%2FWOS:000418386500006","View Full Record in Web of Science")</f>
        <v>View Full Record in Web of Science</v>
      </c>
    </row>
    <row r="666" spans="1:72" x14ac:dyDescent="0.15">
      <c r="A666" t="s">
        <v>72</v>
      </c>
      <c r="B666" t="s">
        <v>13052</v>
      </c>
      <c r="C666" t="s">
        <v>74</v>
      </c>
      <c r="D666" t="s">
        <v>74</v>
      </c>
      <c r="E666" t="s">
        <v>74</v>
      </c>
      <c r="F666" t="s">
        <v>13053</v>
      </c>
      <c r="G666" t="s">
        <v>74</v>
      </c>
      <c r="H666" t="s">
        <v>74</v>
      </c>
      <c r="I666" t="s">
        <v>13054</v>
      </c>
      <c r="J666" t="s">
        <v>5552</v>
      </c>
      <c r="K666" t="s">
        <v>74</v>
      </c>
      <c r="L666" t="s">
        <v>74</v>
      </c>
      <c r="M666" t="s">
        <v>78</v>
      </c>
      <c r="N666" t="s">
        <v>79</v>
      </c>
      <c r="O666" t="s">
        <v>74</v>
      </c>
      <c r="P666" t="s">
        <v>74</v>
      </c>
      <c r="Q666" t="s">
        <v>74</v>
      </c>
      <c r="R666" t="s">
        <v>74</v>
      </c>
      <c r="S666" t="s">
        <v>74</v>
      </c>
      <c r="T666" t="s">
        <v>13055</v>
      </c>
      <c r="U666" t="s">
        <v>13056</v>
      </c>
      <c r="V666" t="s">
        <v>13057</v>
      </c>
      <c r="W666" t="s">
        <v>13058</v>
      </c>
      <c r="X666" t="s">
        <v>13059</v>
      </c>
      <c r="Y666" t="s">
        <v>13060</v>
      </c>
      <c r="Z666" t="s">
        <v>13061</v>
      </c>
      <c r="AA666" t="s">
        <v>13062</v>
      </c>
      <c r="AB666" t="s">
        <v>13063</v>
      </c>
      <c r="AC666" t="s">
        <v>13064</v>
      </c>
      <c r="AD666" t="s">
        <v>13065</v>
      </c>
      <c r="AE666" t="s">
        <v>13066</v>
      </c>
      <c r="AF666" t="s">
        <v>74</v>
      </c>
      <c r="AG666">
        <v>50</v>
      </c>
      <c r="AH666">
        <v>8</v>
      </c>
      <c r="AI666">
        <v>8</v>
      </c>
      <c r="AJ666">
        <v>0</v>
      </c>
      <c r="AK666">
        <v>8</v>
      </c>
      <c r="AL666" t="s">
        <v>1973</v>
      </c>
      <c r="AM666" t="s">
        <v>1797</v>
      </c>
      <c r="AN666" t="s">
        <v>5588</v>
      </c>
      <c r="AO666" t="s">
        <v>5565</v>
      </c>
      <c r="AP666" t="s">
        <v>5566</v>
      </c>
      <c r="AQ666" t="s">
        <v>74</v>
      </c>
      <c r="AR666" t="s">
        <v>5567</v>
      </c>
      <c r="AS666" t="s">
        <v>5568</v>
      </c>
      <c r="AT666" t="s">
        <v>12461</v>
      </c>
      <c r="AU666">
        <v>2017</v>
      </c>
      <c r="AV666">
        <v>40</v>
      </c>
      <c r="AW666">
        <v>12</v>
      </c>
      <c r="AX666" t="s">
        <v>74</v>
      </c>
      <c r="AY666" t="s">
        <v>74</v>
      </c>
      <c r="AZ666" t="s">
        <v>74</v>
      </c>
      <c r="BA666" t="s">
        <v>74</v>
      </c>
      <c r="BB666">
        <v>2435</v>
      </c>
      <c r="BC666">
        <v>2444</v>
      </c>
      <c r="BD666" t="s">
        <v>74</v>
      </c>
      <c r="BE666" t="s">
        <v>13067</v>
      </c>
      <c r="BF666" t="str">
        <f>HYPERLINK("http://dx.doi.org/10.1007/s00300-017-2155-7","http://dx.doi.org/10.1007/s00300-017-2155-7")</f>
        <v>http://dx.doi.org/10.1007/s00300-017-2155-7</v>
      </c>
      <c r="BG666" t="s">
        <v>74</v>
      </c>
      <c r="BH666" t="s">
        <v>74</v>
      </c>
      <c r="BI666">
        <v>10</v>
      </c>
      <c r="BJ666" t="s">
        <v>4277</v>
      </c>
      <c r="BK666" t="s">
        <v>101</v>
      </c>
      <c r="BL666" t="s">
        <v>4278</v>
      </c>
      <c r="BM666" t="s">
        <v>13050</v>
      </c>
      <c r="BN666" t="s">
        <v>74</v>
      </c>
      <c r="BO666" t="s">
        <v>432</v>
      </c>
      <c r="BP666" t="s">
        <v>74</v>
      </c>
      <c r="BQ666" t="s">
        <v>74</v>
      </c>
      <c r="BR666" t="s">
        <v>105</v>
      </c>
      <c r="BS666" t="s">
        <v>13068</v>
      </c>
      <c r="BT666" t="str">
        <f>HYPERLINK("https%3A%2F%2Fwww.webofscience.com%2Fwos%2Fwoscc%2Ffull-record%2FWOS:000418386500009","View Full Record in Web of Science")</f>
        <v>View Full Record in Web of Science</v>
      </c>
    </row>
    <row r="667" spans="1:72" x14ac:dyDescent="0.15">
      <c r="A667" t="s">
        <v>72</v>
      </c>
      <c r="B667" t="s">
        <v>13069</v>
      </c>
      <c r="C667" t="s">
        <v>74</v>
      </c>
      <c r="D667" t="s">
        <v>74</v>
      </c>
      <c r="E667" t="s">
        <v>74</v>
      </c>
      <c r="F667" t="s">
        <v>13070</v>
      </c>
      <c r="G667" t="s">
        <v>74</v>
      </c>
      <c r="H667" t="s">
        <v>74</v>
      </c>
      <c r="I667" t="s">
        <v>13071</v>
      </c>
      <c r="J667" t="s">
        <v>5552</v>
      </c>
      <c r="K667" t="s">
        <v>74</v>
      </c>
      <c r="L667" t="s">
        <v>74</v>
      </c>
      <c r="M667" t="s">
        <v>78</v>
      </c>
      <c r="N667" t="s">
        <v>79</v>
      </c>
      <c r="O667" t="s">
        <v>74</v>
      </c>
      <c r="P667" t="s">
        <v>74</v>
      </c>
      <c r="Q667" t="s">
        <v>74</v>
      </c>
      <c r="R667" t="s">
        <v>74</v>
      </c>
      <c r="S667" t="s">
        <v>74</v>
      </c>
      <c r="T667" t="s">
        <v>13072</v>
      </c>
      <c r="U667" t="s">
        <v>13073</v>
      </c>
      <c r="V667" t="s">
        <v>13074</v>
      </c>
      <c r="W667" t="s">
        <v>13075</v>
      </c>
      <c r="X667" t="s">
        <v>13076</v>
      </c>
      <c r="Y667" t="s">
        <v>13077</v>
      </c>
      <c r="Z667" t="s">
        <v>13078</v>
      </c>
      <c r="AA667" t="s">
        <v>13079</v>
      </c>
      <c r="AB667" t="s">
        <v>13080</v>
      </c>
      <c r="AC667" t="s">
        <v>13081</v>
      </c>
      <c r="AD667" t="s">
        <v>13082</v>
      </c>
      <c r="AE667" t="s">
        <v>13083</v>
      </c>
      <c r="AF667" t="s">
        <v>74</v>
      </c>
      <c r="AG667">
        <v>38</v>
      </c>
      <c r="AH667">
        <v>3</v>
      </c>
      <c r="AI667">
        <v>3</v>
      </c>
      <c r="AJ667">
        <v>0</v>
      </c>
      <c r="AK667">
        <v>9</v>
      </c>
      <c r="AL667" t="s">
        <v>1973</v>
      </c>
      <c r="AM667" t="s">
        <v>1797</v>
      </c>
      <c r="AN667" t="s">
        <v>5588</v>
      </c>
      <c r="AO667" t="s">
        <v>5565</v>
      </c>
      <c r="AP667" t="s">
        <v>5566</v>
      </c>
      <c r="AQ667" t="s">
        <v>74</v>
      </c>
      <c r="AR667" t="s">
        <v>5567</v>
      </c>
      <c r="AS667" t="s">
        <v>5568</v>
      </c>
      <c r="AT667" t="s">
        <v>12461</v>
      </c>
      <c r="AU667">
        <v>2017</v>
      </c>
      <c r="AV667">
        <v>40</v>
      </c>
      <c r="AW667">
        <v>12</v>
      </c>
      <c r="AX667" t="s">
        <v>74</v>
      </c>
      <c r="AY667" t="s">
        <v>74</v>
      </c>
      <c r="AZ667" t="s">
        <v>74</v>
      </c>
      <c r="BA667" t="s">
        <v>74</v>
      </c>
      <c r="BB667">
        <v>2469</v>
      </c>
      <c r="BC667">
        <v>2474</v>
      </c>
      <c r="BD667" t="s">
        <v>74</v>
      </c>
      <c r="BE667" t="s">
        <v>13084</v>
      </c>
      <c r="BF667" t="str">
        <f>HYPERLINK("http://dx.doi.org/10.1007/s00300-017-2158-4","http://dx.doi.org/10.1007/s00300-017-2158-4")</f>
        <v>http://dx.doi.org/10.1007/s00300-017-2158-4</v>
      </c>
      <c r="BG667" t="s">
        <v>74</v>
      </c>
      <c r="BH667" t="s">
        <v>74</v>
      </c>
      <c r="BI667">
        <v>6</v>
      </c>
      <c r="BJ667" t="s">
        <v>4277</v>
      </c>
      <c r="BK667" t="s">
        <v>101</v>
      </c>
      <c r="BL667" t="s">
        <v>4278</v>
      </c>
      <c r="BM667" t="s">
        <v>13050</v>
      </c>
      <c r="BN667" t="s">
        <v>74</v>
      </c>
      <c r="BO667" t="s">
        <v>389</v>
      </c>
      <c r="BP667" t="s">
        <v>74</v>
      </c>
      <c r="BQ667" t="s">
        <v>74</v>
      </c>
      <c r="BR667" t="s">
        <v>105</v>
      </c>
      <c r="BS667" t="s">
        <v>13085</v>
      </c>
      <c r="BT667" t="str">
        <f>HYPERLINK("https%3A%2F%2Fwww.webofscience.com%2Fwos%2Fwoscc%2Ffull-record%2FWOS:000418386500012","View Full Record in Web of Science")</f>
        <v>View Full Record in Web of Science</v>
      </c>
    </row>
    <row r="668" spans="1:72" x14ac:dyDescent="0.15">
      <c r="A668" t="s">
        <v>72</v>
      </c>
      <c r="B668" t="s">
        <v>13086</v>
      </c>
      <c r="C668" t="s">
        <v>74</v>
      </c>
      <c r="D668" t="s">
        <v>74</v>
      </c>
      <c r="E668" t="s">
        <v>74</v>
      </c>
      <c r="F668" t="s">
        <v>13087</v>
      </c>
      <c r="G668" t="s">
        <v>74</v>
      </c>
      <c r="H668" t="s">
        <v>74</v>
      </c>
      <c r="I668" t="s">
        <v>13088</v>
      </c>
      <c r="J668" t="s">
        <v>5552</v>
      </c>
      <c r="K668" t="s">
        <v>74</v>
      </c>
      <c r="L668" t="s">
        <v>74</v>
      </c>
      <c r="M668" t="s">
        <v>78</v>
      </c>
      <c r="N668" t="s">
        <v>79</v>
      </c>
      <c r="O668" t="s">
        <v>74</v>
      </c>
      <c r="P668" t="s">
        <v>74</v>
      </c>
      <c r="Q668" t="s">
        <v>74</v>
      </c>
      <c r="R668" t="s">
        <v>74</v>
      </c>
      <c r="S668" t="s">
        <v>74</v>
      </c>
      <c r="T668" t="s">
        <v>13089</v>
      </c>
      <c r="U668" t="s">
        <v>13090</v>
      </c>
      <c r="V668" t="s">
        <v>13091</v>
      </c>
      <c r="W668" t="s">
        <v>13092</v>
      </c>
      <c r="X668" t="s">
        <v>13093</v>
      </c>
      <c r="Y668" t="s">
        <v>13094</v>
      </c>
      <c r="Z668" t="s">
        <v>13095</v>
      </c>
      <c r="AA668" t="s">
        <v>13096</v>
      </c>
      <c r="AB668" t="s">
        <v>13097</v>
      </c>
      <c r="AC668" t="s">
        <v>13098</v>
      </c>
      <c r="AD668" t="s">
        <v>13099</v>
      </c>
      <c r="AE668" t="s">
        <v>13100</v>
      </c>
      <c r="AF668" t="s">
        <v>74</v>
      </c>
      <c r="AG668">
        <v>49</v>
      </c>
      <c r="AH668">
        <v>8</v>
      </c>
      <c r="AI668">
        <v>8</v>
      </c>
      <c r="AJ668">
        <v>0</v>
      </c>
      <c r="AK668">
        <v>4</v>
      </c>
      <c r="AL668" t="s">
        <v>1973</v>
      </c>
      <c r="AM668" t="s">
        <v>1797</v>
      </c>
      <c r="AN668" t="s">
        <v>5588</v>
      </c>
      <c r="AO668" t="s">
        <v>5565</v>
      </c>
      <c r="AP668" t="s">
        <v>5566</v>
      </c>
      <c r="AQ668" t="s">
        <v>74</v>
      </c>
      <c r="AR668" t="s">
        <v>5567</v>
      </c>
      <c r="AS668" t="s">
        <v>5568</v>
      </c>
      <c r="AT668" t="s">
        <v>12461</v>
      </c>
      <c r="AU668">
        <v>2017</v>
      </c>
      <c r="AV668">
        <v>40</v>
      </c>
      <c r="AW668">
        <v>12</v>
      </c>
      <c r="AX668" t="s">
        <v>74</v>
      </c>
      <c r="AY668" t="s">
        <v>74</v>
      </c>
      <c r="AZ668" t="s">
        <v>74</v>
      </c>
      <c r="BA668" t="s">
        <v>74</v>
      </c>
      <c r="BB668">
        <v>2475</v>
      </c>
      <c r="BC668">
        <v>2487</v>
      </c>
      <c r="BD668" t="s">
        <v>74</v>
      </c>
      <c r="BE668" t="s">
        <v>13101</v>
      </c>
      <c r="BF668" t="str">
        <f>HYPERLINK("http://dx.doi.org/10.1007/s00300-017-2159-3","http://dx.doi.org/10.1007/s00300-017-2159-3")</f>
        <v>http://dx.doi.org/10.1007/s00300-017-2159-3</v>
      </c>
      <c r="BG668" t="s">
        <v>74</v>
      </c>
      <c r="BH668" t="s">
        <v>74</v>
      </c>
      <c r="BI668">
        <v>13</v>
      </c>
      <c r="BJ668" t="s">
        <v>4277</v>
      </c>
      <c r="BK668" t="s">
        <v>101</v>
      </c>
      <c r="BL668" t="s">
        <v>4278</v>
      </c>
      <c r="BM668" t="s">
        <v>13050</v>
      </c>
      <c r="BN668" t="s">
        <v>74</v>
      </c>
      <c r="BO668" t="s">
        <v>1150</v>
      </c>
      <c r="BP668" t="s">
        <v>74</v>
      </c>
      <c r="BQ668" t="s">
        <v>74</v>
      </c>
      <c r="BR668" t="s">
        <v>105</v>
      </c>
      <c r="BS668" t="s">
        <v>13102</v>
      </c>
      <c r="BT668" t="str">
        <f>HYPERLINK("https%3A%2F%2Fwww.webofscience.com%2Fwos%2Fwoscc%2Ffull-record%2FWOS:000418386500013","View Full Record in Web of Science")</f>
        <v>View Full Record in Web of Science</v>
      </c>
    </row>
    <row r="669" spans="1:72" x14ac:dyDescent="0.15">
      <c r="A669" t="s">
        <v>72</v>
      </c>
      <c r="B669" t="s">
        <v>13103</v>
      </c>
      <c r="C669" t="s">
        <v>74</v>
      </c>
      <c r="D669" t="s">
        <v>74</v>
      </c>
      <c r="E669" t="s">
        <v>74</v>
      </c>
      <c r="F669" t="s">
        <v>13104</v>
      </c>
      <c r="G669" t="s">
        <v>74</v>
      </c>
      <c r="H669" t="s">
        <v>74</v>
      </c>
      <c r="I669" t="s">
        <v>13105</v>
      </c>
      <c r="J669" t="s">
        <v>5552</v>
      </c>
      <c r="K669" t="s">
        <v>74</v>
      </c>
      <c r="L669" t="s">
        <v>74</v>
      </c>
      <c r="M669" t="s">
        <v>78</v>
      </c>
      <c r="N669" t="s">
        <v>79</v>
      </c>
      <c r="O669" t="s">
        <v>74</v>
      </c>
      <c r="P669" t="s">
        <v>74</v>
      </c>
      <c r="Q669" t="s">
        <v>74</v>
      </c>
      <c r="R669" t="s">
        <v>74</v>
      </c>
      <c r="S669" t="s">
        <v>74</v>
      </c>
      <c r="T669" t="s">
        <v>13106</v>
      </c>
      <c r="U669" t="s">
        <v>13107</v>
      </c>
      <c r="V669" t="s">
        <v>13108</v>
      </c>
      <c r="W669" t="s">
        <v>13109</v>
      </c>
      <c r="X669" t="s">
        <v>13110</v>
      </c>
      <c r="Y669" t="s">
        <v>13111</v>
      </c>
      <c r="Z669" t="s">
        <v>13112</v>
      </c>
      <c r="AA669" t="s">
        <v>13113</v>
      </c>
      <c r="AB669" t="s">
        <v>13114</v>
      </c>
      <c r="AC669" t="s">
        <v>13115</v>
      </c>
      <c r="AD669" t="s">
        <v>13116</v>
      </c>
      <c r="AE669" t="s">
        <v>13117</v>
      </c>
      <c r="AF669" t="s">
        <v>74</v>
      </c>
      <c r="AG669">
        <v>69</v>
      </c>
      <c r="AH669">
        <v>8</v>
      </c>
      <c r="AI669">
        <v>8</v>
      </c>
      <c r="AJ669">
        <v>0</v>
      </c>
      <c r="AK669">
        <v>14</v>
      </c>
      <c r="AL669" t="s">
        <v>1973</v>
      </c>
      <c r="AM669" t="s">
        <v>1797</v>
      </c>
      <c r="AN669" t="s">
        <v>5588</v>
      </c>
      <c r="AO669" t="s">
        <v>5565</v>
      </c>
      <c r="AP669" t="s">
        <v>5566</v>
      </c>
      <c r="AQ669" t="s">
        <v>74</v>
      </c>
      <c r="AR669" t="s">
        <v>5567</v>
      </c>
      <c r="AS669" t="s">
        <v>5568</v>
      </c>
      <c r="AT669" t="s">
        <v>12461</v>
      </c>
      <c r="AU669">
        <v>2017</v>
      </c>
      <c r="AV669">
        <v>40</v>
      </c>
      <c r="AW669">
        <v>12</v>
      </c>
      <c r="AX669" t="s">
        <v>74</v>
      </c>
      <c r="AY669" t="s">
        <v>74</v>
      </c>
      <c r="AZ669" t="s">
        <v>74</v>
      </c>
      <c r="BA669" t="s">
        <v>74</v>
      </c>
      <c r="BB669">
        <v>2499</v>
      </c>
      <c r="BC669">
        <v>2516</v>
      </c>
      <c r="BD669" t="s">
        <v>74</v>
      </c>
      <c r="BE669" t="s">
        <v>13118</v>
      </c>
      <c r="BF669" t="str">
        <f>HYPERLINK("http://dx.doi.org/10.1007/s00300-017-2161-9","http://dx.doi.org/10.1007/s00300-017-2161-9")</f>
        <v>http://dx.doi.org/10.1007/s00300-017-2161-9</v>
      </c>
      <c r="BG669" t="s">
        <v>74</v>
      </c>
      <c r="BH669" t="s">
        <v>74</v>
      </c>
      <c r="BI669">
        <v>18</v>
      </c>
      <c r="BJ669" t="s">
        <v>4277</v>
      </c>
      <c r="BK669" t="s">
        <v>101</v>
      </c>
      <c r="BL669" t="s">
        <v>4278</v>
      </c>
      <c r="BM669" t="s">
        <v>13050</v>
      </c>
      <c r="BN669" t="s">
        <v>74</v>
      </c>
      <c r="BO669" t="s">
        <v>74</v>
      </c>
      <c r="BP669" t="s">
        <v>74</v>
      </c>
      <c r="BQ669" t="s">
        <v>74</v>
      </c>
      <c r="BR669" t="s">
        <v>105</v>
      </c>
      <c r="BS669" t="s">
        <v>13119</v>
      </c>
      <c r="BT669" t="str">
        <f>HYPERLINK("https%3A%2F%2Fwww.webofscience.com%2Fwos%2Fwoscc%2Ffull-record%2FWOS:000418386500015","View Full Record in Web of Science")</f>
        <v>View Full Record in Web of Science</v>
      </c>
    </row>
    <row r="670" spans="1:72" x14ac:dyDescent="0.15">
      <c r="A670" t="s">
        <v>72</v>
      </c>
      <c r="B670" t="s">
        <v>13120</v>
      </c>
      <c r="C670" t="s">
        <v>74</v>
      </c>
      <c r="D670" t="s">
        <v>74</v>
      </c>
      <c r="E670" t="s">
        <v>74</v>
      </c>
      <c r="F670" t="s">
        <v>13121</v>
      </c>
      <c r="G670" t="s">
        <v>74</v>
      </c>
      <c r="H670" t="s">
        <v>74</v>
      </c>
      <c r="I670" t="s">
        <v>13122</v>
      </c>
      <c r="J670" t="s">
        <v>5552</v>
      </c>
      <c r="K670" t="s">
        <v>74</v>
      </c>
      <c r="L670" t="s">
        <v>74</v>
      </c>
      <c r="M670" t="s">
        <v>78</v>
      </c>
      <c r="N670" t="s">
        <v>79</v>
      </c>
      <c r="O670" t="s">
        <v>74</v>
      </c>
      <c r="P670" t="s">
        <v>74</v>
      </c>
      <c r="Q670" t="s">
        <v>74</v>
      </c>
      <c r="R670" t="s">
        <v>74</v>
      </c>
      <c r="S670" t="s">
        <v>74</v>
      </c>
      <c r="T670" t="s">
        <v>13123</v>
      </c>
      <c r="U670" t="s">
        <v>13124</v>
      </c>
      <c r="V670" t="s">
        <v>13125</v>
      </c>
      <c r="W670" t="s">
        <v>13126</v>
      </c>
      <c r="X670" t="s">
        <v>13127</v>
      </c>
      <c r="Y670" t="s">
        <v>13128</v>
      </c>
      <c r="Z670" t="s">
        <v>13129</v>
      </c>
      <c r="AA670" t="s">
        <v>13130</v>
      </c>
      <c r="AB670" t="s">
        <v>13131</v>
      </c>
      <c r="AC670" t="s">
        <v>13132</v>
      </c>
      <c r="AD670" t="s">
        <v>13133</v>
      </c>
      <c r="AE670" t="s">
        <v>13134</v>
      </c>
      <c r="AF670" t="s">
        <v>74</v>
      </c>
      <c r="AG670">
        <v>78</v>
      </c>
      <c r="AH670">
        <v>11</v>
      </c>
      <c r="AI670">
        <v>13</v>
      </c>
      <c r="AJ670">
        <v>1</v>
      </c>
      <c r="AK670">
        <v>36</v>
      </c>
      <c r="AL670" t="s">
        <v>1973</v>
      </c>
      <c r="AM670" t="s">
        <v>1797</v>
      </c>
      <c r="AN670" t="s">
        <v>4066</v>
      </c>
      <c r="AO670" t="s">
        <v>5565</v>
      </c>
      <c r="AP670" t="s">
        <v>5566</v>
      </c>
      <c r="AQ670" t="s">
        <v>74</v>
      </c>
      <c r="AR670" t="s">
        <v>5567</v>
      </c>
      <c r="AS670" t="s">
        <v>5568</v>
      </c>
      <c r="AT670" t="s">
        <v>12461</v>
      </c>
      <c r="AU670">
        <v>2017</v>
      </c>
      <c r="AV670">
        <v>40</v>
      </c>
      <c r="AW670">
        <v>12</v>
      </c>
      <c r="AX670" t="s">
        <v>74</v>
      </c>
      <c r="AY670" t="s">
        <v>74</v>
      </c>
      <c r="AZ670" t="s">
        <v>74</v>
      </c>
      <c r="BA670" t="s">
        <v>74</v>
      </c>
      <c r="BB670">
        <v>2517</v>
      </c>
      <c r="BC670">
        <v>2530</v>
      </c>
      <c r="BD670" t="s">
        <v>74</v>
      </c>
      <c r="BE670" t="s">
        <v>13135</v>
      </c>
      <c r="BF670" t="str">
        <f>HYPERLINK("http://dx.doi.org/10.1007/s00300-017-2162-8","http://dx.doi.org/10.1007/s00300-017-2162-8")</f>
        <v>http://dx.doi.org/10.1007/s00300-017-2162-8</v>
      </c>
      <c r="BG670" t="s">
        <v>74</v>
      </c>
      <c r="BH670" t="s">
        <v>74</v>
      </c>
      <c r="BI670">
        <v>14</v>
      </c>
      <c r="BJ670" t="s">
        <v>4277</v>
      </c>
      <c r="BK670" t="s">
        <v>101</v>
      </c>
      <c r="BL670" t="s">
        <v>4278</v>
      </c>
      <c r="BM670" t="s">
        <v>13050</v>
      </c>
      <c r="BN670" t="s">
        <v>74</v>
      </c>
      <c r="BO670" t="s">
        <v>389</v>
      </c>
      <c r="BP670" t="s">
        <v>74</v>
      </c>
      <c r="BQ670" t="s">
        <v>74</v>
      </c>
      <c r="BR670" t="s">
        <v>105</v>
      </c>
      <c r="BS670" t="s">
        <v>13136</v>
      </c>
      <c r="BT670" t="str">
        <f>HYPERLINK("https%3A%2F%2Fwww.webofscience.com%2Fwos%2Fwoscc%2Ffull-record%2FWOS:000418386500016","View Full Record in Web of Science")</f>
        <v>View Full Record in Web of Science</v>
      </c>
    </row>
    <row r="671" spans="1:72" x14ac:dyDescent="0.15">
      <c r="A671" t="s">
        <v>72</v>
      </c>
      <c r="B671" t="s">
        <v>13137</v>
      </c>
      <c r="C671" t="s">
        <v>74</v>
      </c>
      <c r="D671" t="s">
        <v>74</v>
      </c>
      <c r="E671" t="s">
        <v>74</v>
      </c>
      <c r="F671" t="s">
        <v>13138</v>
      </c>
      <c r="G671" t="s">
        <v>74</v>
      </c>
      <c r="H671" t="s">
        <v>74</v>
      </c>
      <c r="I671" t="s">
        <v>13139</v>
      </c>
      <c r="J671" t="s">
        <v>5552</v>
      </c>
      <c r="K671" t="s">
        <v>74</v>
      </c>
      <c r="L671" t="s">
        <v>74</v>
      </c>
      <c r="M671" t="s">
        <v>78</v>
      </c>
      <c r="N671" t="s">
        <v>79</v>
      </c>
      <c r="O671" t="s">
        <v>74</v>
      </c>
      <c r="P671" t="s">
        <v>74</v>
      </c>
      <c r="Q671" t="s">
        <v>74</v>
      </c>
      <c r="R671" t="s">
        <v>74</v>
      </c>
      <c r="S671" t="s">
        <v>74</v>
      </c>
      <c r="T671" t="s">
        <v>13140</v>
      </c>
      <c r="U671" t="s">
        <v>13141</v>
      </c>
      <c r="V671" t="s">
        <v>13142</v>
      </c>
      <c r="W671" t="s">
        <v>13143</v>
      </c>
      <c r="X671" t="s">
        <v>13144</v>
      </c>
      <c r="Y671" t="s">
        <v>13145</v>
      </c>
      <c r="Z671" t="s">
        <v>13146</v>
      </c>
      <c r="AA671" t="s">
        <v>13147</v>
      </c>
      <c r="AB671" t="s">
        <v>13148</v>
      </c>
      <c r="AC671" t="s">
        <v>13149</v>
      </c>
      <c r="AD671" t="s">
        <v>13150</v>
      </c>
      <c r="AE671" t="s">
        <v>13151</v>
      </c>
      <c r="AF671" t="s">
        <v>74</v>
      </c>
      <c r="AG671">
        <v>27</v>
      </c>
      <c r="AH671">
        <v>6</v>
      </c>
      <c r="AI671">
        <v>6</v>
      </c>
      <c r="AJ671">
        <v>1</v>
      </c>
      <c r="AK671">
        <v>34</v>
      </c>
      <c r="AL671" t="s">
        <v>1973</v>
      </c>
      <c r="AM671" t="s">
        <v>1797</v>
      </c>
      <c r="AN671" t="s">
        <v>5588</v>
      </c>
      <c r="AO671" t="s">
        <v>5565</v>
      </c>
      <c r="AP671" t="s">
        <v>5566</v>
      </c>
      <c r="AQ671" t="s">
        <v>74</v>
      </c>
      <c r="AR671" t="s">
        <v>5567</v>
      </c>
      <c r="AS671" t="s">
        <v>5568</v>
      </c>
      <c r="AT671" t="s">
        <v>12461</v>
      </c>
      <c r="AU671">
        <v>2017</v>
      </c>
      <c r="AV671">
        <v>40</v>
      </c>
      <c r="AW671">
        <v>12</v>
      </c>
      <c r="AX671" t="s">
        <v>74</v>
      </c>
      <c r="AY671" t="s">
        <v>74</v>
      </c>
      <c r="AZ671" t="s">
        <v>74</v>
      </c>
      <c r="BA671" t="s">
        <v>74</v>
      </c>
      <c r="BB671">
        <v>2531</v>
      </c>
      <c r="BC671">
        <v>2536</v>
      </c>
      <c r="BD671" t="s">
        <v>74</v>
      </c>
      <c r="BE671" t="s">
        <v>13152</v>
      </c>
      <c r="BF671" t="str">
        <f>HYPERLINK("http://dx.doi.org/10.1007/s00300-017-2163-7","http://dx.doi.org/10.1007/s00300-017-2163-7")</f>
        <v>http://dx.doi.org/10.1007/s00300-017-2163-7</v>
      </c>
      <c r="BG671" t="s">
        <v>74</v>
      </c>
      <c r="BH671" t="s">
        <v>74</v>
      </c>
      <c r="BI671">
        <v>6</v>
      </c>
      <c r="BJ671" t="s">
        <v>4277</v>
      </c>
      <c r="BK671" t="s">
        <v>101</v>
      </c>
      <c r="BL671" t="s">
        <v>4278</v>
      </c>
      <c r="BM671" t="s">
        <v>13050</v>
      </c>
      <c r="BN671" t="s">
        <v>74</v>
      </c>
      <c r="BO671" t="s">
        <v>74</v>
      </c>
      <c r="BP671" t="s">
        <v>74</v>
      </c>
      <c r="BQ671" t="s">
        <v>74</v>
      </c>
      <c r="BR671" t="s">
        <v>105</v>
      </c>
      <c r="BS671" t="s">
        <v>13153</v>
      </c>
      <c r="BT671" t="str">
        <f>HYPERLINK("https%3A%2F%2Fwww.webofscience.com%2Fwos%2Fwoscc%2Ffull-record%2FWOS:000418386500017","View Full Record in Web of Science")</f>
        <v>View Full Record in Web of Science</v>
      </c>
    </row>
    <row r="672" spans="1:72" x14ac:dyDescent="0.15">
      <c r="A672" t="s">
        <v>72</v>
      </c>
      <c r="B672" t="s">
        <v>13154</v>
      </c>
      <c r="C672" t="s">
        <v>74</v>
      </c>
      <c r="D672" t="s">
        <v>74</v>
      </c>
      <c r="E672" t="s">
        <v>74</v>
      </c>
      <c r="F672" t="s">
        <v>13155</v>
      </c>
      <c r="G672" t="s">
        <v>74</v>
      </c>
      <c r="H672" t="s">
        <v>74</v>
      </c>
      <c r="I672" t="s">
        <v>13156</v>
      </c>
      <c r="J672" t="s">
        <v>5552</v>
      </c>
      <c r="K672" t="s">
        <v>74</v>
      </c>
      <c r="L672" t="s">
        <v>74</v>
      </c>
      <c r="M672" t="s">
        <v>78</v>
      </c>
      <c r="N672" t="s">
        <v>79</v>
      </c>
      <c r="O672" t="s">
        <v>74</v>
      </c>
      <c r="P672" t="s">
        <v>74</v>
      </c>
      <c r="Q672" t="s">
        <v>74</v>
      </c>
      <c r="R672" t="s">
        <v>74</v>
      </c>
      <c r="S672" t="s">
        <v>74</v>
      </c>
      <c r="T672" t="s">
        <v>13157</v>
      </c>
      <c r="U672" t="s">
        <v>13158</v>
      </c>
      <c r="V672" t="s">
        <v>13159</v>
      </c>
      <c r="W672" t="s">
        <v>13160</v>
      </c>
      <c r="X672" t="s">
        <v>13161</v>
      </c>
      <c r="Y672" t="s">
        <v>13162</v>
      </c>
      <c r="Z672" t="s">
        <v>13163</v>
      </c>
      <c r="AA672" t="s">
        <v>74</v>
      </c>
      <c r="AB672" t="s">
        <v>13164</v>
      </c>
      <c r="AC672" t="s">
        <v>13165</v>
      </c>
      <c r="AD672" t="s">
        <v>13166</v>
      </c>
      <c r="AE672" t="s">
        <v>13167</v>
      </c>
      <c r="AF672" t="s">
        <v>74</v>
      </c>
      <c r="AG672">
        <v>48</v>
      </c>
      <c r="AH672">
        <v>5</v>
      </c>
      <c r="AI672">
        <v>5</v>
      </c>
      <c r="AJ672">
        <v>0</v>
      </c>
      <c r="AK672">
        <v>10</v>
      </c>
      <c r="AL672" t="s">
        <v>1973</v>
      </c>
      <c r="AM672" t="s">
        <v>1797</v>
      </c>
      <c r="AN672" t="s">
        <v>5588</v>
      </c>
      <c r="AO672" t="s">
        <v>5565</v>
      </c>
      <c r="AP672" t="s">
        <v>5566</v>
      </c>
      <c r="AQ672" t="s">
        <v>74</v>
      </c>
      <c r="AR672" t="s">
        <v>5567</v>
      </c>
      <c r="AS672" t="s">
        <v>5568</v>
      </c>
      <c r="AT672" t="s">
        <v>12461</v>
      </c>
      <c r="AU672">
        <v>2017</v>
      </c>
      <c r="AV672">
        <v>40</v>
      </c>
      <c r="AW672">
        <v>12</v>
      </c>
      <c r="AX672" t="s">
        <v>74</v>
      </c>
      <c r="AY672" t="s">
        <v>74</v>
      </c>
      <c r="AZ672" t="s">
        <v>74</v>
      </c>
      <c r="BA672" t="s">
        <v>74</v>
      </c>
      <c r="BB672">
        <v>2537</v>
      </c>
      <c r="BC672">
        <v>2545</v>
      </c>
      <c r="BD672" t="s">
        <v>74</v>
      </c>
      <c r="BE672" t="s">
        <v>13168</v>
      </c>
      <c r="BF672" t="str">
        <f>HYPERLINK("http://dx.doi.org/10.1007/s00300-017-2164-6","http://dx.doi.org/10.1007/s00300-017-2164-6")</f>
        <v>http://dx.doi.org/10.1007/s00300-017-2164-6</v>
      </c>
      <c r="BG672" t="s">
        <v>74</v>
      </c>
      <c r="BH672" t="s">
        <v>74</v>
      </c>
      <c r="BI672">
        <v>9</v>
      </c>
      <c r="BJ672" t="s">
        <v>4277</v>
      </c>
      <c r="BK672" t="s">
        <v>101</v>
      </c>
      <c r="BL672" t="s">
        <v>4278</v>
      </c>
      <c r="BM672" t="s">
        <v>13050</v>
      </c>
      <c r="BN672">
        <v>29430077</v>
      </c>
      <c r="BO672" t="s">
        <v>389</v>
      </c>
      <c r="BP672" t="s">
        <v>74</v>
      </c>
      <c r="BQ672" t="s">
        <v>74</v>
      </c>
      <c r="BR672" t="s">
        <v>105</v>
      </c>
      <c r="BS672" t="s">
        <v>13169</v>
      </c>
      <c r="BT672" t="str">
        <f>HYPERLINK("https%3A%2F%2Fwww.webofscience.com%2Fwos%2Fwoscc%2Ffull-record%2FWOS:000418386500018","View Full Record in Web of Science")</f>
        <v>View Full Record in Web of Science</v>
      </c>
    </row>
    <row r="673" spans="1:72" x14ac:dyDescent="0.15">
      <c r="A673" t="s">
        <v>72</v>
      </c>
      <c r="B673" t="s">
        <v>13170</v>
      </c>
      <c r="C673" t="s">
        <v>74</v>
      </c>
      <c r="D673" t="s">
        <v>74</v>
      </c>
      <c r="E673" t="s">
        <v>74</v>
      </c>
      <c r="F673" t="s">
        <v>13171</v>
      </c>
      <c r="G673" t="s">
        <v>74</v>
      </c>
      <c r="H673" t="s">
        <v>74</v>
      </c>
      <c r="I673" t="s">
        <v>13172</v>
      </c>
      <c r="J673" t="s">
        <v>13173</v>
      </c>
      <c r="K673" t="s">
        <v>74</v>
      </c>
      <c r="L673" t="s">
        <v>74</v>
      </c>
      <c r="M673" t="s">
        <v>78</v>
      </c>
      <c r="N673" t="s">
        <v>79</v>
      </c>
      <c r="O673" t="s">
        <v>74</v>
      </c>
      <c r="P673" t="s">
        <v>74</v>
      </c>
      <c r="Q673" t="s">
        <v>74</v>
      </c>
      <c r="R673" t="s">
        <v>74</v>
      </c>
      <c r="S673" t="s">
        <v>74</v>
      </c>
      <c r="T673" t="s">
        <v>13174</v>
      </c>
      <c r="U673" t="s">
        <v>13175</v>
      </c>
      <c r="V673" t="s">
        <v>13176</v>
      </c>
      <c r="W673" t="s">
        <v>13177</v>
      </c>
      <c r="X673" t="s">
        <v>13178</v>
      </c>
      <c r="Y673" t="s">
        <v>13179</v>
      </c>
      <c r="Z673" t="s">
        <v>13180</v>
      </c>
      <c r="AA673" t="s">
        <v>13181</v>
      </c>
      <c r="AB673" t="s">
        <v>13182</v>
      </c>
      <c r="AC673" t="s">
        <v>13183</v>
      </c>
      <c r="AD673" t="s">
        <v>13184</v>
      </c>
      <c r="AE673" t="s">
        <v>13185</v>
      </c>
      <c r="AF673" t="s">
        <v>74</v>
      </c>
      <c r="AG673">
        <v>34</v>
      </c>
      <c r="AH673">
        <v>5</v>
      </c>
      <c r="AI673">
        <v>5</v>
      </c>
      <c r="AJ673">
        <v>1</v>
      </c>
      <c r="AK673">
        <v>14</v>
      </c>
      <c r="AL673" t="s">
        <v>13186</v>
      </c>
      <c r="AM673" t="s">
        <v>92</v>
      </c>
      <c r="AN673" t="s">
        <v>13187</v>
      </c>
      <c r="AO673" t="s">
        <v>13188</v>
      </c>
      <c r="AP673" t="s">
        <v>13189</v>
      </c>
      <c r="AQ673" t="s">
        <v>74</v>
      </c>
      <c r="AR673" t="s">
        <v>13190</v>
      </c>
      <c r="AS673" t="s">
        <v>13191</v>
      </c>
      <c r="AT673" t="s">
        <v>12461</v>
      </c>
      <c r="AU673">
        <v>2017</v>
      </c>
      <c r="AV673">
        <v>67</v>
      </c>
      <c r="AW673">
        <v>12</v>
      </c>
      <c r="AX673" t="s">
        <v>74</v>
      </c>
      <c r="AY673" t="s">
        <v>74</v>
      </c>
      <c r="AZ673" t="s">
        <v>74</v>
      </c>
      <c r="BA673" t="s">
        <v>74</v>
      </c>
      <c r="BB673">
        <v>5187</v>
      </c>
      <c r="BC673">
        <v>5192</v>
      </c>
      <c r="BD673" t="s">
        <v>74</v>
      </c>
      <c r="BE673" t="s">
        <v>13192</v>
      </c>
      <c r="BF673" t="str">
        <f>HYPERLINK("http://dx.doi.org/10.1099/ijsem.0.002439","http://dx.doi.org/10.1099/ijsem.0.002439")</f>
        <v>http://dx.doi.org/10.1099/ijsem.0.002439</v>
      </c>
      <c r="BG673" t="s">
        <v>74</v>
      </c>
      <c r="BH673" t="s">
        <v>74</v>
      </c>
      <c r="BI673">
        <v>6</v>
      </c>
      <c r="BJ673" t="s">
        <v>3806</v>
      </c>
      <c r="BK673" t="s">
        <v>101</v>
      </c>
      <c r="BL673" t="s">
        <v>3806</v>
      </c>
      <c r="BM673" t="s">
        <v>13193</v>
      </c>
      <c r="BN673">
        <v>29068279</v>
      </c>
      <c r="BO673" t="s">
        <v>306</v>
      </c>
      <c r="BP673" t="s">
        <v>74</v>
      </c>
      <c r="BQ673" t="s">
        <v>74</v>
      </c>
      <c r="BR673" t="s">
        <v>105</v>
      </c>
      <c r="BS673" t="s">
        <v>13194</v>
      </c>
      <c r="BT673" t="str">
        <f>HYPERLINK("https%3A%2F%2Fwww.webofscience.com%2Fwos%2Fwoscc%2Ffull-record%2FWOS:000417933700047","View Full Record in Web of Science")</f>
        <v>View Full Record in Web of Science</v>
      </c>
    </row>
    <row r="674" spans="1:72" x14ac:dyDescent="0.15">
      <c r="A674" t="s">
        <v>72</v>
      </c>
      <c r="B674" t="s">
        <v>13195</v>
      </c>
      <c r="C674" t="s">
        <v>74</v>
      </c>
      <c r="D674" t="s">
        <v>74</v>
      </c>
      <c r="E674" t="s">
        <v>74</v>
      </c>
      <c r="F674" t="s">
        <v>13196</v>
      </c>
      <c r="G674" t="s">
        <v>74</v>
      </c>
      <c r="H674" t="s">
        <v>74</v>
      </c>
      <c r="I674" t="s">
        <v>13197</v>
      </c>
      <c r="J674" t="s">
        <v>13198</v>
      </c>
      <c r="K674" t="s">
        <v>74</v>
      </c>
      <c r="L674" t="s">
        <v>74</v>
      </c>
      <c r="M674" t="s">
        <v>78</v>
      </c>
      <c r="N674" t="s">
        <v>79</v>
      </c>
      <c r="O674" t="s">
        <v>74</v>
      </c>
      <c r="P674" t="s">
        <v>74</v>
      </c>
      <c r="Q674" t="s">
        <v>74</v>
      </c>
      <c r="R674" t="s">
        <v>74</v>
      </c>
      <c r="S674" t="s">
        <v>74</v>
      </c>
      <c r="T674" t="s">
        <v>13199</v>
      </c>
      <c r="U674" t="s">
        <v>13200</v>
      </c>
      <c r="V674" t="s">
        <v>13201</v>
      </c>
      <c r="W674" t="s">
        <v>13202</v>
      </c>
      <c r="X674" t="s">
        <v>13203</v>
      </c>
      <c r="Y674" t="s">
        <v>13204</v>
      </c>
      <c r="Z674" t="s">
        <v>13205</v>
      </c>
      <c r="AA674" t="s">
        <v>13206</v>
      </c>
      <c r="AB674" t="s">
        <v>13207</v>
      </c>
      <c r="AC674" t="s">
        <v>13208</v>
      </c>
      <c r="AD674" t="s">
        <v>13209</v>
      </c>
      <c r="AE674" t="s">
        <v>13210</v>
      </c>
      <c r="AF674" t="s">
        <v>74</v>
      </c>
      <c r="AG674">
        <v>43</v>
      </c>
      <c r="AH674">
        <v>6</v>
      </c>
      <c r="AI674">
        <v>7</v>
      </c>
      <c r="AJ674">
        <v>0</v>
      </c>
      <c r="AK674">
        <v>14</v>
      </c>
      <c r="AL674" t="s">
        <v>4270</v>
      </c>
      <c r="AM674" t="s">
        <v>4271</v>
      </c>
      <c r="AN674" t="s">
        <v>4272</v>
      </c>
      <c r="AO674" t="s">
        <v>13211</v>
      </c>
      <c r="AP674" t="s">
        <v>13212</v>
      </c>
      <c r="AQ674" t="s">
        <v>74</v>
      </c>
      <c r="AR674" t="s">
        <v>13213</v>
      </c>
      <c r="AS674" t="s">
        <v>13214</v>
      </c>
      <c r="AT674" t="s">
        <v>12461</v>
      </c>
      <c r="AU674">
        <v>2017</v>
      </c>
      <c r="AV674">
        <v>27</v>
      </c>
      <c r="AW674">
        <v>6</v>
      </c>
      <c r="AX674" t="s">
        <v>74</v>
      </c>
      <c r="AY674" t="s">
        <v>74</v>
      </c>
      <c r="AZ674" t="s">
        <v>74</v>
      </c>
      <c r="BA674" t="s">
        <v>74</v>
      </c>
      <c r="BB674">
        <v>1156</v>
      </c>
      <c r="BC674">
        <v>1163</v>
      </c>
      <c r="BD674" t="s">
        <v>74</v>
      </c>
      <c r="BE674" t="s">
        <v>13215</v>
      </c>
      <c r="BF674" t="str">
        <f>HYPERLINK("http://dx.doi.org/10.1002/aqc.2765","http://dx.doi.org/10.1002/aqc.2765")</f>
        <v>http://dx.doi.org/10.1002/aqc.2765</v>
      </c>
      <c r="BG674" t="s">
        <v>74</v>
      </c>
      <c r="BH674" t="s">
        <v>74</v>
      </c>
      <c r="BI674">
        <v>8</v>
      </c>
      <c r="BJ674" t="s">
        <v>13216</v>
      </c>
      <c r="BK674" t="s">
        <v>101</v>
      </c>
      <c r="BL674" t="s">
        <v>13217</v>
      </c>
      <c r="BM674" t="s">
        <v>13218</v>
      </c>
      <c r="BN674" t="s">
        <v>74</v>
      </c>
      <c r="BO674" t="s">
        <v>389</v>
      </c>
      <c r="BP674" t="s">
        <v>74</v>
      </c>
      <c r="BQ674" t="s">
        <v>74</v>
      </c>
      <c r="BR674" t="s">
        <v>105</v>
      </c>
      <c r="BS674" t="s">
        <v>13219</v>
      </c>
      <c r="BT674" t="str">
        <f>HYPERLINK("https%3A%2F%2Fwww.webofscience.com%2Fwos%2Fwoscc%2Ffull-record%2FWOS:000418653700008","View Full Record in Web of Science")</f>
        <v>View Full Record in Web of Science</v>
      </c>
    </row>
    <row r="675" spans="1:72" x14ac:dyDescent="0.15">
      <c r="A675" t="s">
        <v>72</v>
      </c>
      <c r="B675" t="s">
        <v>13220</v>
      </c>
      <c r="C675" t="s">
        <v>74</v>
      </c>
      <c r="D675" t="s">
        <v>74</v>
      </c>
      <c r="E675" t="s">
        <v>74</v>
      </c>
      <c r="F675" t="s">
        <v>13221</v>
      </c>
      <c r="G675" t="s">
        <v>74</v>
      </c>
      <c r="H675" t="s">
        <v>74</v>
      </c>
      <c r="I675" t="s">
        <v>13222</v>
      </c>
      <c r="J675" t="s">
        <v>13223</v>
      </c>
      <c r="K675" t="s">
        <v>74</v>
      </c>
      <c r="L675" t="s">
        <v>74</v>
      </c>
      <c r="M675" t="s">
        <v>78</v>
      </c>
      <c r="N675" t="s">
        <v>79</v>
      </c>
      <c r="O675" t="s">
        <v>74</v>
      </c>
      <c r="P675" t="s">
        <v>74</v>
      </c>
      <c r="Q675" t="s">
        <v>74</v>
      </c>
      <c r="R675" t="s">
        <v>74</v>
      </c>
      <c r="S675" t="s">
        <v>74</v>
      </c>
      <c r="T675" t="s">
        <v>13224</v>
      </c>
      <c r="U675" t="s">
        <v>13225</v>
      </c>
      <c r="V675" t="s">
        <v>13226</v>
      </c>
      <c r="W675" t="s">
        <v>13227</v>
      </c>
      <c r="X675" t="s">
        <v>13228</v>
      </c>
      <c r="Y675" t="s">
        <v>13229</v>
      </c>
      <c r="Z675" t="s">
        <v>13230</v>
      </c>
      <c r="AA675" t="s">
        <v>13231</v>
      </c>
      <c r="AB675" t="s">
        <v>13232</v>
      </c>
      <c r="AC675" t="s">
        <v>13233</v>
      </c>
      <c r="AD675" t="s">
        <v>13234</v>
      </c>
      <c r="AE675" t="s">
        <v>13235</v>
      </c>
      <c r="AF675" t="s">
        <v>74</v>
      </c>
      <c r="AG675">
        <v>55</v>
      </c>
      <c r="AH675">
        <v>7</v>
      </c>
      <c r="AI675">
        <v>8</v>
      </c>
      <c r="AJ675">
        <v>2</v>
      </c>
      <c r="AK675">
        <v>11</v>
      </c>
      <c r="AL675" t="s">
        <v>13236</v>
      </c>
      <c r="AM675" t="s">
        <v>8222</v>
      </c>
      <c r="AN675" t="s">
        <v>13237</v>
      </c>
      <c r="AO675" t="s">
        <v>13238</v>
      </c>
      <c r="AP675" t="s">
        <v>74</v>
      </c>
      <c r="AQ675" t="s">
        <v>74</v>
      </c>
      <c r="AR675" t="s">
        <v>13239</v>
      </c>
      <c r="AS675" t="s">
        <v>13240</v>
      </c>
      <c r="AT675" t="s">
        <v>12461</v>
      </c>
      <c r="AU675">
        <v>2017</v>
      </c>
      <c r="AV675">
        <v>6</v>
      </c>
      <c r="AW675">
        <v>12</v>
      </c>
      <c r="AX675" t="s">
        <v>74</v>
      </c>
      <c r="AY675" t="s">
        <v>74</v>
      </c>
      <c r="AZ675" t="s">
        <v>74</v>
      </c>
      <c r="BA675" t="s">
        <v>74</v>
      </c>
      <c r="BB675">
        <v>1953</v>
      </c>
      <c r="BC675">
        <v>1959</v>
      </c>
      <c r="BD675" t="s">
        <v>74</v>
      </c>
      <c r="BE675" t="s">
        <v>13241</v>
      </c>
      <c r="BF675" t="str">
        <f>HYPERLINK("http://dx.doi.org/10.1242/bio.023341","http://dx.doi.org/10.1242/bio.023341")</f>
        <v>http://dx.doi.org/10.1242/bio.023341</v>
      </c>
      <c r="BG675" t="s">
        <v>74</v>
      </c>
      <c r="BH675" t="s">
        <v>74</v>
      </c>
      <c r="BI675">
        <v>7</v>
      </c>
      <c r="BJ675" t="s">
        <v>8182</v>
      </c>
      <c r="BK675" t="s">
        <v>101</v>
      </c>
      <c r="BL675" t="s">
        <v>8183</v>
      </c>
      <c r="BM675" t="s">
        <v>13242</v>
      </c>
      <c r="BN675">
        <v>29175859</v>
      </c>
      <c r="BO675" t="s">
        <v>612</v>
      </c>
      <c r="BP675" t="s">
        <v>74</v>
      </c>
      <c r="BQ675" t="s">
        <v>74</v>
      </c>
      <c r="BR675" t="s">
        <v>105</v>
      </c>
      <c r="BS675" t="s">
        <v>13243</v>
      </c>
      <c r="BT675" t="str">
        <f>HYPERLINK("https%3A%2F%2Fwww.webofscience.com%2Fwos%2Fwoscc%2Ffull-record%2FWOS:000418344300021","View Full Record in Web of Science")</f>
        <v>View Full Record in Web of Science</v>
      </c>
    </row>
    <row r="676" spans="1:72" x14ac:dyDescent="0.15">
      <c r="A676" t="s">
        <v>72</v>
      </c>
      <c r="B676" t="s">
        <v>13244</v>
      </c>
      <c r="C676" t="s">
        <v>74</v>
      </c>
      <c r="D676" t="s">
        <v>74</v>
      </c>
      <c r="E676" t="s">
        <v>74</v>
      </c>
      <c r="F676" t="s">
        <v>13245</v>
      </c>
      <c r="G676" t="s">
        <v>74</v>
      </c>
      <c r="H676" t="s">
        <v>74</v>
      </c>
      <c r="I676" t="s">
        <v>13246</v>
      </c>
      <c r="J676" t="s">
        <v>13247</v>
      </c>
      <c r="K676" t="s">
        <v>74</v>
      </c>
      <c r="L676" t="s">
        <v>74</v>
      </c>
      <c r="M676" t="s">
        <v>78</v>
      </c>
      <c r="N676" t="s">
        <v>79</v>
      </c>
      <c r="O676" t="s">
        <v>74</v>
      </c>
      <c r="P676" t="s">
        <v>74</v>
      </c>
      <c r="Q676" t="s">
        <v>74</v>
      </c>
      <c r="R676" t="s">
        <v>74</v>
      </c>
      <c r="S676" t="s">
        <v>74</v>
      </c>
      <c r="T676" t="s">
        <v>74</v>
      </c>
      <c r="U676" t="s">
        <v>13248</v>
      </c>
      <c r="V676" t="s">
        <v>13249</v>
      </c>
      <c r="W676" t="s">
        <v>13250</v>
      </c>
      <c r="X676" t="s">
        <v>13251</v>
      </c>
      <c r="Y676" t="s">
        <v>13252</v>
      </c>
      <c r="Z676" t="s">
        <v>13253</v>
      </c>
      <c r="AA676" t="s">
        <v>74</v>
      </c>
      <c r="AB676" t="s">
        <v>13254</v>
      </c>
      <c r="AC676" t="s">
        <v>13255</v>
      </c>
      <c r="AD676" t="s">
        <v>13256</v>
      </c>
      <c r="AE676" t="s">
        <v>13257</v>
      </c>
      <c r="AF676" t="s">
        <v>74</v>
      </c>
      <c r="AG676">
        <v>80</v>
      </c>
      <c r="AH676">
        <v>9</v>
      </c>
      <c r="AI676">
        <v>9</v>
      </c>
      <c r="AJ676">
        <v>3</v>
      </c>
      <c r="AK676">
        <v>17</v>
      </c>
      <c r="AL676" t="s">
        <v>4022</v>
      </c>
      <c r="AM676" t="s">
        <v>4023</v>
      </c>
      <c r="AN676" t="s">
        <v>4024</v>
      </c>
      <c r="AO676" t="s">
        <v>13258</v>
      </c>
      <c r="AP676" t="s">
        <v>13259</v>
      </c>
      <c r="AQ676" t="s">
        <v>74</v>
      </c>
      <c r="AR676" t="s">
        <v>13260</v>
      </c>
      <c r="AS676" t="s">
        <v>13261</v>
      </c>
      <c r="AT676" t="s">
        <v>12461</v>
      </c>
      <c r="AU676">
        <v>2017</v>
      </c>
      <c r="AV676">
        <v>47</v>
      </c>
      <c r="AW676">
        <v>12</v>
      </c>
      <c r="AX676" t="s">
        <v>74</v>
      </c>
      <c r="AY676" t="s">
        <v>74</v>
      </c>
      <c r="AZ676" t="s">
        <v>74</v>
      </c>
      <c r="BA676" t="s">
        <v>74</v>
      </c>
      <c r="BB676">
        <v>2907</v>
      </c>
      <c r="BC676">
        <v>2925</v>
      </c>
      <c r="BD676" t="s">
        <v>74</v>
      </c>
      <c r="BE676" t="s">
        <v>13262</v>
      </c>
      <c r="BF676" t="str">
        <f>HYPERLINK("http://dx.doi.org/10.1175/JPO-D-17-0091.1","http://dx.doi.org/10.1175/JPO-D-17-0091.1")</f>
        <v>http://dx.doi.org/10.1175/JPO-D-17-0091.1</v>
      </c>
      <c r="BG676" t="s">
        <v>74</v>
      </c>
      <c r="BH676" t="s">
        <v>74</v>
      </c>
      <c r="BI676">
        <v>19</v>
      </c>
      <c r="BJ676" t="s">
        <v>1907</v>
      </c>
      <c r="BK676" t="s">
        <v>101</v>
      </c>
      <c r="BL676" t="s">
        <v>1907</v>
      </c>
      <c r="BM676" t="s">
        <v>13263</v>
      </c>
      <c r="BN676" t="s">
        <v>74</v>
      </c>
      <c r="BO676" t="s">
        <v>74</v>
      </c>
      <c r="BP676" t="s">
        <v>74</v>
      </c>
      <c r="BQ676" t="s">
        <v>74</v>
      </c>
      <c r="BR676" t="s">
        <v>105</v>
      </c>
      <c r="BS676" t="s">
        <v>13264</v>
      </c>
      <c r="BT676" t="str">
        <f>HYPERLINK("https%3A%2F%2Fwww.webofscience.com%2Fwos%2Fwoscc%2Ffull-record%2FWOS:000418524300004","View Full Record in Web of Science")</f>
        <v>View Full Record in Web of Science</v>
      </c>
    </row>
    <row r="677" spans="1:72" x14ac:dyDescent="0.15">
      <c r="A677" t="s">
        <v>72</v>
      </c>
      <c r="B677" t="s">
        <v>13265</v>
      </c>
      <c r="C677" t="s">
        <v>74</v>
      </c>
      <c r="D677" t="s">
        <v>74</v>
      </c>
      <c r="E677" t="s">
        <v>74</v>
      </c>
      <c r="F677" t="s">
        <v>13266</v>
      </c>
      <c r="G677" t="s">
        <v>74</v>
      </c>
      <c r="H677" t="s">
        <v>74</v>
      </c>
      <c r="I677" t="s">
        <v>13267</v>
      </c>
      <c r="J677" t="s">
        <v>13247</v>
      </c>
      <c r="K677" t="s">
        <v>74</v>
      </c>
      <c r="L677" t="s">
        <v>74</v>
      </c>
      <c r="M677" t="s">
        <v>78</v>
      </c>
      <c r="N677" t="s">
        <v>79</v>
      </c>
      <c r="O677" t="s">
        <v>74</v>
      </c>
      <c r="P677" t="s">
        <v>74</v>
      </c>
      <c r="Q677" t="s">
        <v>74</v>
      </c>
      <c r="R677" t="s">
        <v>74</v>
      </c>
      <c r="S677" t="s">
        <v>74</v>
      </c>
      <c r="T677" t="s">
        <v>74</v>
      </c>
      <c r="U677" t="s">
        <v>13268</v>
      </c>
      <c r="V677" t="s">
        <v>13269</v>
      </c>
      <c r="W677" t="s">
        <v>13270</v>
      </c>
      <c r="X677" t="s">
        <v>13271</v>
      </c>
      <c r="Y677" t="s">
        <v>13272</v>
      </c>
      <c r="Z677" t="s">
        <v>13273</v>
      </c>
      <c r="AA677" t="s">
        <v>13274</v>
      </c>
      <c r="AB677" t="s">
        <v>13275</v>
      </c>
      <c r="AC677" t="s">
        <v>13276</v>
      </c>
      <c r="AD677" t="s">
        <v>13277</v>
      </c>
      <c r="AE677" t="s">
        <v>13278</v>
      </c>
      <c r="AF677" t="s">
        <v>74</v>
      </c>
      <c r="AG677">
        <v>55</v>
      </c>
      <c r="AH677">
        <v>28</v>
      </c>
      <c r="AI677">
        <v>30</v>
      </c>
      <c r="AJ677">
        <v>0</v>
      </c>
      <c r="AK677">
        <v>12</v>
      </c>
      <c r="AL677" t="s">
        <v>4022</v>
      </c>
      <c r="AM677" t="s">
        <v>4023</v>
      </c>
      <c r="AN677" t="s">
        <v>4024</v>
      </c>
      <c r="AO677" t="s">
        <v>13258</v>
      </c>
      <c r="AP677" t="s">
        <v>13259</v>
      </c>
      <c r="AQ677" t="s">
        <v>74</v>
      </c>
      <c r="AR677" t="s">
        <v>13260</v>
      </c>
      <c r="AS677" t="s">
        <v>13261</v>
      </c>
      <c r="AT677" t="s">
        <v>12461</v>
      </c>
      <c r="AU677">
        <v>2017</v>
      </c>
      <c r="AV677">
        <v>47</v>
      </c>
      <c r="AW677">
        <v>12</v>
      </c>
      <c r="AX677" t="s">
        <v>74</v>
      </c>
      <c r="AY677" t="s">
        <v>74</v>
      </c>
      <c r="AZ677" t="s">
        <v>74</v>
      </c>
      <c r="BA677" t="s">
        <v>74</v>
      </c>
      <c r="BB677">
        <v>2977</v>
      </c>
      <c r="BC677">
        <v>2997</v>
      </c>
      <c r="BD677" t="s">
        <v>74</v>
      </c>
      <c r="BE677" t="s">
        <v>13279</v>
      </c>
      <c r="BF677" t="str">
        <f>HYPERLINK("http://dx.doi.org/10.1175/JPO-D-17-0030.1","http://dx.doi.org/10.1175/JPO-D-17-0030.1")</f>
        <v>http://dx.doi.org/10.1175/JPO-D-17-0030.1</v>
      </c>
      <c r="BG677" t="s">
        <v>74</v>
      </c>
      <c r="BH677" t="s">
        <v>74</v>
      </c>
      <c r="BI677">
        <v>21</v>
      </c>
      <c r="BJ677" t="s">
        <v>1907</v>
      </c>
      <c r="BK677" t="s">
        <v>101</v>
      </c>
      <c r="BL677" t="s">
        <v>1907</v>
      </c>
      <c r="BM677" t="s">
        <v>13263</v>
      </c>
      <c r="BN677" t="s">
        <v>74</v>
      </c>
      <c r="BO677" t="s">
        <v>7891</v>
      </c>
      <c r="BP677" t="s">
        <v>74</v>
      </c>
      <c r="BQ677" t="s">
        <v>74</v>
      </c>
      <c r="BR677" t="s">
        <v>105</v>
      </c>
      <c r="BS677" t="s">
        <v>13280</v>
      </c>
      <c r="BT677" t="str">
        <f>HYPERLINK("https%3A%2F%2Fwww.webofscience.com%2Fwos%2Fwoscc%2Ffull-record%2FWOS:000418524300007","View Full Record in Web of Science")</f>
        <v>View Full Record in Web of Science</v>
      </c>
    </row>
    <row r="678" spans="1:72" x14ac:dyDescent="0.15">
      <c r="A678" t="s">
        <v>72</v>
      </c>
      <c r="B678" t="s">
        <v>13281</v>
      </c>
      <c r="C678" t="s">
        <v>74</v>
      </c>
      <c r="D678" t="s">
        <v>74</v>
      </c>
      <c r="E678" t="s">
        <v>74</v>
      </c>
      <c r="F678" t="s">
        <v>13282</v>
      </c>
      <c r="G678" t="s">
        <v>74</v>
      </c>
      <c r="H678" t="s">
        <v>74</v>
      </c>
      <c r="I678" t="s">
        <v>13283</v>
      </c>
      <c r="J678" t="s">
        <v>13247</v>
      </c>
      <c r="K678" t="s">
        <v>74</v>
      </c>
      <c r="L678" t="s">
        <v>74</v>
      </c>
      <c r="M678" t="s">
        <v>78</v>
      </c>
      <c r="N678" t="s">
        <v>79</v>
      </c>
      <c r="O678" t="s">
        <v>74</v>
      </c>
      <c r="P678" t="s">
        <v>74</v>
      </c>
      <c r="Q678" t="s">
        <v>74</v>
      </c>
      <c r="R678" t="s">
        <v>74</v>
      </c>
      <c r="S678" t="s">
        <v>74</v>
      </c>
      <c r="T678" t="s">
        <v>74</v>
      </c>
      <c r="U678" t="s">
        <v>13284</v>
      </c>
      <c r="V678" t="s">
        <v>13285</v>
      </c>
      <c r="W678" t="s">
        <v>13286</v>
      </c>
      <c r="X678" t="s">
        <v>13287</v>
      </c>
      <c r="Y678" t="s">
        <v>13288</v>
      </c>
      <c r="Z678" t="s">
        <v>13289</v>
      </c>
      <c r="AA678" t="s">
        <v>13290</v>
      </c>
      <c r="AB678" t="s">
        <v>13291</v>
      </c>
      <c r="AC678" t="s">
        <v>13292</v>
      </c>
      <c r="AD678" t="s">
        <v>13293</v>
      </c>
      <c r="AE678" t="s">
        <v>13294</v>
      </c>
      <c r="AF678" t="s">
        <v>74</v>
      </c>
      <c r="AG678">
        <v>75</v>
      </c>
      <c r="AH678">
        <v>9</v>
      </c>
      <c r="AI678">
        <v>9</v>
      </c>
      <c r="AJ678">
        <v>0</v>
      </c>
      <c r="AK678">
        <v>6</v>
      </c>
      <c r="AL678" t="s">
        <v>4022</v>
      </c>
      <c r="AM678" t="s">
        <v>4023</v>
      </c>
      <c r="AN678" t="s">
        <v>4024</v>
      </c>
      <c r="AO678" t="s">
        <v>13258</v>
      </c>
      <c r="AP678" t="s">
        <v>13259</v>
      </c>
      <c r="AQ678" t="s">
        <v>74</v>
      </c>
      <c r="AR678" t="s">
        <v>13260</v>
      </c>
      <c r="AS678" t="s">
        <v>13261</v>
      </c>
      <c r="AT678" t="s">
        <v>12461</v>
      </c>
      <c r="AU678">
        <v>2017</v>
      </c>
      <c r="AV678">
        <v>47</v>
      </c>
      <c r="AW678">
        <v>12</v>
      </c>
      <c r="AX678" t="s">
        <v>74</v>
      </c>
      <c r="AY678" t="s">
        <v>74</v>
      </c>
      <c r="AZ678" t="s">
        <v>74</v>
      </c>
      <c r="BA678" t="s">
        <v>74</v>
      </c>
      <c r="BB678">
        <v>3015</v>
      </c>
      <c r="BC678">
        <v>3036</v>
      </c>
      <c r="BD678" t="s">
        <v>74</v>
      </c>
      <c r="BE678" t="s">
        <v>13295</v>
      </c>
      <c r="BF678" t="str">
        <f>HYPERLINK("http://dx.doi.org/10.1175/JPO-D-17-0011.1","http://dx.doi.org/10.1175/JPO-D-17-0011.1")</f>
        <v>http://dx.doi.org/10.1175/JPO-D-17-0011.1</v>
      </c>
      <c r="BG678" t="s">
        <v>74</v>
      </c>
      <c r="BH678" t="s">
        <v>74</v>
      </c>
      <c r="BI678">
        <v>22</v>
      </c>
      <c r="BJ678" t="s">
        <v>1907</v>
      </c>
      <c r="BK678" t="s">
        <v>101</v>
      </c>
      <c r="BL678" t="s">
        <v>1907</v>
      </c>
      <c r="BM678" t="s">
        <v>13263</v>
      </c>
      <c r="BN678" t="s">
        <v>74</v>
      </c>
      <c r="BO678" t="s">
        <v>306</v>
      </c>
      <c r="BP678" t="s">
        <v>74</v>
      </c>
      <c r="BQ678" t="s">
        <v>74</v>
      </c>
      <c r="BR678" t="s">
        <v>105</v>
      </c>
      <c r="BS678" t="s">
        <v>13296</v>
      </c>
      <c r="BT678" t="str">
        <f>HYPERLINK("https%3A%2F%2Fwww.webofscience.com%2Fwos%2Fwoscc%2Ffull-record%2FWOS:000418524300009","View Full Record in Web of Science")</f>
        <v>View Full Record in Web of Science</v>
      </c>
    </row>
    <row r="679" spans="1:72" x14ac:dyDescent="0.15">
      <c r="A679" t="s">
        <v>72</v>
      </c>
      <c r="B679" t="s">
        <v>13297</v>
      </c>
      <c r="C679" t="s">
        <v>74</v>
      </c>
      <c r="D679" t="s">
        <v>74</v>
      </c>
      <c r="E679" t="s">
        <v>74</v>
      </c>
      <c r="F679" t="s">
        <v>13298</v>
      </c>
      <c r="G679" t="s">
        <v>74</v>
      </c>
      <c r="H679" t="s">
        <v>74</v>
      </c>
      <c r="I679" t="s">
        <v>13299</v>
      </c>
      <c r="J679" t="s">
        <v>9156</v>
      </c>
      <c r="K679" t="s">
        <v>74</v>
      </c>
      <c r="L679" t="s">
        <v>74</v>
      </c>
      <c r="M679" t="s">
        <v>78</v>
      </c>
      <c r="N679" t="s">
        <v>79</v>
      </c>
      <c r="O679" t="s">
        <v>74</v>
      </c>
      <c r="P679" t="s">
        <v>74</v>
      </c>
      <c r="Q679" t="s">
        <v>74</v>
      </c>
      <c r="R679" t="s">
        <v>74</v>
      </c>
      <c r="S679" t="s">
        <v>74</v>
      </c>
      <c r="T679" t="s">
        <v>13300</v>
      </c>
      <c r="U679" t="s">
        <v>13301</v>
      </c>
      <c r="V679" t="s">
        <v>13302</v>
      </c>
      <c r="W679" t="s">
        <v>13303</v>
      </c>
      <c r="X679" t="s">
        <v>13304</v>
      </c>
      <c r="Y679" t="s">
        <v>13305</v>
      </c>
      <c r="Z679" t="s">
        <v>13306</v>
      </c>
      <c r="AA679" t="s">
        <v>13307</v>
      </c>
      <c r="AB679" t="s">
        <v>74</v>
      </c>
      <c r="AC679" t="s">
        <v>13308</v>
      </c>
      <c r="AD679" t="s">
        <v>13309</v>
      </c>
      <c r="AE679" t="s">
        <v>13310</v>
      </c>
      <c r="AF679" t="s">
        <v>74</v>
      </c>
      <c r="AG679">
        <v>92</v>
      </c>
      <c r="AH679">
        <v>40</v>
      </c>
      <c r="AI679">
        <v>45</v>
      </c>
      <c r="AJ679">
        <v>3</v>
      </c>
      <c r="AK679">
        <v>16</v>
      </c>
      <c r="AL679" t="s">
        <v>1139</v>
      </c>
      <c r="AM679" t="s">
        <v>1140</v>
      </c>
      <c r="AN679" t="s">
        <v>1141</v>
      </c>
      <c r="AO679" t="s">
        <v>9169</v>
      </c>
      <c r="AP679" t="s">
        <v>74</v>
      </c>
      <c r="AQ679" t="s">
        <v>74</v>
      </c>
      <c r="AR679" t="s">
        <v>9171</v>
      </c>
      <c r="AS679" t="s">
        <v>9172</v>
      </c>
      <c r="AT679" t="s">
        <v>12906</v>
      </c>
      <c r="AU679">
        <v>2017</v>
      </c>
      <c r="AV679">
        <v>177</v>
      </c>
      <c r="AW679" t="s">
        <v>74</v>
      </c>
      <c r="AX679" t="s">
        <v>74</v>
      </c>
      <c r="AY679" t="s">
        <v>74</v>
      </c>
      <c r="AZ679" t="s">
        <v>74</v>
      </c>
      <c r="BA679" t="s">
        <v>74</v>
      </c>
      <c r="BB679">
        <v>173</v>
      </c>
      <c r="BC679">
        <v>188</v>
      </c>
      <c r="BD679" t="s">
        <v>74</v>
      </c>
      <c r="BE679" t="s">
        <v>13311</v>
      </c>
      <c r="BF679" t="str">
        <f>HYPERLINK("http://dx.doi.org/10.1016/j.quascirev.2017.10.006","http://dx.doi.org/10.1016/j.quascirev.2017.10.006")</f>
        <v>http://dx.doi.org/10.1016/j.quascirev.2017.10.006</v>
      </c>
      <c r="BG679" t="s">
        <v>74</v>
      </c>
      <c r="BH679" t="s">
        <v>74</v>
      </c>
      <c r="BI679">
        <v>16</v>
      </c>
      <c r="BJ679" t="s">
        <v>233</v>
      </c>
      <c r="BK679" t="s">
        <v>101</v>
      </c>
      <c r="BL679" t="s">
        <v>234</v>
      </c>
      <c r="BM679" t="s">
        <v>13312</v>
      </c>
      <c r="BN679" t="s">
        <v>74</v>
      </c>
      <c r="BO679" t="s">
        <v>74</v>
      </c>
      <c r="BP679" t="s">
        <v>74</v>
      </c>
      <c r="BQ679" t="s">
        <v>74</v>
      </c>
      <c r="BR679" t="s">
        <v>105</v>
      </c>
      <c r="BS679" t="s">
        <v>13313</v>
      </c>
      <c r="BT679" t="str">
        <f>HYPERLINK("https%3A%2F%2Fwww.webofscience.com%2Fwos%2Fwoscc%2Ffull-record%2FWOS:000418203900012","View Full Record in Web of Science")</f>
        <v>View Full Record in Web of Science</v>
      </c>
    </row>
    <row r="680" spans="1:72" x14ac:dyDescent="0.15">
      <c r="A680" t="s">
        <v>72</v>
      </c>
      <c r="B680" t="s">
        <v>13314</v>
      </c>
      <c r="C680" t="s">
        <v>74</v>
      </c>
      <c r="D680" t="s">
        <v>74</v>
      </c>
      <c r="E680" t="s">
        <v>74</v>
      </c>
      <c r="F680" t="s">
        <v>13315</v>
      </c>
      <c r="G680" t="s">
        <v>74</v>
      </c>
      <c r="H680" t="s">
        <v>74</v>
      </c>
      <c r="I680" t="s">
        <v>13316</v>
      </c>
      <c r="J680" t="s">
        <v>9156</v>
      </c>
      <c r="K680" t="s">
        <v>74</v>
      </c>
      <c r="L680" t="s">
        <v>74</v>
      </c>
      <c r="M680" t="s">
        <v>78</v>
      </c>
      <c r="N680" t="s">
        <v>79</v>
      </c>
      <c r="O680" t="s">
        <v>74</v>
      </c>
      <c r="P680" t="s">
        <v>74</v>
      </c>
      <c r="Q680" t="s">
        <v>74</v>
      </c>
      <c r="R680" t="s">
        <v>74</v>
      </c>
      <c r="S680" t="s">
        <v>74</v>
      </c>
      <c r="T680" t="s">
        <v>13317</v>
      </c>
      <c r="U680" t="s">
        <v>13318</v>
      </c>
      <c r="V680" t="s">
        <v>13319</v>
      </c>
      <c r="W680" t="s">
        <v>13320</v>
      </c>
      <c r="X680" t="s">
        <v>13321</v>
      </c>
      <c r="Y680" t="s">
        <v>13322</v>
      </c>
      <c r="Z680" t="s">
        <v>13323</v>
      </c>
      <c r="AA680" t="s">
        <v>13324</v>
      </c>
      <c r="AB680" t="s">
        <v>13325</v>
      </c>
      <c r="AC680" t="s">
        <v>13326</v>
      </c>
      <c r="AD680" t="s">
        <v>13327</v>
      </c>
      <c r="AE680" t="s">
        <v>13328</v>
      </c>
      <c r="AF680" t="s">
        <v>74</v>
      </c>
      <c r="AG680">
        <v>56</v>
      </c>
      <c r="AH680">
        <v>28</v>
      </c>
      <c r="AI680">
        <v>28</v>
      </c>
      <c r="AJ680">
        <v>1</v>
      </c>
      <c r="AK680">
        <v>21</v>
      </c>
      <c r="AL680" t="s">
        <v>1139</v>
      </c>
      <c r="AM680" t="s">
        <v>1140</v>
      </c>
      <c r="AN680" t="s">
        <v>1141</v>
      </c>
      <c r="AO680" t="s">
        <v>9169</v>
      </c>
      <c r="AP680" t="s">
        <v>74</v>
      </c>
      <c r="AQ680" t="s">
        <v>74</v>
      </c>
      <c r="AR680" t="s">
        <v>9171</v>
      </c>
      <c r="AS680" t="s">
        <v>9172</v>
      </c>
      <c r="AT680" t="s">
        <v>12906</v>
      </c>
      <c r="AU680">
        <v>2017</v>
      </c>
      <c r="AV680">
        <v>177</v>
      </c>
      <c r="AW680" t="s">
        <v>74</v>
      </c>
      <c r="AX680" t="s">
        <v>74</v>
      </c>
      <c r="AY680" t="s">
        <v>74</v>
      </c>
      <c r="AZ680" t="s">
        <v>74</v>
      </c>
      <c r="BA680" t="s">
        <v>74</v>
      </c>
      <c r="BB680">
        <v>265</v>
      </c>
      <c r="BC680">
        <v>275</v>
      </c>
      <c r="BD680" t="s">
        <v>74</v>
      </c>
      <c r="BE680" t="s">
        <v>13329</v>
      </c>
      <c r="BF680" t="str">
        <f>HYPERLINK("http://dx.doi.org/10.1016/j.quascirev.2017.10.029","http://dx.doi.org/10.1016/j.quascirev.2017.10.029")</f>
        <v>http://dx.doi.org/10.1016/j.quascirev.2017.10.029</v>
      </c>
      <c r="BG680" t="s">
        <v>74</v>
      </c>
      <c r="BH680" t="s">
        <v>74</v>
      </c>
      <c r="BI680">
        <v>11</v>
      </c>
      <c r="BJ680" t="s">
        <v>233</v>
      </c>
      <c r="BK680" t="s">
        <v>101</v>
      </c>
      <c r="BL680" t="s">
        <v>234</v>
      </c>
      <c r="BM680" t="s">
        <v>13312</v>
      </c>
      <c r="BN680" t="s">
        <v>74</v>
      </c>
      <c r="BO680" t="s">
        <v>10510</v>
      </c>
      <c r="BP680" t="s">
        <v>74</v>
      </c>
      <c r="BQ680" t="s">
        <v>74</v>
      </c>
      <c r="BR680" t="s">
        <v>105</v>
      </c>
      <c r="BS680" t="s">
        <v>13330</v>
      </c>
      <c r="BT680" t="str">
        <f>HYPERLINK("https%3A%2F%2Fwww.webofscience.com%2Fwos%2Fwoscc%2Ffull-record%2FWOS:000418203900017","View Full Record in Web of Science")</f>
        <v>View Full Record in Web of Science</v>
      </c>
    </row>
    <row r="681" spans="1:72" x14ac:dyDescent="0.15">
      <c r="A681" t="s">
        <v>72</v>
      </c>
      <c r="B681" t="s">
        <v>13331</v>
      </c>
      <c r="C681" t="s">
        <v>74</v>
      </c>
      <c r="D681" t="s">
        <v>74</v>
      </c>
      <c r="E681" t="s">
        <v>74</v>
      </c>
      <c r="F681" t="s">
        <v>13332</v>
      </c>
      <c r="G681" t="s">
        <v>74</v>
      </c>
      <c r="H681" t="s">
        <v>74</v>
      </c>
      <c r="I681" t="s">
        <v>13333</v>
      </c>
      <c r="J681" t="s">
        <v>13334</v>
      </c>
      <c r="K681" t="s">
        <v>74</v>
      </c>
      <c r="L681" t="s">
        <v>74</v>
      </c>
      <c r="M681" t="s">
        <v>78</v>
      </c>
      <c r="N681" t="s">
        <v>79</v>
      </c>
      <c r="O681" t="s">
        <v>74</v>
      </c>
      <c r="P681" t="s">
        <v>74</v>
      </c>
      <c r="Q681" t="s">
        <v>74</v>
      </c>
      <c r="R681" t="s">
        <v>74</v>
      </c>
      <c r="S681" t="s">
        <v>74</v>
      </c>
      <c r="T681" t="s">
        <v>13335</v>
      </c>
      <c r="U681" t="s">
        <v>13336</v>
      </c>
      <c r="V681" t="s">
        <v>13337</v>
      </c>
      <c r="W681" t="s">
        <v>13338</v>
      </c>
      <c r="X681" t="s">
        <v>2299</v>
      </c>
      <c r="Y681" t="s">
        <v>13339</v>
      </c>
      <c r="Z681" t="s">
        <v>13340</v>
      </c>
      <c r="AA681" t="s">
        <v>13341</v>
      </c>
      <c r="AB681" t="s">
        <v>13342</v>
      </c>
      <c r="AC681" t="s">
        <v>13343</v>
      </c>
      <c r="AD681" t="s">
        <v>13344</v>
      </c>
      <c r="AE681" t="s">
        <v>13345</v>
      </c>
      <c r="AF681" t="s">
        <v>74</v>
      </c>
      <c r="AG681">
        <v>12</v>
      </c>
      <c r="AH681">
        <v>17</v>
      </c>
      <c r="AI681">
        <v>17</v>
      </c>
      <c r="AJ681">
        <v>0</v>
      </c>
      <c r="AK681">
        <v>3</v>
      </c>
      <c r="AL681" t="s">
        <v>4270</v>
      </c>
      <c r="AM681" t="s">
        <v>4271</v>
      </c>
      <c r="AN681" t="s">
        <v>4272</v>
      </c>
      <c r="AO681" t="s">
        <v>13346</v>
      </c>
      <c r="AP681" t="s">
        <v>74</v>
      </c>
      <c r="AQ681" t="s">
        <v>74</v>
      </c>
      <c r="AR681" t="s">
        <v>13347</v>
      </c>
      <c r="AS681" t="s">
        <v>13348</v>
      </c>
      <c r="AT681" t="s">
        <v>12461</v>
      </c>
      <c r="AU681">
        <v>2017</v>
      </c>
      <c r="AV681">
        <v>18</v>
      </c>
      <c r="AW681">
        <v>12</v>
      </c>
      <c r="AX681" t="s">
        <v>74</v>
      </c>
      <c r="AY681" t="s">
        <v>74</v>
      </c>
      <c r="AZ681" t="s">
        <v>74</v>
      </c>
      <c r="BA681" t="s">
        <v>74</v>
      </c>
      <c r="BB681">
        <v>491</v>
      </c>
      <c r="BC681">
        <v>496</v>
      </c>
      <c r="BD681" t="s">
        <v>74</v>
      </c>
      <c r="BE681" t="s">
        <v>13349</v>
      </c>
      <c r="BF681" t="str">
        <f>HYPERLINK("http://dx.doi.org/10.1002/asl.793","http://dx.doi.org/10.1002/asl.793")</f>
        <v>http://dx.doi.org/10.1002/asl.793</v>
      </c>
      <c r="BG681" t="s">
        <v>74</v>
      </c>
      <c r="BH681" t="s">
        <v>74</v>
      </c>
      <c r="BI681">
        <v>6</v>
      </c>
      <c r="BJ681" t="s">
        <v>13350</v>
      </c>
      <c r="BK681" t="s">
        <v>101</v>
      </c>
      <c r="BL681" t="s">
        <v>13350</v>
      </c>
      <c r="BM681" t="s">
        <v>13351</v>
      </c>
      <c r="BN681" t="s">
        <v>74</v>
      </c>
      <c r="BO681" t="s">
        <v>2267</v>
      </c>
      <c r="BP681" t="s">
        <v>74</v>
      </c>
      <c r="BQ681" t="s">
        <v>74</v>
      </c>
      <c r="BR681" t="s">
        <v>105</v>
      </c>
      <c r="BS681" t="s">
        <v>13352</v>
      </c>
      <c r="BT681" t="str">
        <f>HYPERLINK("https%3A%2F%2Fwww.webofscience.com%2Fwos%2Fwoscc%2Ffull-record%2FWOS:000418357900006","View Full Record in Web of Science")</f>
        <v>View Full Record in Web of Science</v>
      </c>
    </row>
    <row r="682" spans="1:72" x14ac:dyDescent="0.15">
      <c r="A682" t="s">
        <v>72</v>
      </c>
      <c r="B682" t="s">
        <v>13353</v>
      </c>
      <c r="C682" t="s">
        <v>74</v>
      </c>
      <c r="D682" t="s">
        <v>74</v>
      </c>
      <c r="E682" t="s">
        <v>74</v>
      </c>
      <c r="F682" t="s">
        <v>13354</v>
      </c>
      <c r="G682" t="s">
        <v>74</v>
      </c>
      <c r="H682" t="s">
        <v>74</v>
      </c>
      <c r="I682" t="s">
        <v>13355</v>
      </c>
      <c r="J682" t="s">
        <v>13356</v>
      </c>
      <c r="K682" t="s">
        <v>74</v>
      </c>
      <c r="L682" t="s">
        <v>74</v>
      </c>
      <c r="M682" t="s">
        <v>78</v>
      </c>
      <c r="N682" t="s">
        <v>289</v>
      </c>
      <c r="O682" t="s">
        <v>74</v>
      </c>
      <c r="P682" t="s">
        <v>74</v>
      </c>
      <c r="Q682" t="s">
        <v>74</v>
      </c>
      <c r="R682" t="s">
        <v>74</v>
      </c>
      <c r="S682" t="s">
        <v>74</v>
      </c>
      <c r="T682" t="s">
        <v>13357</v>
      </c>
      <c r="U682" t="s">
        <v>13358</v>
      </c>
      <c r="V682" t="s">
        <v>13359</v>
      </c>
      <c r="W682" t="s">
        <v>13360</v>
      </c>
      <c r="X682" t="s">
        <v>13361</v>
      </c>
      <c r="Y682" t="s">
        <v>13362</v>
      </c>
      <c r="Z682" t="s">
        <v>13363</v>
      </c>
      <c r="AA682" t="s">
        <v>13364</v>
      </c>
      <c r="AB682" t="s">
        <v>13365</v>
      </c>
      <c r="AC682" t="s">
        <v>13366</v>
      </c>
      <c r="AD682" t="s">
        <v>13367</v>
      </c>
      <c r="AE682" t="s">
        <v>13368</v>
      </c>
      <c r="AF682" t="s">
        <v>74</v>
      </c>
      <c r="AG682">
        <v>105</v>
      </c>
      <c r="AH682">
        <v>18</v>
      </c>
      <c r="AI682">
        <v>22</v>
      </c>
      <c r="AJ682">
        <v>2</v>
      </c>
      <c r="AK682">
        <v>30</v>
      </c>
      <c r="AL682" t="s">
        <v>4040</v>
      </c>
      <c r="AM682" t="s">
        <v>92</v>
      </c>
      <c r="AN682" t="s">
        <v>4041</v>
      </c>
      <c r="AO682" t="s">
        <v>13369</v>
      </c>
      <c r="AP682" t="s">
        <v>13370</v>
      </c>
      <c r="AQ682" t="s">
        <v>74</v>
      </c>
      <c r="AR682" t="s">
        <v>13371</v>
      </c>
      <c r="AS682" t="s">
        <v>13372</v>
      </c>
      <c r="AT682" t="s">
        <v>12461</v>
      </c>
      <c r="AU682">
        <v>2017</v>
      </c>
      <c r="AV682">
        <v>41</v>
      </c>
      <c r="AW682">
        <v>6</v>
      </c>
      <c r="AX682" t="s">
        <v>74</v>
      </c>
      <c r="AY682" t="s">
        <v>74</v>
      </c>
      <c r="AZ682" t="s">
        <v>74</v>
      </c>
      <c r="BA682" t="s">
        <v>74</v>
      </c>
      <c r="BB682">
        <v>834</v>
      </c>
      <c r="BC682">
        <v>849</v>
      </c>
      <c r="BD682" t="s">
        <v>74</v>
      </c>
      <c r="BE682" t="s">
        <v>13373</v>
      </c>
      <c r="BF682" t="str">
        <f>HYPERLINK("http://dx.doi.org/10.1177/0309133317743165","http://dx.doi.org/10.1177/0309133317743165")</f>
        <v>http://dx.doi.org/10.1177/0309133317743165</v>
      </c>
      <c r="BG682" t="s">
        <v>74</v>
      </c>
      <c r="BH682" t="s">
        <v>74</v>
      </c>
      <c r="BI682">
        <v>16</v>
      </c>
      <c r="BJ682" t="s">
        <v>233</v>
      </c>
      <c r="BK682" t="s">
        <v>101</v>
      </c>
      <c r="BL682" t="s">
        <v>234</v>
      </c>
      <c r="BM682" t="s">
        <v>13374</v>
      </c>
      <c r="BN682" t="s">
        <v>74</v>
      </c>
      <c r="BO682" t="s">
        <v>74</v>
      </c>
      <c r="BP682" t="s">
        <v>74</v>
      </c>
      <c r="BQ682" t="s">
        <v>74</v>
      </c>
      <c r="BR682" t="s">
        <v>105</v>
      </c>
      <c r="BS682" t="s">
        <v>13375</v>
      </c>
      <c r="BT682" t="str">
        <f>HYPERLINK("https%3A%2F%2Fwww.webofscience.com%2Fwos%2Fwoscc%2Ffull-record%2FWOS:000418042100007","View Full Record in Web of Science")</f>
        <v>View Full Record in Web of Science</v>
      </c>
    </row>
    <row r="683" spans="1:72" x14ac:dyDescent="0.15">
      <c r="A683" t="s">
        <v>72</v>
      </c>
      <c r="B683" t="s">
        <v>13376</v>
      </c>
      <c r="C683" t="s">
        <v>74</v>
      </c>
      <c r="D683" t="s">
        <v>74</v>
      </c>
      <c r="E683" t="s">
        <v>74</v>
      </c>
      <c r="F683" t="s">
        <v>13377</v>
      </c>
      <c r="G683" t="s">
        <v>74</v>
      </c>
      <c r="H683" t="s">
        <v>74</v>
      </c>
      <c r="I683" t="s">
        <v>13378</v>
      </c>
      <c r="J683" t="s">
        <v>13379</v>
      </c>
      <c r="K683" t="s">
        <v>74</v>
      </c>
      <c r="L683" t="s">
        <v>74</v>
      </c>
      <c r="M683" t="s">
        <v>78</v>
      </c>
      <c r="N683" t="s">
        <v>79</v>
      </c>
      <c r="O683" t="s">
        <v>74</v>
      </c>
      <c r="P683" t="s">
        <v>74</v>
      </c>
      <c r="Q683" t="s">
        <v>74</v>
      </c>
      <c r="R683" t="s">
        <v>74</v>
      </c>
      <c r="S683" t="s">
        <v>74</v>
      </c>
      <c r="T683" t="s">
        <v>13380</v>
      </c>
      <c r="U683" t="s">
        <v>13381</v>
      </c>
      <c r="V683" t="s">
        <v>13382</v>
      </c>
      <c r="W683" t="s">
        <v>13383</v>
      </c>
      <c r="X683" t="s">
        <v>13384</v>
      </c>
      <c r="Y683" t="s">
        <v>13385</v>
      </c>
      <c r="Z683" t="s">
        <v>13386</v>
      </c>
      <c r="AA683" t="s">
        <v>13387</v>
      </c>
      <c r="AB683" t="s">
        <v>13388</v>
      </c>
      <c r="AC683" t="s">
        <v>13389</v>
      </c>
      <c r="AD683" t="s">
        <v>13390</v>
      </c>
      <c r="AE683" t="s">
        <v>13391</v>
      </c>
      <c r="AF683" t="s">
        <v>74</v>
      </c>
      <c r="AG683">
        <v>72</v>
      </c>
      <c r="AH683">
        <v>9</v>
      </c>
      <c r="AI683">
        <v>11</v>
      </c>
      <c r="AJ683">
        <v>1</v>
      </c>
      <c r="AK683">
        <v>33</v>
      </c>
      <c r="AL683" t="s">
        <v>1973</v>
      </c>
      <c r="AM683" t="s">
        <v>1797</v>
      </c>
      <c r="AN683" t="s">
        <v>4066</v>
      </c>
      <c r="AO683" t="s">
        <v>13392</v>
      </c>
      <c r="AP683" t="s">
        <v>13393</v>
      </c>
      <c r="AQ683" t="s">
        <v>74</v>
      </c>
      <c r="AR683" t="s">
        <v>13394</v>
      </c>
      <c r="AS683" t="s">
        <v>13395</v>
      </c>
      <c r="AT683" t="s">
        <v>12461</v>
      </c>
      <c r="AU683">
        <v>2017</v>
      </c>
      <c r="AV683">
        <v>36</v>
      </c>
      <c r="AW683">
        <v>12</v>
      </c>
      <c r="AX683" t="s">
        <v>74</v>
      </c>
      <c r="AY683" t="s">
        <v>74</v>
      </c>
      <c r="AZ683" t="s">
        <v>74</v>
      </c>
      <c r="BA683" t="s">
        <v>74</v>
      </c>
      <c r="BB683">
        <v>67</v>
      </c>
      <c r="BC683">
        <v>78</v>
      </c>
      <c r="BD683" t="s">
        <v>74</v>
      </c>
      <c r="BE683" t="s">
        <v>13396</v>
      </c>
      <c r="BF683" t="str">
        <f>HYPERLINK("http://dx.doi.org/10.1007/s13131-017-1049-4","http://dx.doi.org/10.1007/s13131-017-1049-4")</f>
        <v>http://dx.doi.org/10.1007/s13131-017-1049-4</v>
      </c>
      <c r="BG683" t="s">
        <v>74</v>
      </c>
      <c r="BH683" t="s">
        <v>74</v>
      </c>
      <c r="BI683">
        <v>12</v>
      </c>
      <c r="BJ683" t="s">
        <v>1907</v>
      </c>
      <c r="BK683" t="s">
        <v>101</v>
      </c>
      <c r="BL683" t="s">
        <v>1907</v>
      </c>
      <c r="BM683" t="s">
        <v>13397</v>
      </c>
      <c r="BN683" t="s">
        <v>74</v>
      </c>
      <c r="BO683" t="s">
        <v>74</v>
      </c>
      <c r="BP683" t="s">
        <v>74</v>
      </c>
      <c r="BQ683" t="s">
        <v>74</v>
      </c>
      <c r="BR683" t="s">
        <v>105</v>
      </c>
      <c r="BS683" t="s">
        <v>13398</v>
      </c>
      <c r="BT683" t="str">
        <f>HYPERLINK("https%3A%2F%2Fwww.webofscience.com%2Fwos%2Fwoscc%2Ffull-record%2FWOS:000417883300009","View Full Record in Web of Science")</f>
        <v>View Full Record in Web of Science</v>
      </c>
    </row>
    <row r="684" spans="1:72" x14ac:dyDescent="0.15">
      <c r="A684" t="s">
        <v>72</v>
      </c>
      <c r="B684" t="s">
        <v>13399</v>
      </c>
      <c r="C684" t="s">
        <v>74</v>
      </c>
      <c r="D684" t="s">
        <v>74</v>
      </c>
      <c r="E684" t="s">
        <v>74</v>
      </c>
      <c r="F684" t="s">
        <v>13400</v>
      </c>
      <c r="G684" t="s">
        <v>74</v>
      </c>
      <c r="H684" t="s">
        <v>74</v>
      </c>
      <c r="I684" t="s">
        <v>13401</v>
      </c>
      <c r="J684" t="s">
        <v>13402</v>
      </c>
      <c r="K684" t="s">
        <v>74</v>
      </c>
      <c r="L684" t="s">
        <v>74</v>
      </c>
      <c r="M684" t="s">
        <v>78</v>
      </c>
      <c r="N684" t="s">
        <v>79</v>
      </c>
      <c r="O684" t="s">
        <v>74</v>
      </c>
      <c r="P684" t="s">
        <v>74</v>
      </c>
      <c r="Q684" t="s">
        <v>74</v>
      </c>
      <c r="R684" t="s">
        <v>74</v>
      </c>
      <c r="S684" t="s">
        <v>74</v>
      </c>
      <c r="T684" t="s">
        <v>13403</v>
      </c>
      <c r="U684" t="s">
        <v>13404</v>
      </c>
      <c r="V684" t="s">
        <v>13405</v>
      </c>
      <c r="W684" t="s">
        <v>13406</v>
      </c>
      <c r="X684" t="s">
        <v>13407</v>
      </c>
      <c r="Y684" t="s">
        <v>13408</v>
      </c>
      <c r="Z684" t="s">
        <v>13409</v>
      </c>
      <c r="AA684" t="s">
        <v>74</v>
      </c>
      <c r="AB684" t="s">
        <v>13410</v>
      </c>
      <c r="AC684" t="s">
        <v>13411</v>
      </c>
      <c r="AD684" t="s">
        <v>13412</v>
      </c>
      <c r="AE684" t="s">
        <v>13413</v>
      </c>
      <c r="AF684" t="s">
        <v>74</v>
      </c>
      <c r="AG684">
        <v>59</v>
      </c>
      <c r="AH684">
        <v>25</v>
      </c>
      <c r="AI684">
        <v>27</v>
      </c>
      <c r="AJ684">
        <v>0</v>
      </c>
      <c r="AK684">
        <v>12</v>
      </c>
      <c r="AL684" t="s">
        <v>807</v>
      </c>
      <c r="AM684" t="s">
        <v>808</v>
      </c>
      <c r="AN684" t="s">
        <v>809</v>
      </c>
      <c r="AO684" t="s">
        <v>13414</v>
      </c>
      <c r="AP684" t="s">
        <v>13415</v>
      </c>
      <c r="AQ684" t="s">
        <v>74</v>
      </c>
      <c r="AR684" t="s">
        <v>13416</v>
      </c>
      <c r="AS684" t="s">
        <v>13417</v>
      </c>
      <c r="AT684" t="s">
        <v>12461</v>
      </c>
      <c r="AU684">
        <v>2017</v>
      </c>
      <c r="AV684">
        <v>137</v>
      </c>
      <c r="AW684" t="s">
        <v>74</v>
      </c>
      <c r="AX684" t="s">
        <v>74</v>
      </c>
      <c r="AY684" t="s">
        <v>74</v>
      </c>
      <c r="AZ684" t="s">
        <v>74</v>
      </c>
      <c r="BA684" t="s">
        <v>74</v>
      </c>
      <c r="BB684">
        <v>16</v>
      </c>
      <c r="BC684">
        <v>30</v>
      </c>
      <c r="BD684" t="s">
        <v>74</v>
      </c>
      <c r="BE684" t="s">
        <v>13418</v>
      </c>
      <c r="BF684" t="str">
        <f>HYPERLINK("http://dx.doi.org/10.1016/j.marmicro.2017.08.002","http://dx.doi.org/10.1016/j.marmicro.2017.08.002")</f>
        <v>http://dx.doi.org/10.1016/j.marmicro.2017.08.002</v>
      </c>
      <c r="BG684" t="s">
        <v>74</v>
      </c>
      <c r="BH684" t="s">
        <v>74</v>
      </c>
      <c r="BI684">
        <v>15</v>
      </c>
      <c r="BJ684" t="s">
        <v>1496</v>
      </c>
      <c r="BK684" t="s">
        <v>101</v>
      </c>
      <c r="BL684" t="s">
        <v>1496</v>
      </c>
      <c r="BM684" t="s">
        <v>13419</v>
      </c>
      <c r="BN684" t="s">
        <v>74</v>
      </c>
      <c r="BO684" t="s">
        <v>74</v>
      </c>
      <c r="BP684" t="s">
        <v>74</v>
      </c>
      <c r="BQ684" t="s">
        <v>74</v>
      </c>
      <c r="BR684" t="s">
        <v>105</v>
      </c>
      <c r="BS684" t="s">
        <v>13420</v>
      </c>
      <c r="BT684" t="str">
        <f>HYPERLINK("https%3A%2F%2Fwww.webofscience.com%2Fwos%2Fwoscc%2Ffull-record%2FWOS:000417670800002","View Full Record in Web of Science")</f>
        <v>View Full Record in Web of Science</v>
      </c>
    </row>
    <row r="685" spans="1:72" x14ac:dyDescent="0.15">
      <c r="A685" t="s">
        <v>72</v>
      </c>
      <c r="B685" t="s">
        <v>13421</v>
      </c>
      <c r="C685" t="s">
        <v>74</v>
      </c>
      <c r="D685" t="s">
        <v>74</v>
      </c>
      <c r="E685" t="s">
        <v>74</v>
      </c>
      <c r="F685" t="s">
        <v>13422</v>
      </c>
      <c r="G685" t="s">
        <v>74</v>
      </c>
      <c r="H685" t="s">
        <v>74</v>
      </c>
      <c r="I685" t="s">
        <v>13423</v>
      </c>
      <c r="J685" t="s">
        <v>10869</v>
      </c>
      <c r="K685" t="s">
        <v>74</v>
      </c>
      <c r="L685" t="s">
        <v>74</v>
      </c>
      <c r="M685" t="s">
        <v>78</v>
      </c>
      <c r="N685" t="s">
        <v>289</v>
      </c>
      <c r="O685" t="s">
        <v>74</v>
      </c>
      <c r="P685" t="s">
        <v>74</v>
      </c>
      <c r="Q685" t="s">
        <v>74</v>
      </c>
      <c r="R685" t="s">
        <v>74</v>
      </c>
      <c r="S685" t="s">
        <v>74</v>
      </c>
      <c r="T685" t="s">
        <v>13424</v>
      </c>
      <c r="U685" t="s">
        <v>13425</v>
      </c>
      <c r="V685" t="s">
        <v>13426</v>
      </c>
      <c r="W685" t="s">
        <v>13427</v>
      </c>
      <c r="X685" t="s">
        <v>13428</v>
      </c>
      <c r="Y685" t="s">
        <v>13429</v>
      </c>
      <c r="Z685" t="s">
        <v>13430</v>
      </c>
      <c r="AA685" t="s">
        <v>13431</v>
      </c>
      <c r="AB685" t="s">
        <v>13432</v>
      </c>
      <c r="AC685" t="s">
        <v>13433</v>
      </c>
      <c r="AD685" t="s">
        <v>13434</v>
      </c>
      <c r="AE685" t="s">
        <v>13435</v>
      </c>
      <c r="AF685" t="s">
        <v>74</v>
      </c>
      <c r="AG685">
        <v>187</v>
      </c>
      <c r="AH685">
        <v>75</v>
      </c>
      <c r="AI685">
        <v>79</v>
      </c>
      <c r="AJ685">
        <v>2</v>
      </c>
      <c r="AK685">
        <v>35</v>
      </c>
      <c r="AL685" t="s">
        <v>8752</v>
      </c>
      <c r="AM685" t="s">
        <v>1140</v>
      </c>
      <c r="AN685" t="s">
        <v>8753</v>
      </c>
      <c r="AO685" t="s">
        <v>10882</v>
      </c>
      <c r="AP685" t="s">
        <v>10883</v>
      </c>
      <c r="AQ685" t="s">
        <v>74</v>
      </c>
      <c r="AR685" t="s">
        <v>10884</v>
      </c>
      <c r="AS685" t="s">
        <v>10885</v>
      </c>
      <c r="AT685" t="s">
        <v>12461</v>
      </c>
      <c r="AU685">
        <v>2017</v>
      </c>
      <c r="AV685">
        <v>120</v>
      </c>
      <c r="AW685" t="s">
        <v>74</v>
      </c>
      <c r="AX685" t="s">
        <v>74</v>
      </c>
      <c r="AY685" t="s">
        <v>74</v>
      </c>
      <c r="AZ685" t="s">
        <v>74</v>
      </c>
      <c r="BA685" t="s">
        <v>74</v>
      </c>
      <c r="BB685">
        <v>120</v>
      </c>
      <c r="BC685">
        <v>136</v>
      </c>
      <c r="BD685" t="s">
        <v>74</v>
      </c>
      <c r="BE685" t="s">
        <v>13436</v>
      </c>
      <c r="BF685" t="str">
        <f>HYPERLINK("http://dx.doi.org/10.1016/j.ocemod.2017.11.002","http://dx.doi.org/10.1016/j.ocemod.2017.11.002")</f>
        <v>http://dx.doi.org/10.1016/j.ocemod.2017.11.002</v>
      </c>
      <c r="BG685" t="s">
        <v>74</v>
      </c>
      <c r="BH685" t="s">
        <v>74</v>
      </c>
      <c r="BI685">
        <v>17</v>
      </c>
      <c r="BJ685" t="s">
        <v>4750</v>
      </c>
      <c r="BK685" t="s">
        <v>101</v>
      </c>
      <c r="BL685" t="s">
        <v>4750</v>
      </c>
      <c r="BM685" t="s">
        <v>13437</v>
      </c>
      <c r="BN685" t="s">
        <v>74</v>
      </c>
      <c r="BO685" t="s">
        <v>7891</v>
      </c>
      <c r="BP685" t="s">
        <v>74</v>
      </c>
      <c r="BQ685" t="s">
        <v>74</v>
      </c>
      <c r="BR685" t="s">
        <v>105</v>
      </c>
      <c r="BS685" t="s">
        <v>13438</v>
      </c>
      <c r="BT685" t="str">
        <f>HYPERLINK("https%3A%2F%2Fwww.webofscience.com%2Fwos%2Fwoscc%2Ffull-record%2FWOS:000417445200009","View Full Record in Web of Science")</f>
        <v>View Full Record in Web of Science</v>
      </c>
    </row>
    <row r="686" spans="1:72" x14ac:dyDescent="0.15">
      <c r="A686" t="s">
        <v>72</v>
      </c>
      <c r="B686" t="s">
        <v>13439</v>
      </c>
      <c r="C686" t="s">
        <v>74</v>
      </c>
      <c r="D686" t="s">
        <v>74</v>
      </c>
      <c r="E686" t="s">
        <v>74</v>
      </c>
      <c r="F686" t="s">
        <v>13440</v>
      </c>
      <c r="G686" t="s">
        <v>74</v>
      </c>
      <c r="H686" t="s">
        <v>74</v>
      </c>
      <c r="I686" t="s">
        <v>13441</v>
      </c>
      <c r="J686" t="s">
        <v>13442</v>
      </c>
      <c r="K686" t="s">
        <v>74</v>
      </c>
      <c r="L686" t="s">
        <v>74</v>
      </c>
      <c r="M686" t="s">
        <v>78</v>
      </c>
      <c r="N686" t="s">
        <v>79</v>
      </c>
      <c r="O686" t="s">
        <v>74</v>
      </c>
      <c r="P686" t="s">
        <v>74</v>
      </c>
      <c r="Q686" t="s">
        <v>74</v>
      </c>
      <c r="R686" t="s">
        <v>74</v>
      </c>
      <c r="S686" t="s">
        <v>74</v>
      </c>
      <c r="T686" t="s">
        <v>13443</v>
      </c>
      <c r="U686" t="s">
        <v>13444</v>
      </c>
      <c r="V686" t="s">
        <v>13445</v>
      </c>
      <c r="W686" t="s">
        <v>13446</v>
      </c>
      <c r="X686" t="s">
        <v>13447</v>
      </c>
      <c r="Y686" t="s">
        <v>13448</v>
      </c>
      <c r="Z686" t="s">
        <v>13449</v>
      </c>
      <c r="AA686" t="s">
        <v>13450</v>
      </c>
      <c r="AB686" t="s">
        <v>13451</v>
      </c>
      <c r="AC686" t="s">
        <v>13452</v>
      </c>
      <c r="AD686" t="s">
        <v>13453</v>
      </c>
      <c r="AE686" t="s">
        <v>13454</v>
      </c>
      <c r="AF686" t="s">
        <v>74</v>
      </c>
      <c r="AG686">
        <v>93</v>
      </c>
      <c r="AH686">
        <v>23</v>
      </c>
      <c r="AI686">
        <v>31</v>
      </c>
      <c r="AJ686">
        <v>0</v>
      </c>
      <c r="AK686">
        <v>17</v>
      </c>
      <c r="AL686" t="s">
        <v>13455</v>
      </c>
      <c r="AM686" t="s">
        <v>13456</v>
      </c>
      <c r="AN686" t="s">
        <v>13457</v>
      </c>
      <c r="AO686" t="s">
        <v>13458</v>
      </c>
      <c r="AP686" t="s">
        <v>13459</v>
      </c>
      <c r="AQ686" t="s">
        <v>74</v>
      </c>
      <c r="AR686" t="s">
        <v>13442</v>
      </c>
      <c r="AS686" t="s">
        <v>13460</v>
      </c>
      <c r="AT686" t="s">
        <v>13461</v>
      </c>
      <c r="AU686">
        <v>2017</v>
      </c>
      <c r="AV686">
        <v>120</v>
      </c>
      <c r="AW686">
        <v>4</v>
      </c>
      <c r="AX686" t="s">
        <v>74</v>
      </c>
      <c r="AY686" t="s">
        <v>74</v>
      </c>
      <c r="AZ686" t="s">
        <v>74</v>
      </c>
      <c r="BA686" t="s">
        <v>74</v>
      </c>
      <c r="BB686">
        <v>441</v>
      </c>
      <c r="BC686">
        <v>500</v>
      </c>
      <c r="BD686" t="s">
        <v>74</v>
      </c>
      <c r="BE686" t="s">
        <v>13462</v>
      </c>
      <c r="BF686" t="str">
        <f>HYPERLINK("http://dx.doi.org/10.1639/0007-2745-120.4.14","http://dx.doi.org/10.1639/0007-2745-120.4.14")</f>
        <v>http://dx.doi.org/10.1639/0007-2745-120.4.14</v>
      </c>
      <c r="BG686" t="s">
        <v>74</v>
      </c>
      <c r="BH686" t="s">
        <v>74</v>
      </c>
      <c r="BI686">
        <v>60</v>
      </c>
      <c r="BJ686" t="s">
        <v>492</v>
      </c>
      <c r="BK686" t="s">
        <v>101</v>
      </c>
      <c r="BL686" t="s">
        <v>492</v>
      </c>
      <c r="BM686" t="s">
        <v>13463</v>
      </c>
      <c r="BN686" t="s">
        <v>74</v>
      </c>
      <c r="BO686" t="s">
        <v>74</v>
      </c>
      <c r="BP686" t="s">
        <v>74</v>
      </c>
      <c r="BQ686" t="s">
        <v>74</v>
      </c>
      <c r="BR686" t="s">
        <v>105</v>
      </c>
      <c r="BS686" t="s">
        <v>13464</v>
      </c>
      <c r="BT686" t="str">
        <f>HYPERLINK("https%3A%2F%2Fwww.webofscience.com%2Fwos%2Fwoscc%2Ffull-record%2FWOS:000417498200007","View Full Record in Web of Science")</f>
        <v>View Full Record in Web of Science</v>
      </c>
    </row>
    <row r="687" spans="1:72" x14ac:dyDescent="0.15">
      <c r="A687" t="s">
        <v>72</v>
      </c>
      <c r="B687" t="s">
        <v>13465</v>
      </c>
      <c r="C687" t="s">
        <v>74</v>
      </c>
      <c r="D687" t="s">
        <v>74</v>
      </c>
      <c r="E687" t="s">
        <v>74</v>
      </c>
      <c r="F687" t="s">
        <v>13466</v>
      </c>
      <c r="G687" t="s">
        <v>74</v>
      </c>
      <c r="H687" t="s">
        <v>74</v>
      </c>
      <c r="I687" t="s">
        <v>13467</v>
      </c>
      <c r="J687" t="s">
        <v>13468</v>
      </c>
      <c r="K687" t="s">
        <v>74</v>
      </c>
      <c r="L687" t="s">
        <v>74</v>
      </c>
      <c r="M687" t="s">
        <v>78</v>
      </c>
      <c r="N687" t="s">
        <v>79</v>
      </c>
      <c r="O687" t="s">
        <v>74</v>
      </c>
      <c r="P687" t="s">
        <v>74</v>
      </c>
      <c r="Q687" t="s">
        <v>74</v>
      </c>
      <c r="R687" t="s">
        <v>74</v>
      </c>
      <c r="S687" t="s">
        <v>74</v>
      </c>
      <c r="T687" t="s">
        <v>13469</v>
      </c>
      <c r="U687" t="s">
        <v>13470</v>
      </c>
      <c r="V687" t="s">
        <v>13471</v>
      </c>
      <c r="W687" t="s">
        <v>13472</v>
      </c>
      <c r="X687" t="s">
        <v>13473</v>
      </c>
      <c r="Y687" t="s">
        <v>13474</v>
      </c>
      <c r="Z687" t="s">
        <v>13475</v>
      </c>
      <c r="AA687" t="s">
        <v>13476</v>
      </c>
      <c r="AB687" t="s">
        <v>13477</v>
      </c>
      <c r="AC687" t="s">
        <v>13478</v>
      </c>
      <c r="AD687" t="s">
        <v>13479</v>
      </c>
      <c r="AE687" t="s">
        <v>13480</v>
      </c>
      <c r="AF687" t="s">
        <v>74</v>
      </c>
      <c r="AG687">
        <v>44</v>
      </c>
      <c r="AH687">
        <v>20</v>
      </c>
      <c r="AI687">
        <v>21</v>
      </c>
      <c r="AJ687">
        <v>2</v>
      </c>
      <c r="AK687">
        <v>28</v>
      </c>
      <c r="AL687" t="s">
        <v>13481</v>
      </c>
      <c r="AM687" t="s">
        <v>13482</v>
      </c>
      <c r="AN687" t="s">
        <v>13483</v>
      </c>
      <c r="AO687" t="s">
        <v>13484</v>
      </c>
      <c r="AP687" t="s">
        <v>13485</v>
      </c>
      <c r="AQ687" t="s">
        <v>74</v>
      </c>
      <c r="AR687" t="s">
        <v>13468</v>
      </c>
      <c r="AS687" t="s">
        <v>13486</v>
      </c>
      <c r="AT687" t="s">
        <v>12461</v>
      </c>
      <c r="AU687">
        <v>2017</v>
      </c>
      <c r="AV687">
        <v>17</v>
      </c>
      <c r="AW687">
        <v>12</v>
      </c>
      <c r="AX687" t="s">
        <v>74</v>
      </c>
      <c r="AY687" t="s">
        <v>74</v>
      </c>
      <c r="AZ687" t="s">
        <v>74</v>
      </c>
      <c r="BA687" t="s">
        <v>74</v>
      </c>
      <c r="BB687">
        <v>1183</v>
      </c>
      <c r="BC687">
        <v>1191</v>
      </c>
      <c r="BD687" t="s">
        <v>74</v>
      </c>
      <c r="BE687" t="s">
        <v>13487</v>
      </c>
      <c r="BF687" t="str">
        <f>HYPERLINK("http://dx.doi.org/10.1089/ast.2016.1620","http://dx.doi.org/10.1089/ast.2016.1620")</f>
        <v>http://dx.doi.org/10.1089/ast.2016.1620</v>
      </c>
      <c r="BG687" t="s">
        <v>74</v>
      </c>
      <c r="BH687" t="s">
        <v>74</v>
      </c>
      <c r="BI687">
        <v>9</v>
      </c>
      <c r="BJ687" t="s">
        <v>13488</v>
      </c>
      <c r="BK687" t="s">
        <v>101</v>
      </c>
      <c r="BL687" t="s">
        <v>13489</v>
      </c>
      <c r="BM687" t="s">
        <v>13490</v>
      </c>
      <c r="BN687">
        <v>29116818</v>
      </c>
      <c r="BO687" t="s">
        <v>74</v>
      </c>
      <c r="BP687" t="s">
        <v>74</v>
      </c>
      <c r="BQ687" t="s">
        <v>74</v>
      </c>
      <c r="BR687" t="s">
        <v>105</v>
      </c>
      <c r="BS687" t="s">
        <v>13491</v>
      </c>
      <c r="BT687" t="str">
        <f>HYPERLINK("https%3A%2F%2Fwww.webofscience.com%2Fwos%2Fwoscc%2Ffull-record%2FWOS:000417640200001","View Full Record in Web of Science")</f>
        <v>View Full Record in Web of Science</v>
      </c>
    </row>
    <row r="688" spans="1:72" x14ac:dyDescent="0.15">
      <c r="A688" t="s">
        <v>72</v>
      </c>
      <c r="B688" t="s">
        <v>13492</v>
      </c>
      <c r="C688" t="s">
        <v>74</v>
      </c>
      <c r="D688" t="s">
        <v>74</v>
      </c>
      <c r="E688" t="s">
        <v>74</v>
      </c>
      <c r="F688" t="s">
        <v>13493</v>
      </c>
      <c r="G688" t="s">
        <v>74</v>
      </c>
      <c r="H688" t="s">
        <v>74</v>
      </c>
      <c r="I688" t="s">
        <v>13494</v>
      </c>
      <c r="J688" t="s">
        <v>13495</v>
      </c>
      <c r="K688" t="s">
        <v>74</v>
      </c>
      <c r="L688" t="s">
        <v>74</v>
      </c>
      <c r="M688" t="s">
        <v>78</v>
      </c>
      <c r="N688" t="s">
        <v>79</v>
      </c>
      <c r="O688" t="s">
        <v>74</v>
      </c>
      <c r="P688" t="s">
        <v>74</v>
      </c>
      <c r="Q688" t="s">
        <v>74</v>
      </c>
      <c r="R688" t="s">
        <v>74</v>
      </c>
      <c r="S688" t="s">
        <v>74</v>
      </c>
      <c r="T688" t="s">
        <v>74</v>
      </c>
      <c r="U688" t="s">
        <v>13496</v>
      </c>
      <c r="V688" t="s">
        <v>13497</v>
      </c>
      <c r="W688" t="s">
        <v>13498</v>
      </c>
      <c r="X688" t="s">
        <v>13499</v>
      </c>
      <c r="Y688" t="s">
        <v>13500</v>
      </c>
      <c r="Z688" t="s">
        <v>13501</v>
      </c>
      <c r="AA688" t="s">
        <v>13502</v>
      </c>
      <c r="AB688" t="s">
        <v>13503</v>
      </c>
      <c r="AC688" t="s">
        <v>13504</v>
      </c>
      <c r="AD688" t="s">
        <v>13505</v>
      </c>
      <c r="AE688" t="s">
        <v>13506</v>
      </c>
      <c r="AF688" t="s">
        <v>74</v>
      </c>
      <c r="AG688">
        <v>79</v>
      </c>
      <c r="AH688">
        <v>10</v>
      </c>
      <c r="AI688">
        <v>10</v>
      </c>
      <c r="AJ688">
        <v>0</v>
      </c>
      <c r="AK688">
        <v>16</v>
      </c>
      <c r="AL688" t="s">
        <v>4270</v>
      </c>
      <c r="AM688" t="s">
        <v>4271</v>
      </c>
      <c r="AN688" t="s">
        <v>4272</v>
      </c>
      <c r="AO688" t="s">
        <v>13507</v>
      </c>
      <c r="AP688" t="s">
        <v>13508</v>
      </c>
      <c r="AQ688" t="s">
        <v>74</v>
      </c>
      <c r="AR688" t="s">
        <v>13509</v>
      </c>
      <c r="AS688" t="s">
        <v>13510</v>
      </c>
      <c r="AT688" t="s">
        <v>12461</v>
      </c>
      <c r="AU688">
        <v>2017</v>
      </c>
      <c r="AV688">
        <v>52</v>
      </c>
      <c r="AW688">
        <v>12</v>
      </c>
      <c r="AX688" t="s">
        <v>74</v>
      </c>
      <c r="AY688" t="s">
        <v>74</v>
      </c>
      <c r="AZ688" t="s">
        <v>74</v>
      </c>
      <c r="BA688" t="s">
        <v>74</v>
      </c>
      <c r="BB688">
        <v>2632</v>
      </c>
      <c r="BC688">
        <v>2646</v>
      </c>
      <c r="BD688" t="s">
        <v>74</v>
      </c>
      <c r="BE688" t="s">
        <v>13511</v>
      </c>
      <c r="BF688" t="str">
        <f>HYPERLINK("http://dx.doi.org/10.1111/maps.12959","http://dx.doi.org/10.1111/maps.12959")</f>
        <v>http://dx.doi.org/10.1111/maps.12959</v>
      </c>
      <c r="BG688" t="s">
        <v>74</v>
      </c>
      <c r="BH688" t="s">
        <v>74</v>
      </c>
      <c r="BI688">
        <v>15</v>
      </c>
      <c r="BJ688" t="s">
        <v>1148</v>
      </c>
      <c r="BK688" t="s">
        <v>101</v>
      </c>
      <c r="BL688" t="s">
        <v>1148</v>
      </c>
      <c r="BM688" t="s">
        <v>13512</v>
      </c>
      <c r="BN688">
        <v>32440083</v>
      </c>
      <c r="BO688" t="s">
        <v>389</v>
      </c>
      <c r="BP688" t="s">
        <v>74</v>
      </c>
      <c r="BQ688" t="s">
        <v>74</v>
      </c>
      <c r="BR688" t="s">
        <v>105</v>
      </c>
      <c r="BS688" t="s">
        <v>13513</v>
      </c>
      <c r="BT688" t="str">
        <f>HYPERLINK("https%3A%2F%2Fwww.webofscience.com%2Fwos%2Fwoscc%2Ffull-record%2FWOS:000416937300009","View Full Record in Web of Science")</f>
        <v>View Full Record in Web of Science</v>
      </c>
    </row>
    <row r="689" spans="1:72" x14ac:dyDescent="0.15">
      <c r="A689" t="s">
        <v>72</v>
      </c>
      <c r="B689" t="s">
        <v>13514</v>
      </c>
      <c r="C689" t="s">
        <v>74</v>
      </c>
      <c r="D689" t="s">
        <v>74</v>
      </c>
      <c r="E689" t="s">
        <v>74</v>
      </c>
      <c r="F689" t="s">
        <v>13515</v>
      </c>
      <c r="G689" t="s">
        <v>74</v>
      </c>
      <c r="H689" t="s">
        <v>74</v>
      </c>
      <c r="I689" t="s">
        <v>13516</v>
      </c>
      <c r="J689" t="s">
        <v>13495</v>
      </c>
      <c r="K689" t="s">
        <v>74</v>
      </c>
      <c r="L689" t="s">
        <v>74</v>
      </c>
      <c r="M689" t="s">
        <v>78</v>
      </c>
      <c r="N689" t="s">
        <v>79</v>
      </c>
      <c r="O689" t="s">
        <v>74</v>
      </c>
      <c r="P689" t="s">
        <v>74</v>
      </c>
      <c r="Q689" t="s">
        <v>74</v>
      </c>
      <c r="R689" t="s">
        <v>74</v>
      </c>
      <c r="S689" t="s">
        <v>74</v>
      </c>
      <c r="T689" t="s">
        <v>74</v>
      </c>
      <c r="U689" t="s">
        <v>13517</v>
      </c>
      <c r="V689" t="s">
        <v>13518</v>
      </c>
      <c r="W689" t="s">
        <v>13519</v>
      </c>
      <c r="X689" t="s">
        <v>13520</v>
      </c>
      <c r="Y689" t="s">
        <v>13521</v>
      </c>
      <c r="Z689" t="s">
        <v>13522</v>
      </c>
      <c r="AA689" t="s">
        <v>74</v>
      </c>
      <c r="AB689" t="s">
        <v>74</v>
      </c>
      <c r="AC689" t="s">
        <v>13523</v>
      </c>
      <c r="AD689" t="s">
        <v>13524</v>
      </c>
      <c r="AE689" t="s">
        <v>13525</v>
      </c>
      <c r="AF689" t="s">
        <v>74</v>
      </c>
      <c r="AG689">
        <v>125</v>
      </c>
      <c r="AH689">
        <v>30</v>
      </c>
      <c r="AI689">
        <v>31</v>
      </c>
      <c r="AJ689">
        <v>1</v>
      </c>
      <c r="AK689">
        <v>4</v>
      </c>
      <c r="AL689" t="s">
        <v>4270</v>
      </c>
      <c r="AM689" t="s">
        <v>4271</v>
      </c>
      <c r="AN689" t="s">
        <v>4272</v>
      </c>
      <c r="AO689" t="s">
        <v>13507</v>
      </c>
      <c r="AP689" t="s">
        <v>13508</v>
      </c>
      <c r="AQ689" t="s">
        <v>74</v>
      </c>
      <c r="AR689" t="s">
        <v>13509</v>
      </c>
      <c r="AS689" t="s">
        <v>13510</v>
      </c>
      <c r="AT689" t="s">
        <v>12461</v>
      </c>
      <c r="AU689">
        <v>2017</v>
      </c>
      <c r="AV689">
        <v>52</v>
      </c>
      <c r="AW689">
        <v>12</v>
      </c>
      <c r="AX689" t="s">
        <v>74</v>
      </c>
      <c r="AY689" t="s">
        <v>74</v>
      </c>
      <c r="AZ689" t="s">
        <v>74</v>
      </c>
      <c r="BA689" t="s">
        <v>74</v>
      </c>
      <c r="BB689">
        <v>2672</v>
      </c>
      <c r="BC689">
        <v>2694</v>
      </c>
      <c r="BD689" t="s">
        <v>74</v>
      </c>
      <c r="BE689" t="s">
        <v>13526</v>
      </c>
      <c r="BF689" t="str">
        <f>HYPERLINK("http://dx.doi.org/10.1111/maps.12985","http://dx.doi.org/10.1111/maps.12985")</f>
        <v>http://dx.doi.org/10.1111/maps.12985</v>
      </c>
      <c r="BG689" t="s">
        <v>74</v>
      </c>
      <c r="BH689" t="s">
        <v>74</v>
      </c>
      <c r="BI689">
        <v>23</v>
      </c>
      <c r="BJ689" t="s">
        <v>1148</v>
      </c>
      <c r="BK689" t="s">
        <v>101</v>
      </c>
      <c r="BL689" t="s">
        <v>1148</v>
      </c>
      <c r="BM689" t="s">
        <v>13512</v>
      </c>
      <c r="BN689" t="s">
        <v>74</v>
      </c>
      <c r="BO689" t="s">
        <v>5547</v>
      </c>
      <c r="BP689" t="s">
        <v>74</v>
      </c>
      <c r="BQ689" t="s">
        <v>74</v>
      </c>
      <c r="BR689" t="s">
        <v>105</v>
      </c>
      <c r="BS689" t="s">
        <v>13527</v>
      </c>
      <c r="BT689" t="str">
        <f>HYPERLINK("https%3A%2F%2Fwww.webofscience.com%2Fwos%2Fwoscc%2Ffull-record%2FWOS:000416937300011","View Full Record in Web of Science")</f>
        <v>View Full Record in Web of Science</v>
      </c>
    </row>
    <row r="690" spans="1:72" x14ac:dyDescent="0.15">
      <c r="A690" t="s">
        <v>72</v>
      </c>
      <c r="B690" t="s">
        <v>13528</v>
      </c>
      <c r="C690" t="s">
        <v>74</v>
      </c>
      <c r="D690" t="s">
        <v>74</v>
      </c>
      <c r="E690" t="s">
        <v>74</v>
      </c>
      <c r="F690" t="s">
        <v>13529</v>
      </c>
      <c r="G690" t="s">
        <v>74</v>
      </c>
      <c r="H690" t="s">
        <v>74</v>
      </c>
      <c r="I690" t="s">
        <v>13530</v>
      </c>
      <c r="J690" t="s">
        <v>13531</v>
      </c>
      <c r="K690" t="s">
        <v>74</v>
      </c>
      <c r="L690" t="s">
        <v>74</v>
      </c>
      <c r="M690" t="s">
        <v>78</v>
      </c>
      <c r="N690" t="s">
        <v>79</v>
      </c>
      <c r="O690" t="s">
        <v>74</v>
      </c>
      <c r="P690" t="s">
        <v>74</v>
      </c>
      <c r="Q690" t="s">
        <v>74</v>
      </c>
      <c r="R690" t="s">
        <v>74</v>
      </c>
      <c r="S690" t="s">
        <v>74</v>
      </c>
      <c r="T690" t="s">
        <v>13532</v>
      </c>
      <c r="U690" t="s">
        <v>13533</v>
      </c>
      <c r="V690" t="s">
        <v>13534</v>
      </c>
      <c r="W690" t="s">
        <v>13535</v>
      </c>
      <c r="X690" t="s">
        <v>13536</v>
      </c>
      <c r="Y690" t="s">
        <v>13537</v>
      </c>
      <c r="Z690" t="s">
        <v>13538</v>
      </c>
      <c r="AA690" t="s">
        <v>13539</v>
      </c>
      <c r="AB690" t="s">
        <v>13540</v>
      </c>
      <c r="AC690" t="s">
        <v>13541</v>
      </c>
      <c r="AD690" t="s">
        <v>13542</v>
      </c>
      <c r="AE690" t="s">
        <v>13543</v>
      </c>
      <c r="AF690" t="s">
        <v>74</v>
      </c>
      <c r="AG690">
        <v>37</v>
      </c>
      <c r="AH690">
        <v>4</v>
      </c>
      <c r="AI690">
        <v>4</v>
      </c>
      <c r="AJ690">
        <v>1</v>
      </c>
      <c r="AK690">
        <v>31</v>
      </c>
      <c r="AL690" t="s">
        <v>4270</v>
      </c>
      <c r="AM690" t="s">
        <v>4271</v>
      </c>
      <c r="AN690" t="s">
        <v>4272</v>
      </c>
      <c r="AO690" t="s">
        <v>13544</v>
      </c>
      <c r="AP690" t="s">
        <v>13545</v>
      </c>
      <c r="AQ690" t="s">
        <v>74</v>
      </c>
      <c r="AR690" t="s">
        <v>13546</v>
      </c>
      <c r="AS690" t="s">
        <v>13547</v>
      </c>
      <c r="AT690" t="s">
        <v>12461</v>
      </c>
      <c r="AU690">
        <v>2017</v>
      </c>
      <c r="AV690">
        <v>41</v>
      </c>
      <c r="AW690">
        <v>6</v>
      </c>
      <c r="AX690" t="s">
        <v>74</v>
      </c>
      <c r="AY690" t="s">
        <v>74</v>
      </c>
      <c r="AZ690" t="s">
        <v>74</v>
      </c>
      <c r="BA690" t="s">
        <v>74</v>
      </c>
      <c r="BB690" t="s">
        <v>74</v>
      </c>
      <c r="BC690" t="s">
        <v>74</v>
      </c>
      <c r="BD690" t="s">
        <v>13548</v>
      </c>
      <c r="BE690" t="s">
        <v>13549</v>
      </c>
      <c r="BF690" t="str">
        <f>HYPERLINK("http://dx.doi.org/10.1111/jfbc.12408","http://dx.doi.org/10.1111/jfbc.12408")</f>
        <v>http://dx.doi.org/10.1111/jfbc.12408</v>
      </c>
      <c r="BG690" t="s">
        <v>74</v>
      </c>
      <c r="BH690" t="s">
        <v>74</v>
      </c>
      <c r="BI690">
        <v>7</v>
      </c>
      <c r="BJ690" t="s">
        <v>13550</v>
      </c>
      <c r="BK690" t="s">
        <v>101</v>
      </c>
      <c r="BL690" t="s">
        <v>13550</v>
      </c>
      <c r="BM690" t="s">
        <v>13551</v>
      </c>
      <c r="BN690" t="s">
        <v>74</v>
      </c>
      <c r="BO690" t="s">
        <v>160</v>
      </c>
      <c r="BP690" t="s">
        <v>74</v>
      </c>
      <c r="BQ690" t="s">
        <v>74</v>
      </c>
      <c r="BR690" t="s">
        <v>105</v>
      </c>
      <c r="BS690" t="s">
        <v>13552</v>
      </c>
      <c r="BT690" t="str">
        <f>HYPERLINK("https%3A%2F%2Fwww.webofscience.com%2Fwos%2Fwoscc%2Ffull-record%2FWOS:000417120500007","View Full Record in Web of Science")</f>
        <v>View Full Record in Web of Science</v>
      </c>
    </row>
    <row r="691" spans="1:72" x14ac:dyDescent="0.15">
      <c r="A691" t="s">
        <v>72</v>
      </c>
      <c r="B691" t="s">
        <v>13553</v>
      </c>
      <c r="C691" t="s">
        <v>74</v>
      </c>
      <c r="D691" t="s">
        <v>74</v>
      </c>
      <c r="E691" t="s">
        <v>74</v>
      </c>
      <c r="F691" t="s">
        <v>13554</v>
      </c>
      <c r="G691" t="s">
        <v>74</v>
      </c>
      <c r="H691" t="s">
        <v>74</v>
      </c>
      <c r="I691" t="s">
        <v>13555</v>
      </c>
      <c r="J691" t="s">
        <v>13556</v>
      </c>
      <c r="K691" t="s">
        <v>74</v>
      </c>
      <c r="L691" t="s">
        <v>74</v>
      </c>
      <c r="M691" t="s">
        <v>78</v>
      </c>
      <c r="N691" t="s">
        <v>79</v>
      </c>
      <c r="O691" t="s">
        <v>74</v>
      </c>
      <c r="P691" t="s">
        <v>74</v>
      </c>
      <c r="Q691" t="s">
        <v>74</v>
      </c>
      <c r="R691" t="s">
        <v>74</v>
      </c>
      <c r="S691" t="s">
        <v>74</v>
      </c>
      <c r="T691" t="s">
        <v>13557</v>
      </c>
      <c r="U691" t="s">
        <v>13558</v>
      </c>
      <c r="V691" t="s">
        <v>13559</v>
      </c>
      <c r="W691" t="s">
        <v>13560</v>
      </c>
      <c r="X691" t="s">
        <v>13561</v>
      </c>
      <c r="Y691" t="s">
        <v>13562</v>
      </c>
      <c r="Z691" t="s">
        <v>13563</v>
      </c>
      <c r="AA691" t="s">
        <v>13564</v>
      </c>
      <c r="AB691" t="s">
        <v>13565</v>
      </c>
      <c r="AC691" t="s">
        <v>13566</v>
      </c>
      <c r="AD691" t="s">
        <v>13567</v>
      </c>
      <c r="AE691" t="s">
        <v>13568</v>
      </c>
      <c r="AF691" t="s">
        <v>74</v>
      </c>
      <c r="AG691">
        <v>64</v>
      </c>
      <c r="AH691">
        <v>65</v>
      </c>
      <c r="AI691">
        <v>68</v>
      </c>
      <c r="AJ691">
        <v>0</v>
      </c>
      <c r="AK691">
        <v>83</v>
      </c>
      <c r="AL691" t="s">
        <v>4270</v>
      </c>
      <c r="AM691" t="s">
        <v>4271</v>
      </c>
      <c r="AN691" t="s">
        <v>4272</v>
      </c>
      <c r="AO691" t="s">
        <v>13569</v>
      </c>
      <c r="AP691" t="s">
        <v>13570</v>
      </c>
      <c r="AQ691" t="s">
        <v>74</v>
      </c>
      <c r="AR691" t="s">
        <v>13571</v>
      </c>
      <c r="AS691" t="s">
        <v>13572</v>
      </c>
      <c r="AT691" t="s">
        <v>12461</v>
      </c>
      <c r="AU691">
        <v>2017</v>
      </c>
      <c r="AV691">
        <v>8</v>
      </c>
      <c r="AW691">
        <v>12</v>
      </c>
      <c r="AX691" t="s">
        <v>74</v>
      </c>
      <c r="AY691" t="s">
        <v>74</v>
      </c>
      <c r="AZ691" t="s">
        <v>74</v>
      </c>
      <c r="BA691" t="s">
        <v>74</v>
      </c>
      <c r="BB691">
        <v>1842</v>
      </c>
      <c r="BC691">
        <v>1857</v>
      </c>
      <c r="BD691" t="s">
        <v>74</v>
      </c>
      <c r="BE691" t="s">
        <v>13573</v>
      </c>
      <c r="BF691" t="str">
        <f>HYPERLINK("http://dx.doi.org/10.1111/2041-210X.12833","http://dx.doi.org/10.1111/2041-210X.12833")</f>
        <v>http://dx.doi.org/10.1111/2041-210X.12833</v>
      </c>
      <c r="BG691" t="s">
        <v>74</v>
      </c>
      <c r="BH691" t="s">
        <v>74</v>
      </c>
      <c r="BI691">
        <v>16</v>
      </c>
      <c r="BJ691" t="s">
        <v>5502</v>
      </c>
      <c r="BK691" t="s">
        <v>101</v>
      </c>
      <c r="BL691" t="s">
        <v>1120</v>
      </c>
      <c r="BM691" t="s">
        <v>13574</v>
      </c>
      <c r="BN691" t="s">
        <v>74</v>
      </c>
      <c r="BO691" t="s">
        <v>789</v>
      </c>
      <c r="BP691" t="s">
        <v>74</v>
      </c>
      <c r="BQ691" t="s">
        <v>74</v>
      </c>
      <c r="BR691" t="s">
        <v>105</v>
      </c>
      <c r="BS691" t="s">
        <v>13575</v>
      </c>
      <c r="BT691" t="str">
        <f>HYPERLINK("https%3A%2F%2Fwww.webofscience.com%2Fwos%2Fwoscc%2Ffull-record%2FWOS:000417239200021","View Full Record in Web of Science")</f>
        <v>View Full Record in Web of Science</v>
      </c>
    </row>
    <row r="692" spans="1:72" x14ac:dyDescent="0.15">
      <c r="A692" t="s">
        <v>72</v>
      </c>
      <c r="B692" t="s">
        <v>13576</v>
      </c>
      <c r="C692" t="s">
        <v>74</v>
      </c>
      <c r="D692" t="s">
        <v>74</v>
      </c>
      <c r="E692" t="s">
        <v>74</v>
      </c>
      <c r="F692" t="s">
        <v>13577</v>
      </c>
      <c r="G692" t="s">
        <v>74</v>
      </c>
      <c r="H692" t="s">
        <v>74</v>
      </c>
      <c r="I692" t="s">
        <v>13578</v>
      </c>
      <c r="J692" t="s">
        <v>13579</v>
      </c>
      <c r="K692" t="s">
        <v>74</v>
      </c>
      <c r="L692" t="s">
        <v>74</v>
      </c>
      <c r="M692" t="s">
        <v>78</v>
      </c>
      <c r="N692" t="s">
        <v>79</v>
      </c>
      <c r="O692" t="s">
        <v>74</v>
      </c>
      <c r="P692" t="s">
        <v>74</v>
      </c>
      <c r="Q692" t="s">
        <v>74</v>
      </c>
      <c r="R692" t="s">
        <v>74</v>
      </c>
      <c r="S692" t="s">
        <v>74</v>
      </c>
      <c r="T692" t="s">
        <v>13580</v>
      </c>
      <c r="U692" t="s">
        <v>13581</v>
      </c>
      <c r="V692" t="s">
        <v>13582</v>
      </c>
      <c r="W692" t="s">
        <v>13583</v>
      </c>
      <c r="X692" t="s">
        <v>2069</v>
      </c>
      <c r="Y692" t="s">
        <v>13584</v>
      </c>
      <c r="Z692" t="s">
        <v>13585</v>
      </c>
      <c r="AA692" t="s">
        <v>13586</v>
      </c>
      <c r="AB692" t="s">
        <v>13587</v>
      </c>
      <c r="AC692" t="s">
        <v>13588</v>
      </c>
      <c r="AD692" t="s">
        <v>13589</v>
      </c>
      <c r="AE692" t="s">
        <v>13590</v>
      </c>
      <c r="AF692" t="s">
        <v>74</v>
      </c>
      <c r="AG692">
        <v>32</v>
      </c>
      <c r="AH692">
        <v>2</v>
      </c>
      <c r="AI692">
        <v>3</v>
      </c>
      <c r="AJ692">
        <v>1</v>
      </c>
      <c r="AK692">
        <v>18</v>
      </c>
      <c r="AL692" t="s">
        <v>1973</v>
      </c>
      <c r="AM692" t="s">
        <v>4347</v>
      </c>
      <c r="AN692" t="s">
        <v>4348</v>
      </c>
      <c r="AO692" t="s">
        <v>13591</v>
      </c>
      <c r="AP692" t="s">
        <v>13592</v>
      </c>
      <c r="AQ692" t="s">
        <v>74</v>
      </c>
      <c r="AR692" t="s">
        <v>13593</v>
      </c>
      <c r="AS692" t="s">
        <v>13594</v>
      </c>
      <c r="AT692" t="s">
        <v>12461</v>
      </c>
      <c r="AU692">
        <v>2017</v>
      </c>
      <c r="AV692">
        <v>362</v>
      </c>
      <c r="AW692">
        <v>12</v>
      </c>
      <c r="AX692" t="s">
        <v>74</v>
      </c>
      <c r="AY692" t="s">
        <v>74</v>
      </c>
      <c r="AZ692" t="s">
        <v>74</v>
      </c>
      <c r="BA692" t="s">
        <v>74</v>
      </c>
      <c r="BB692" t="s">
        <v>74</v>
      </c>
      <c r="BC692" t="s">
        <v>74</v>
      </c>
      <c r="BD692">
        <v>236</v>
      </c>
      <c r="BE692" t="s">
        <v>13595</v>
      </c>
      <c r="BF692" t="str">
        <f>HYPERLINK("http://dx.doi.org/10.1007/s10509-017-3214-9","http://dx.doi.org/10.1007/s10509-017-3214-9")</f>
        <v>http://dx.doi.org/10.1007/s10509-017-3214-9</v>
      </c>
      <c r="BG692" t="s">
        <v>74</v>
      </c>
      <c r="BH692" t="s">
        <v>74</v>
      </c>
      <c r="BI692">
        <v>9</v>
      </c>
      <c r="BJ692" t="s">
        <v>787</v>
      </c>
      <c r="BK692" t="s">
        <v>101</v>
      </c>
      <c r="BL692" t="s">
        <v>787</v>
      </c>
      <c r="BM692" t="s">
        <v>13596</v>
      </c>
      <c r="BN692" t="s">
        <v>74</v>
      </c>
      <c r="BO692" t="s">
        <v>74</v>
      </c>
      <c r="BP692" t="s">
        <v>74</v>
      </c>
      <c r="BQ692" t="s">
        <v>74</v>
      </c>
      <c r="BR692" t="s">
        <v>105</v>
      </c>
      <c r="BS692" t="s">
        <v>13597</v>
      </c>
      <c r="BT692" t="str">
        <f>HYPERLINK("https%3A%2F%2Fwww.webofscience.com%2Fwos%2Fwoscc%2Ffull-record%2FWOS:000416967100019","View Full Record in Web of Science")</f>
        <v>View Full Record in Web of Science</v>
      </c>
    </row>
    <row r="693" spans="1:72" x14ac:dyDescent="0.15">
      <c r="A693" t="s">
        <v>72</v>
      </c>
      <c r="B693" t="s">
        <v>13598</v>
      </c>
      <c r="C693" t="s">
        <v>74</v>
      </c>
      <c r="D693" t="s">
        <v>74</v>
      </c>
      <c r="E693" t="s">
        <v>74</v>
      </c>
      <c r="F693" t="s">
        <v>13599</v>
      </c>
      <c r="G693" t="s">
        <v>74</v>
      </c>
      <c r="H693" t="s">
        <v>74</v>
      </c>
      <c r="I693" t="s">
        <v>13600</v>
      </c>
      <c r="J693" t="s">
        <v>165</v>
      </c>
      <c r="K693" t="s">
        <v>74</v>
      </c>
      <c r="L693" t="s">
        <v>74</v>
      </c>
      <c r="M693" t="s">
        <v>78</v>
      </c>
      <c r="N693" t="s">
        <v>79</v>
      </c>
      <c r="O693" t="s">
        <v>74</v>
      </c>
      <c r="P693" t="s">
        <v>74</v>
      </c>
      <c r="Q693" t="s">
        <v>74</v>
      </c>
      <c r="R693" t="s">
        <v>74</v>
      </c>
      <c r="S693" t="s">
        <v>74</v>
      </c>
      <c r="T693" t="s">
        <v>74</v>
      </c>
      <c r="U693" t="s">
        <v>13601</v>
      </c>
      <c r="V693" t="s">
        <v>13602</v>
      </c>
      <c r="W693" t="s">
        <v>13603</v>
      </c>
      <c r="X693" t="s">
        <v>13604</v>
      </c>
      <c r="Y693" t="s">
        <v>13605</v>
      </c>
      <c r="Z693" t="s">
        <v>13606</v>
      </c>
      <c r="AA693" t="s">
        <v>13607</v>
      </c>
      <c r="AB693" t="s">
        <v>13608</v>
      </c>
      <c r="AC693" t="s">
        <v>13609</v>
      </c>
      <c r="AD693" t="s">
        <v>13610</v>
      </c>
      <c r="AE693" t="s">
        <v>13611</v>
      </c>
      <c r="AF693" t="s">
        <v>74</v>
      </c>
      <c r="AG693">
        <v>61</v>
      </c>
      <c r="AH693">
        <v>20</v>
      </c>
      <c r="AI693">
        <v>25</v>
      </c>
      <c r="AJ693">
        <v>0</v>
      </c>
      <c r="AK693">
        <v>25</v>
      </c>
      <c r="AL693" t="s">
        <v>149</v>
      </c>
      <c r="AM693" t="s">
        <v>150</v>
      </c>
      <c r="AN693" t="s">
        <v>151</v>
      </c>
      <c r="AO693" t="s">
        <v>177</v>
      </c>
      <c r="AP693" t="s">
        <v>178</v>
      </c>
      <c r="AQ693" t="s">
        <v>74</v>
      </c>
      <c r="AR693" t="s">
        <v>179</v>
      </c>
      <c r="AS693" t="s">
        <v>180</v>
      </c>
      <c r="AT693" t="s">
        <v>12906</v>
      </c>
      <c r="AU693">
        <v>2017</v>
      </c>
      <c r="AV693">
        <v>17</v>
      </c>
      <c r="AW693">
        <v>23</v>
      </c>
      <c r="AX693" t="s">
        <v>74</v>
      </c>
      <c r="AY693" t="s">
        <v>74</v>
      </c>
      <c r="AZ693" t="s">
        <v>74</v>
      </c>
      <c r="BA693" t="s">
        <v>74</v>
      </c>
      <c r="BB693">
        <v>14291</v>
      </c>
      <c r="BC693">
        <v>14307</v>
      </c>
      <c r="BD693" t="s">
        <v>74</v>
      </c>
      <c r="BE693" t="s">
        <v>13612</v>
      </c>
      <c r="BF693" t="str">
        <f>HYPERLINK("http://dx.doi.org/10.5194/acp-17-14291-2017","http://dx.doi.org/10.5194/acp-17-14291-2017")</f>
        <v>http://dx.doi.org/10.5194/acp-17-14291-2017</v>
      </c>
      <c r="BG693" t="s">
        <v>74</v>
      </c>
      <c r="BH693" t="s">
        <v>74</v>
      </c>
      <c r="BI693">
        <v>17</v>
      </c>
      <c r="BJ693" t="s">
        <v>183</v>
      </c>
      <c r="BK693" t="s">
        <v>101</v>
      </c>
      <c r="BL693" t="s">
        <v>184</v>
      </c>
      <c r="BM693" t="s">
        <v>13613</v>
      </c>
      <c r="BN693" t="s">
        <v>74</v>
      </c>
      <c r="BO693" t="s">
        <v>5413</v>
      </c>
      <c r="BP693" t="s">
        <v>74</v>
      </c>
      <c r="BQ693" t="s">
        <v>74</v>
      </c>
      <c r="BR693" t="s">
        <v>105</v>
      </c>
      <c r="BS693" t="s">
        <v>13614</v>
      </c>
      <c r="BT693" t="str">
        <f>HYPERLINK("https%3A%2F%2Fwww.webofscience.com%2Fwos%2Fwoscc%2Ffull-record%2FWOS:000416844800004","View Full Record in Web of Science")</f>
        <v>View Full Record in Web of Science</v>
      </c>
    </row>
    <row r="694" spans="1:72" x14ac:dyDescent="0.15">
      <c r="A694" t="s">
        <v>72</v>
      </c>
      <c r="B694" t="s">
        <v>13615</v>
      </c>
      <c r="C694" t="s">
        <v>74</v>
      </c>
      <c r="D694" t="s">
        <v>74</v>
      </c>
      <c r="E694" t="s">
        <v>74</v>
      </c>
      <c r="F694" t="s">
        <v>13616</v>
      </c>
      <c r="G694" t="s">
        <v>74</v>
      </c>
      <c r="H694" t="s">
        <v>74</v>
      </c>
      <c r="I694" t="s">
        <v>13617</v>
      </c>
      <c r="J694" t="s">
        <v>13618</v>
      </c>
      <c r="K694" t="s">
        <v>74</v>
      </c>
      <c r="L694" t="s">
        <v>74</v>
      </c>
      <c r="M694" t="s">
        <v>78</v>
      </c>
      <c r="N694" t="s">
        <v>79</v>
      </c>
      <c r="O694" t="s">
        <v>74</v>
      </c>
      <c r="P694" t="s">
        <v>74</v>
      </c>
      <c r="Q694" t="s">
        <v>74</v>
      </c>
      <c r="R694" t="s">
        <v>74</v>
      </c>
      <c r="S694" t="s">
        <v>74</v>
      </c>
      <c r="T694" t="s">
        <v>13619</v>
      </c>
      <c r="U694" t="s">
        <v>13620</v>
      </c>
      <c r="V694" t="s">
        <v>13621</v>
      </c>
      <c r="W694" t="s">
        <v>13622</v>
      </c>
      <c r="X694" t="s">
        <v>13623</v>
      </c>
      <c r="Y694" t="s">
        <v>13624</v>
      </c>
      <c r="Z694" t="s">
        <v>13625</v>
      </c>
      <c r="AA694" t="s">
        <v>13626</v>
      </c>
      <c r="AB694" t="s">
        <v>13627</v>
      </c>
      <c r="AC694" t="s">
        <v>13628</v>
      </c>
      <c r="AD694" t="s">
        <v>13629</v>
      </c>
      <c r="AE694" t="s">
        <v>13630</v>
      </c>
      <c r="AF694" t="s">
        <v>74</v>
      </c>
      <c r="AG694">
        <v>76</v>
      </c>
      <c r="AH694">
        <v>5</v>
      </c>
      <c r="AI694">
        <v>8</v>
      </c>
      <c r="AJ694">
        <v>7</v>
      </c>
      <c r="AK694">
        <v>54</v>
      </c>
      <c r="AL694" t="s">
        <v>4270</v>
      </c>
      <c r="AM694" t="s">
        <v>4271</v>
      </c>
      <c r="AN694" t="s">
        <v>4272</v>
      </c>
      <c r="AO694" t="s">
        <v>13631</v>
      </c>
      <c r="AP694" t="s">
        <v>13632</v>
      </c>
      <c r="AQ694" t="s">
        <v>74</v>
      </c>
      <c r="AR694" t="s">
        <v>13633</v>
      </c>
      <c r="AS694" t="s">
        <v>13634</v>
      </c>
      <c r="AT694" t="s">
        <v>12461</v>
      </c>
      <c r="AU694">
        <v>2017</v>
      </c>
      <c r="AV694">
        <v>42</v>
      </c>
      <c r="AW694">
        <v>8</v>
      </c>
      <c r="AX694" t="s">
        <v>74</v>
      </c>
      <c r="AY694" t="s">
        <v>74</v>
      </c>
      <c r="AZ694" t="s">
        <v>74</v>
      </c>
      <c r="BA694" t="s">
        <v>74</v>
      </c>
      <c r="BB694">
        <v>984</v>
      </c>
      <c r="BC694">
        <v>994</v>
      </c>
      <c r="BD694" t="s">
        <v>74</v>
      </c>
      <c r="BE694" t="s">
        <v>13635</v>
      </c>
      <c r="BF694" t="str">
        <f>HYPERLINK("http://dx.doi.org/10.1111/aec.12527","http://dx.doi.org/10.1111/aec.12527")</f>
        <v>http://dx.doi.org/10.1111/aec.12527</v>
      </c>
      <c r="BG694" t="s">
        <v>74</v>
      </c>
      <c r="BH694" t="s">
        <v>74</v>
      </c>
      <c r="BI694">
        <v>11</v>
      </c>
      <c r="BJ694" t="s">
        <v>5502</v>
      </c>
      <c r="BK694" t="s">
        <v>101</v>
      </c>
      <c r="BL694" t="s">
        <v>1120</v>
      </c>
      <c r="BM694" t="s">
        <v>13636</v>
      </c>
      <c r="BN694" t="s">
        <v>74</v>
      </c>
      <c r="BO694" t="s">
        <v>389</v>
      </c>
      <c r="BP694" t="s">
        <v>74</v>
      </c>
      <c r="BQ694" t="s">
        <v>74</v>
      </c>
      <c r="BR694" t="s">
        <v>105</v>
      </c>
      <c r="BS694" t="s">
        <v>13637</v>
      </c>
      <c r="BT694" t="str">
        <f>HYPERLINK("https%3A%2F%2Fwww.webofscience.com%2Fwos%2Fwoscc%2Ffull-record%2FWOS:000416435500011","View Full Record in Web of Science")</f>
        <v>View Full Record in Web of Science</v>
      </c>
    </row>
    <row r="695" spans="1:72" x14ac:dyDescent="0.15">
      <c r="A695" t="s">
        <v>72</v>
      </c>
      <c r="B695" t="s">
        <v>13638</v>
      </c>
      <c r="C695" t="s">
        <v>74</v>
      </c>
      <c r="D695" t="s">
        <v>74</v>
      </c>
      <c r="E695" t="s">
        <v>74</v>
      </c>
      <c r="F695" t="s">
        <v>13639</v>
      </c>
      <c r="G695" t="s">
        <v>74</v>
      </c>
      <c r="H695" t="s">
        <v>74</v>
      </c>
      <c r="I695" t="s">
        <v>13640</v>
      </c>
      <c r="J695" t="s">
        <v>13641</v>
      </c>
      <c r="K695" t="s">
        <v>74</v>
      </c>
      <c r="L695" t="s">
        <v>74</v>
      </c>
      <c r="M695" t="s">
        <v>78</v>
      </c>
      <c r="N695" t="s">
        <v>79</v>
      </c>
      <c r="O695" t="s">
        <v>74</v>
      </c>
      <c r="P695" t="s">
        <v>74</v>
      </c>
      <c r="Q695" t="s">
        <v>74</v>
      </c>
      <c r="R695" t="s">
        <v>74</v>
      </c>
      <c r="S695" t="s">
        <v>74</v>
      </c>
      <c r="T695" t="s">
        <v>13642</v>
      </c>
      <c r="U695" t="s">
        <v>13643</v>
      </c>
      <c r="V695" t="s">
        <v>13644</v>
      </c>
      <c r="W695" t="s">
        <v>13645</v>
      </c>
      <c r="X695" t="s">
        <v>13646</v>
      </c>
      <c r="Y695" t="s">
        <v>13647</v>
      </c>
      <c r="Z695" t="s">
        <v>13648</v>
      </c>
      <c r="AA695" t="s">
        <v>74</v>
      </c>
      <c r="AB695" t="s">
        <v>13649</v>
      </c>
      <c r="AC695" t="s">
        <v>6858</v>
      </c>
      <c r="AD695" t="s">
        <v>6859</v>
      </c>
      <c r="AE695" t="s">
        <v>13650</v>
      </c>
      <c r="AF695" t="s">
        <v>74</v>
      </c>
      <c r="AG695">
        <v>28</v>
      </c>
      <c r="AH695">
        <v>13</v>
      </c>
      <c r="AI695">
        <v>13</v>
      </c>
      <c r="AJ695">
        <v>2</v>
      </c>
      <c r="AK695">
        <v>8</v>
      </c>
      <c r="AL695" t="s">
        <v>578</v>
      </c>
      <c r="AM695" t="s">
        <v>92</v>
      </c>
      <c r="AN695" t="s">
        <v>579</v>
      </c>
      <c r="AO695" t="s">
        <v>13651</v>
      </c>
      <c r="AP695" t="s">
        <v>74</v>
      </c>
      <c r="AQ695" t="s">
        <v>74</v>
      </c>
      <c r="AR695" t="s">
        <v>13652</v>
      </c>
      <c r="AS695" t="s">
        <v>13653</v>
      </c>
      <c r="AT695" t="s">
        <v>12906</v>
      </c>
      <c r="AU695">
        <v>2017</v>
      </c>
      <c r="AV695">
        <v>17</v>
      </c>
      <c r="AW695" t="s">
        <v>74</v>
      </c>
      <c r="AX695" t="s">
        <v>74</v>
      </c>
      <c r="AY695" t="s">
        <v>74</v>
      </c>
      <c r="AZ695" t="s">
        <v>74</v>
      </c>
      <c r="BA695" t="s">
        <v>74</v>
      </c>
      <c r="BB695" t="s">
        <v>74</v>
      </c>
      <c r="BC695" t="s">
        <v>74</v>
      </c>
      <c r="BD695">
        <v>509</v>
      </c>
      <c r="BE695" t="s">
        <v>13654</v>
      </c>
      <c r="BF695" t="str">
        <f>HYPERLINK("http://dx.doi.org/10.1186/s12906-017-1991-x","http://dx.doi.org/10.1186/s12906-017-1991-x")</f>
        <v>http://dx.doi.org/10.1186/s12906-017-1991-x</v>
      </c>
      <c r="BG695" t="s">
        <v>74</v>
      </c>
      <c r="BH695" t="s">
        <v>74</v>
      </c>
      <c r="BI695">
        <v>9</v>
      </c>
      <c r="BJ695" t="s">
        <v>13655</v>
      </c>
      <c r="BK695" t="s">
        <v>101</v>
      </c>
      <c r="BL695" t="s">
        <v>13655</v>
      </c>
      <c r="BM695" t="s">
        <v>13656</v>
      </c>
      <c r="BN695">
        <v>29191192</v>
      </c>
      <c r="BO695" t="s">
        <v>681</v>
      </c>
      <c r="BP695" t="s">
        <v>74</v>
      </c>
      <c r="BQ695" t="s">
        <v>74</v>
      </c>
      <c r="BR695" t="s">
        <v>105</v>
      </c>
      <c r="BS695" t="s">
        <v>13657</v>
      </c>
      <c r="BT695" t="str">
        <f>HYPERLINK("https%3A%2F%2Fwww.webofscience.com%2Fwos%2Fwoscc%2Ffull-record%2FWOS:000417029200001","View Full Record in Web of Science")</f>
        <v>View Full Record in Web of Science</v>
      </c>
    </row>
    <row r="696" spans="1:72" x14ac:dyDescent="0.15">
      <c r="A696" t="s">
        <v>72</v>
      </c>
      <c r="B696" t="s">
        <v>13658</v>
      </c>
      <c r="C696" t="s">
        <v>74</v>
      </c>
      <c r="D696" t="s">
        <v>74</v>
      </c>
      <c r="E696" t="s">
        <v>74</v>
      </c>
      <c r="F696" t="s">
        <v>13659</v>
      </c>
      <c r="G696" t="s">
        <v>74</v>
      </c>
      <c r="H696" t="s">
        <v>74</v>
      </c>
      <c r="I696" t="s">
        <v>13660</v>
      </c>
      <c r="J696" t="s">
        <v>13661</v>
      </c>
      <c r="K696" t="s">
        <v>74</v>
      </c>
      <c r="L696" t="s">
        <v>74</v>
      </c>
      <c r="M696" t="s">
        <v>78</v>
      </c>
      <c r="N696" t="s">
        <v>79</v>
      </c>
      <c r="O696" t="s">
        <v>74</v>
      </c>
      <c r="P696" t="s">
        <v>74</v>
      </c>
      <c r="Q696" t="s">
        <v>74</v>
      </c>
      <c r="R696" t="s">
        <v>74</v>
      </c>
      <c r="S696" t="s">
        <v>74</v>
      </c>
      <c r="T696" t="s">
        <v>74</v>
      </c>
      <c r="U696" t="s">
        <v>13662</v>
      </c>
      <c r="V696" t="s">
        <v>13663</v>
      </c>
      <c r="W696" t="s">
        <v>13664</v>
      </c>
      <c r="X696" t="s">
        <v>13665</v>
      </c>
      <c r="Y696" t="s">
        <v>13666</v>
      </c>
      <c r="Z696" t="s">
        <v>13667</v>
      </c>
      <c r="AA696" t="s">
        <v>13668</v>
      </c>
      <c r="AB696" t="s">
        <v>13669</v>
      </c>
      <c r="AC696" t="s">
        <v>13670</v>
      </c>
      <c r="AD696" t="s">
        <v>13671</v>
      </c>
      <c r="AE696" t="s">
        <v>13672</v>
      </c>
      <c r="AF696" t="s">
        <v>74</v>
      </c>
      <c r="AG696">
        <v>46</v>
      </c>
      <c r="AH696">
        <v>11</v>
      </c>
      <c r="AI696">
        <v>13</v>
      </c>
      <c r="AJ696">
        <v>5</v>
      </c>
      <c r="AK696">
        <v>71</v>
      </c>
      <c r="AL696" t="s">
        <v>4270</v>
      </c>
      <c r="AM696" t="s">
        <v>4271</v>
      </c>
      <c r="AN696" t="s">
        <v>4272</v>
      </c>
      <c r="AO696" t="s">
        <v>13673</v>
      </c>
      <c r="AP696" t="s">
        <v>13674</v>
      </c>
      <c r="AQ696" t="s">
        <v>74</v>
      </c>
      <c r="AR696" t="s">
        <v>13675</v>
      </c>
      <c r="AS696" t="s">
        <v>13676</v>
      </c>
      <c r="AT696" t="s">
        <v>12461</v>
      </c>
      <c r="AU696">
        <v>2017</v>
      </c>
      <c r="AV696">
        <v>40</v>
      </c>
      <c r="AW696">
        <v>6</v>
      </c>
      <c r="AX696" t="s">
        <v>74</v>
      </c>
      <c r="AY696" t="s">
        <v>74</v>
      </c>
      <c r="AZ696" t="s">
        <v>74</v>
      </c>
      <c r="BA696" t="s">
        <v>74</v>
      </c>
      <c r="BB696" t="s">
        <v>74</v>
      </c>
      <c r="BC696" t="s">
        <v>74</v>
      </c>
      <c r="BD696" t="s">
        <v>13677</v>
      </c>
      <c r="BE696" t="s">
        <v>13678</v>
      </c>
      <c r="BF696" t="str">
        <f>HYPERLINK("http://dx.doi.org/10.1111/jfpe.12577","http://dx.doi.org/10.1111/jfpe.12577")</f>
        <v>http://dx.doi.org/10.1111/jfpe.12577</v>
      </c>
      <c r="BG696" t="s">
        <v>74</v>
      </c>
      <c r="BH696" t="s">
        <v>74</v>
      </c>
      <c r="BI696">
        <v>8</v>
      </c>
      <c r="BJ696" t="s">
        <v>13679</v>
      </c>
      <c r="BK696" t="s">
        <v>101</v>
      </c>
      <c r="BL696" t="s">
        <v>13680</v>
      </c>
      <c r="BM696" t="s">
        <v>13681</v>
      </c>
      <c r="BN696" t="s">
        <v>74</v>
      </c>
      <c r="BO696" t="s">
        <v>74</v>
      </c>
      <c r="BP696" t="s">
        <v>74</v>
      </c>
      <c r="BQ696" t="s">
        <v>74</v>
      </c>
      <c r="BR696" t="s">
        <v>105</v>
      </c>
      <c r="BS696" t="s">
        <v>13682</v>
      </c>
      <c r="BT696" t="str">
        <f>HYPERLINK("https%3A%2F%2Fwww.webofscience.com%2Fwos%2Fwoscc%2Ffull-record%2FWOS:000415899500022","View Full Record in Web of Science")</f>
        <v>View Full Record in Web of Science</v>
      </c>
    </row>
    <row r="697" spans="1:72" x14ac:dyDescent="0.15">
      <c r="A697" t="s">
        <v>72</v>
      </c>
      <c r="B697" t="s">
        <v>13683</v>
      </c>
      <c r="C697" t="s">
        <v>74</v>
      </c>
      <c r="D697" t="s">
        <v>74</v>
      </c>
      <c r="E697" t="s">
        <v>74</v>
      </c>
      <c r="F697" t="s">
        <v>13684</v>
      </c>
      <c r="G697" t="s">
        <v>74</v>
      </c>
      <c r="H697" t="s">
        <v>74</v>
      </c>
      <c r="I697" t="s">
        <v>13685</v>
      </c>
      <c r="J697" t="s">
        <v>13686</v>
      </c>
      <c r="K697" t="s">
        <v>74</v>
      </c>
      <c r="L697" t="s">
        <v>74</v>
      </c>
      <c r="M697" t="s">
        <v>78</v>
      </c>
      <c r="N697" t="s">
        <v>79</v>
      </c>
      <c r="O697" t="s">
        <v>74</v>
      </c>
      <c r="P697" t="s">
        <v>74</v>
      </c>
      <c r="Q697" t="s">
        <v>74</v>
      </c>
      <c r="R697" t="s">
        <v>74</v>
      </c>
      <c r="S697" t="s">
        <v>74</v>
      </c>
      <c r="T697" t="s">
        <v>13687</v>
      </c>
      <c r="U697" t="s">
        <v>13688</v>
      </c>
      <c r="V697" t="s">
        <v>13689</v>
      </c>
      <c r="W697" t="s">
        <v>13690</v>
      </c>
      <c r="X697" t="s">
        <v>13691</v>
      </c>
      <c r="Y697" t="s">
        <v>13692</v>
      </c>
      <c r="Z697" t="s">
        <v>13693</v>
      </c>
      <c r="AA697" t="s">
        <v>13694</v>
      </c>
      <c r="AB697" t="s">
        <v>13695</v>
      </c>
      <c r="AC697" t="s">
        <v>13696</v>
      </c>
      <c r="AD697" t="s">
        <v>13697</v>
      </c>
      <c r="AE697" t="s">
        <v>13698</v>
      </c>
      <c r="AF697" t="s">
        <v>74</v>
      </c>
      <c r="AG697">
        <v>28</v>
      </c>
      <c r="AH697">
        <v>5</v>
      </c>
      <c r="AI697">
        <v>7</v>
      </c>
      <c r="AJ697">
        <v>1</v>
      </c>
      <c r="AK697">
        <v>14</v>
      </c>
      <c r="AL697" t="s">
        <v>807</v>
      </c>
      <c r="AM697" t="s">
        <v>808</v>
      </c>
      <c r="AN697" t="s">
        <v>809</v>
      </c>
      <c r="AO697" t="s">
        <v>13699</v>
      </c>
      <c r="AP697" t="s">
        <v>13700</v>
      </c>
      <c r="AQ697" t="s">
        <v>74</v>
      </c>
      <c r="AR697" t="s">
        <v>13701</v>
      </c>
      <c r="AS697" t="s">
        <v>13702</v>
      </c>
      <c r="AT697" t="s">
        <v>12461</v>
      </c>
      <c r="AU697">
        <v>2017</v>
      </c>
      <c r="AV697">
        <v>14</v>
      </c>
      <c r="AW697" t="s">
        <v>74</v>
      </c>
      <c r="AX697" t="s">
        <v>74</v>
      </c>
      <c r="AY697" t="s">
        <v>74</v>
      </c>
      <c r="AZ697" t="s">
        <v>74</v>
      </c>
      <c r="BA697" t="s">
        <v>74</v>
      </c>
      <c r="BB697">
        <v>1</v>
      </c>
      <c r="BC697">
        <v>8</v>
      </c>
      <c r="BD697" t="s">
        <v>74</v>
      </c>
      <c r="BE697" t="s">
        <v>13703</v>
      </c>
      <c r="BF697" t="str">
        <f>HYPERLINK("http://dx.doi.org/10.1016/j.polar.2017.09.001","http://dx.doi.org/10.1016/j.polar.2017.09.001")</f>
        <v>http://dx.doi.org/10.1016/j.polar.2017.09.001</v>
      </c>
      <c r="BG697" t="s">
        <v>74</v>
      </c>
      <c r="BH697" t="s">
        <v>74</v>
      </c>
      <c r="BI697">
        <v>8</v>
      </c>
      <c r="BJ697" t="s">
        <v>157</v>
      </c>
      <c r="BK697" t="s">
        <v>101</v>
      </c>
      <c r="BL697" t="s">
        <v>158</v>
      </c>
      <c r="BM697" t="s">
        <v>13704</v>
      </c>
      <c r="BN697" t="s">
        <v>74</v>
      </c>
      <c r="BO697" t="s">
        <v>74</v>
      </c>
      <c r="BP697" t="s">
        <v>74</v>
      </c>
      <c r="BQ697" t="s">
        <v>74</v>
      </c>
      <c r="BR697" t="s">
        <v>105</v>
      </c>
      <c r="BS697" t="s">
        <v>13705</v>
      </c>
      <c r="BT697" t="str">
        <f>HYPERLINK("https%3A%2F%2Fwww.webofscience.com%2Fwos%2Fwoscc%2Ffull-record%2FWOS:000417043600001","View Full Record in Web of Science")</f>
        <v>View Full Record in Web of Science</v>
      </c>
    </row>
    <row r="698" spans="1:72" x14ac:dyDescent="0.15">
      <c r="A698" t="s">
        <v>72</v>
      </c>
      <c r="B698" t="s">
        <v>13706</v>
      </c>
      <c r="C698" t="s">
        <v>74</v>
      </c>
      <c r="D698" t="s">
        <v>74</v>
      </c>
      <c r="E698" t="s">
        <v>74</v>
      </c>
      <c r="F698" t="s">
        <v>13707</v>
      </c>
      <c r="G698" t="s">
        <v>74</v>
      </c>
      <c r="H698" t="s">
        <v>74</v>
      </c>
      <c r="I698" t="s">
        <v>13708</v>
      </c>
      <c r="J698" t="s">
        <v>13686</v>
      </c>
      <c r="K698" t="s">
        <v>74</v>
      </c>
      <c r="L698" t="s">
        <v>74</v>
      </c>
      <c r="M698" t="s">
        <v>78</v>
      </c>
      <c r="N698" t="s">
        <v>79</v>
      </c>
      <c r="O698" t="s">
        <v>74</v>
      </c>
      <c r="P698" t="s">
        <v>74</v>
      </c>
      <c r="Q698" t="s">
        <v>74</v>
      </c>
      <c r="R698" t="s">
        <v>74</v>
      </c>
      <c r="S698" t="s">
        <v>74</v>
      </c>
      <c r="T698" t="s">
        <v>13709</v>
      </c>
      <c r="U698" t="s">
        <v>13710</v>
      </c>
      <c r="V698" t="s">
        <v>13711</v>
      </c>
      <c r="W698" t="s">
        <v>13712</v>
      </c>
      <c r="X698" t="s">
        <v>13713</v>
      </c>
      <c r="Y698" t="s">
        <v>13714</v>
      </c>
      <c r="Z698" t="s">
        <v>13715</v>
      </c>
      <c r="AA698" t="s">
        <v>13716</v>
      </c>
      <c r="AB698" t="s">
        <v>13717</v>
      </c>
      <c r="AC698" t="s">
        <v>13718</v>
      </c>
      <c r="AD698" t="s">
        <v>13719</v>
      </c>
      <c r="AE698" t="s">
        <v>13720</v>
      </c>
      <c r="AF698" t="s">
        <v>74</v>
      </c>
      <c r="AG698">
        <v>21</v>
      </c>
      <c r="AH698">
        <v>4</v>
      </c>
      <c r="AI698">
        <v>4</v>
      </c>
      <c r="AJ698">
        <v>1</v>
      </c>
      <c r="AK698">
        <v>3</v>
      </c>
      <c r="AL698" t="s">
        <v>807</v>
      </c>
      <c r="AM698" t="s">
        <v>808</v>
      </c>
      <c r="AN698" t="s">
        <v>809</v>
      </c>
      <c r="AO698" t="s">
        <v>13699</v>
      </c>
      <c r="AP698" t="s">
        <v>13700</v>
      </c>
      <c r="AQ698" t="s">
        <v>74</v>
      </c>
      <c r="AR698" t="s">
        <v>13701</v>
      </c>
      <c r="AS698" t="s">
        <v>13702</v>
      </c>
      <c r="AT698" t="s">
        <v>12461</v>
      </c>
      <c r="AU698">
        <v>2017</v>
      </c>
      <c r="AV698">
        <v>14</v>
      </c>
      <c r="AW698" t="s">
        <v>74</v>
      </c>
      <c r="AX698" t="s">
        <v>74</v>
      </c>
      <c r="AY698" t="s">
        <v>74</v>
      </c>
      <c r="AZ698" t="s">
        <v>74</v>
      </c>
      <c r="BA698" t="s">
        <v>74</v>
      </c>
      <c r="BB698">
        <v>39</v>
      </c>
      <c r="BC698">
        <v>48</v>
      </c>
      <c r="BD698" t="s">
        <v>74</v>
      </c>
      <c r="BE698" t="s">
        <v>13721</v>
      </c>
      <c r="BF698" t="str">
        <f>HYPERLINK("http://dx.doi.org/10.1016/j.polar.2017.10.001","http://dx.doi.org/10.1016/j.polar.2017.10.001")</f>
        <v>http://dx.doi.org/10.1016/j.polar.2017.10.001</v>
      </c>
      <c r="BG698" t="s">
        <v>74</v>
      </c>
      <c r="BH698" t="s">
        <v>74</v>
      </c>
      <c r="BI698">
        <v>10</v>
      </c>
      <c r="BJ698" t="s">
        <v>157</v>
      </c>
      <c r="BK698" t="s">
        <v>101</v>
      </c>
      <c r="BL698" t="s">
        <v>158</v>
      </c>
      <c r="BM698" t="s">
        <v>13704</v>
      </c>
      <c r="BN698" t="s">
        <v>74</v>
      </c>
      <c r="BO698" t="s">
        <v>1150</v>
      </c>
      <c r="BP698" t="s">
        <v>74</v>
      </c>
      <c r="BQ698" t="s">
        <v>74</v>
      </c>
      <c r="BR698" t="s">
        <v>105</v>
      </c>
      <c r="BS698" t="s">
        <v>13722</v>
      </c>
      <c r="BT698" t="str">
        <f>HYPERLINK("https%3A%2F%2Fwww.webofscience.com%2Fwos%2Fwoscc%2Ffull-record%2FWOS:000417043600005","View Full Record in Web of Science")</f>
        <v>View Full Record in Web of Science</v>
      </c>
    </row>
    <row r="699" spans="1:72" x14ac:dyDescent="0.15">
      <c r="A699" t="s">
        <v>72</v>
      </c>
      <c r="B699" t="s">
        <v>13723</v>
      </c>
      <c r="C699" t="s">
        <v>74</v>
      </c>
      <c r="D699" t="s">
        <v>74</v>
      </c>
      <c r="E699" t="s">
        <v>74</v>
      </c>
      <c r="F699" t="s">
        <v>13724</v>
      </c>
      <c r="G699" t="s">
        <v>74</v>
      </c>
      <c r="H699" t="s">
        <v>74</v>
      </c>
      <c r="I699" t="s">
        <v>13725</v>
      </c>
      <c r="J699" t="s">
        <v>13726</v>
      </c>
      <c r="K699" t="s">
        <v>74</v>
      </c>
      <c r="L699" t="s">
        <v>74</v>
      </c>
      <c r="M699" t="s">
        <v>78</v>
      </c>
      <c r="N699" t="s">
        <v>79</v>
      </c>
      <c r="O699" t="s">
        <v>74</v>
      </c>
      <c r="P699" t="s">
        <v>74</v>
      </c>
      <c r="Q699" t="s">
        <v>74</v>
      </c>
      <c r="R699" t="s">
        <v>74</v>
      </c>
      <c r="S699" t="s">
        <v>74</v>
      </c>
      <c r="T699" t="s">
        <v>13727</v>
      </c>
      <c r="U699" t="s">
        <v>13728</v>
      </c>
      <c r="V699" t="s">
        <v>13729</v>
      </c>
      <c r="W699" t="s">
        <v>13730</v>
      </c>
      <c r="X699" t="s">
        <v>13731</v>
      </c>
      <c r="Y699" t="s">
        <v>13732</v>
      </c>
      <c r="Z699" t="s">
        <v>13733</v>
      </c>
      <c r="AA699" t="s">
        <v>13734</v>
      </c>
      <c r="AB699" t="s">
        <v>13735</v>
      </c>
      <c r="AC699" t="s">
        <v>74</v>
      </c>
      <c r="AD699" t="s">
        <v>74</v>
      </c>
      <c r="AE699" t="s">
        <v>74</v>
      </c>
      <c r="AF699" t="s">
        <v>74</v>
      </c>
      <c r="AG699">
        <v>57</v>
      </c>
      <c r="AH699">
        <v>1</v>
      </c>
      <c r="AI699">
        <v>1</v>
      </c>
      <c r="AJ699">
        <v>0</v>
      </c>
      <c r="AK699">
        <v>10</v>
      </c>
      <c r="AL699" t="s">
        <v>4270</v>
      </c>
      <c r="AM699" t="s">
        <v>4271</v>
      </c>
      <c r="AN699" t="s">
        <v>4272</v>
      </c>
      <c r="AO699" t="s">
        <v>13736</v>
      </c>
      <c r="AP699" t="s">
        <v>13737</v>
      </c>
      <c r="AQ699" t="s">
        <v>74</v>
      </c>
      <c r="AR699" t="s">
        <v>13726</v>
      </c>
      <c r="AS699" t="s">
        <v>13738</v>
      </c>
      <c r="AT699" t="s">
        <v>12461</v>
      </c>
      <c r="AU699">
        <v>2017</v>
      </c>
      <c r="AV699">
        <v>28</v>
      </c>
      <c r="AW699">
        <v>8</v>
      </c>
      <c r="AX699" t="s">
        <v>74</v>
      </c>
      <c r="AY699" t="s">
        <v>74</v>
      </c>
      <c r="AZ699" t="s">
        <v>74</v>
      </c>
      <c r="BA699" t="s">
        <v>74</v>
      </c>
      <c r="BB699" t="s">
        <v>74</v>
      </c>
      <c r="BC699" t="s">
        <v>74</v>
      </c>
      <c r="BD699" t="s">
        <v>13739</v>
      </c>
      <c r="BE699" t="s">
        <v>13740</v>
      </c>
      <c r="BF699" t="str">
        <f>HYPERLINK("http://dx.doi.org/10.1002/env.2462","http://dx.doi.org/10.1002/env.2462")</f>
        <v>http://dx.doi.org/10.1002/env.2462</v>
      </c>
      <c r="BG699" t="s">
        <v>74</v>
      </c>
      <c r="BH699" t="s">
        <v>74</v>
      </c>
      <c r="BI699">
        <v>12</v>
      </c>
      <c r="BJ699" t="s">
        <v>13741</v>
      </c>
      <c r="BK699" t="s">
        <v>101</v>
      </c>
      <c r="BL699" t="s">
        <v>13742</v>
      </c>
      <c r="BM699" t="s">
        <v>13743</v>
      </c>
      <c r="BN699" t="s">
        <v>74</v>
      </c>
      <c r="BO699" t="s">
        <v>432</v>
      </c>
      <c r="BP699" t="s">
        <v>74</v>
      </c>
      <c r="BQ699" t="s">
        <v>74</v>
      </c>
      <c r="BR699" t="s">
        <v>105</v>
      </c>
      <c r="BS699" t="s">
        <v>13744</v>
      </c>
      <c r="BT699" t="str">
        <f>HYPERLINK("https%3A%2F%2Fwww.webofscience.com%2Fwos%2Fwoscc%2Ffull-record%2FWOS:000417157600001","View Full Record in Web of Science")</f>
        <v>View Full Record in Web of Science</v>
      </c>
    </row>
    <row r="700" spans="1:72" x14ac:dyDescent="0.15">
      <c r="A700" t="s">
        <v>72</v>
      </c>
      <c r="B700" t="s">
        <v>13745</v>
      </c>
      <c r="C700" t="s">
        <v>74</v>
      </c>
      <c r="D700" t="s">
        <v>74</v>
      </c>
      <c r="E700" t="s">
        <v>74</v>
      </c>
      <c r="F700" t="s">
        <v>13746</v>
      </c>
      <c r="G700" t="s">
        <v>74</v>
      </c>
      <c r="H700" t="s">
        <v>74</v>
      </c>
      <c r="I700" t="s">
        <v>13747</v>
      </c>
      <c r="J700" t="s">
        <v>13748</v>
      </c>
      <c r="K700" t="s">
        <v>74</v>
      </c>
      <c r="L700" t="s">
        <v>74</v>
      </c>
      <c r="M700" t="s">
        <v>78</v>
      </c>
      <c r="N700" t="s">
        <v>79</v>
      </c>
      <c r="O700" t="s">
        <v>74</v>
      </c>
      <c r="P700" t="s">
        <v>74</v>
      </c>
      <c r="Q700" t="s">
        <v>74</v>
      </c>
      <c r="R700" t="s">
        <v>74</v>
      </c>
      <c r="S700" t="s">
        <v>74</v>
      </c>
      <c r="T700" t="s">
        <v>74</v>
      </c>
      <c r="U700" t="s">
        <v>13749</v>
      </c>
      <c r="V700" t="s">
        <v>13750</v>
      </c>
      <c r="W700" t="s">
        <v>13751</v>
      </c>
      <c r="X700" t="s">
        <v>13752</v>
      </c>
      <c r="Y700" t="s">
        <v>13753</v>
      </c>
      <c r="Z700" t="s">
        <v>13754</v>
      </c>
      <c r="AA700" t="s">
        <v>13755</v>
      </c>
      <c r="AB700" t="s">
        <v>74</v>
      </c>
      <c r="AC700" t="s">
        <v>74</v>
      </c>
      <c r="AD700" t="s">
        <v>74</v>
      </c>
      <c r="AE700" t="s">
        <v>74</v>
      </c>
      <c r="AF700" t="s">
        <v>74</v>
      </c>
      <c r="AG700">
        <v>98</v>
      </c>
      <c r="AH700">
        <v>3</v>
      </c>
      <c r="AI700">
        <v>3</v>
      </c>
      <c r="AJ700">
        <v>0</v>
      </c>
      <c r="AK700">
        <v>6</v>
      </c>
      <c r="AL700" t="s">
        <v>5110</v>
      </c>
      <c r="AM700" t="s">
        <v>5111</v>
      </c>
      <c r="AN700" t="s">
        <v>5112</v>
      </c>
      <c r="AO700" t="s">
        <v>13756</v>
      </c>
      <c r="AP700" t="s">
        <v>13757</v>
      </c>
      <c r="AQ700" t="s">
        <v>74</v>
      </c>
      <c r="AR700" t="s">
        <v>13758</v>
      </c>
      <c r="AS700" t="s">
        <v>13759</v>
      </c>
      <c r="AT700" t="s">
        <v>12461</v>
      </c>
      <c r="AU700">
        <v>2017</v>
      </c>
      <c r="AV700">
        <v>28</v>
      </c>
      <c r="AW700">
        <v>2</v>
      </c>
      <c r="AX700" t="s">
        <v>74</v>
      </c>
      <c r="AY700" t="s">
        <v>74</v>
      </c>
      <c r="AZ700" t="s">
        <v>74</v>
      </c>
      <c r="BA700" t="s">
        <v>74</v>
      </c>
      <c r="BB700">
        <v>126</v>
      </c>
      <c r="BC700">
        <v>139</v>
      </c>
      <c r="BD700" t="s">
        <v>74</v>
      </c>
      <c r="BE700" t="s">
        <v>13760</v>
      </c>
      <c r="BF700" t="str">
        <f>HYPERLINK("http://dx.doi.org/10.1071/HR17015","http://dx.doi.org/10.1071/HR17015")</f>
        <v>http://dx.doi.org/10.1071/HR17015</v>
      </c>
      <c r="BG700" t="s">
        <v>74</v>
      </c>
      <c r="BH700" t="s">
        <v>74</v>
      </c>
      <c r="BI700">
        <v>14</v>
      </c>
      <c r="BJ700" t="s">
        <v>13761</v>
      </c>
      <c r="BK700" t="s">
        <v>6419</v>
      </c>
      <c r="BL700" t="s">
        <v>13762</v>
      </c>
      <c r="BM700" t="s">
        <v>13763</v>
      </c>
      <c r="BN700" t="s">
        <v>74</v>
      </c>
      <c r="BO700" t="s">
        <v>74</v>
      </c>
      <c r="BP700" t="s">
        <v>74</v>
      </c>
      <c r="BQ700" t="s">
        <v>74</v>
      </c>
      <c r="BR700" t="s">
        <v>105</v>
      </c>
      <c r="BS700" t="s">
        <v>13764</v>
      </c>
      <c r="BT700" t="str">
        <f>HYPERLINK("https%3A%2F%2Fwww.webofscience.com%2Fwos%2Fwoscc%2Ffull-record%2FWOS:000415320000005","View Full Record in Web of Science")</f>
        <v>View Full Record in Web of Science</v>
      </c>
    </row>
    <row r="701" spans="1:72" x14ac:dyDescent="0.15">
      <c r="A701" t="s">
        <v>72</v>
      </c>
      <c r="B701" t="s">
        <v>13765</v>
      </c>
      <c r="C701" t="s">
        <v>74</v>
      </c>
      <c r="D701" t="s">
        <v>74</v>
      </c>
      <c r="E701" t="s">
        <v>74</v>
      </c>
      <c r="F701" t="s">
        <v>13766</v>
      </c>
      <c r="G701" t="s">
        <v>74</v>
      </c>
      <c r="H701" t="s">
        <v>74</v>
      </c>
      <c r="I701" t="s">
        <v>13767</v>
      </c>
      <c r="J701" t="s">
        <v>13768</v>
      </c>
      <c r="K701" t="s">
        <v>74</v>
      </c>
      <c r="L701" t="s">
        <v>74</v>
      </c>
      <c r="M701" t="s">
        <v>78</v>
      </c>
      <c r="N701" t="s">
        <v>79</v>
      </c>
      <c r="O701" t="s">
        <v>74</v>
      </c>
      <c r="P701" t="s">
        <v>74</v>
      </c>
      <c r="Q701" t="s">
        <v>74</v>
      </c>
      <c r="R701" t="s">
        <v>74</v>
      </c>
      <c r="S701" t="s">
        <v>74</v>
      </c>
      <c r="T701" t="s">
        <v>13769</v>
      </c>
      <c r="U701" t="s">
        <v>13770</v>
      </c>
      <c r="V701" t="s">
        <v>13771</v>
      </c>
      <c r="W701" t="s">
        <v>13772</v>
      </c>
      <c r="X701" t="s">
        <v>13773</v>
      </c>
      <c r="Y701" t="s">
        <v>13774</v>
      </c>
      <c r="Z701" t="s">
        <v>13775</v>
      </c>
      <c r="AA701" t="s">
        <v>13776</v>
      </c>
      <c r="AB701" t="s">
        <v>13777</v>
      </c>
      <c r="AC701" t="s">
        <v>13778</v>
      </c>
      <c r="AD701" t="s">
        <v>13779</v>
      </c>
      <c r="AE701" t="s">
        <v>13780</v>
      </c>
      <c r="AF701" t="s">
        <v>74</v>
      </c>
      <c r="AG701">
        <v>22</v>
      </c>
      <c r="AH701">
        <v>5</v>
      </c>
      <c r="AI701">
        <v>5</v>
      </c>
      <c r="AJ701">
        <v>0</v>
      </c>
      <c r="AK701">
        <v>15</v>
      </c>
      <c r="AL701" t="s">
        <v>4270</v>
      </c>
      <c r="AM701" t="s">
        <v>4271</v>
      </c>
      <c r="AN701" t="s">
        <v>4272</v>
      </c>
      <c r="AO701" t="s">
        <v>13781</v>
      </c>
      <c r="AP701" t="s">
        <v>13782</v>
      </c>
      <c r="AQ701" t="s">
        <v>74</v>
      </c>
      <c r="AR701" t="s">
        <v>13783</v>
      </c>
      <c r="AS701" t="s">
        <v>13784</v>
      </c>
      <c r="AT701" t="s">
        <v>12461</v>
      </c>
      <c r="AU701">
        <v>2017</v>
      </c>
      <c r="AV701">
        <v>37</v>
      </c>
      <c r="AW701">
        <v>15</v>
      </c>
      <c r="AX701" t="s">
        <v>74</v>
      </c>
      <c r="AY701" t="s">
        <v>74</v>
      </c>
      <c r="AZ701" t="s">
        <v>74</v>
      </c>
      <c r="BA701" t="s">
        <v>74</v>
      </c>
      <c r="BB701">
        <v>5211</v>
      </c>
      <c r="BC701">
        <v>5216</v>
      </c>
      <c r="BD701" t="s">
        <v>74</v>
      </c>
      <c r="BE701" t="s">
        <v>13785</v>
      </c>
      <c r="BF701" t="str">
        <f>HYPERLINK("http://dx.doi.org/10.1002/joc.5146","http://dx.doi.org/10.1002/joc.5146")</f>
        <v>http://dx.doi.org/10.1002/joc.5146</v>
      </c>
      <c r="BG701" t="s">
        <v>74</v>
      </c>
      <c r="BH701" t="s">
        <v>74</v>
      </c>
      <c r="BI701">
        <v>6</v>
      </c>
      <c r="BJ701" t="s">
        <v>430</v>
      </c>
      <c r="BK701" t="s">
        <v>101</v>
      </c>
      <c r="BL701" t="s">
        <v>430</v>
      </c>
      <c r="BM701" t="s">
        <v>13786</v>
      </c>
      <c r="BN701" t="s">
        <v>74</v>
      </c>
      <c r="BO701" t="s">
        <v>74</v>
      </c>
      <c r="BP701" t="s">
        <v>74</v>
      </c>
      <c r="BQ701" t="s">
        <v>74</v>
      </c>
      <c r="BR701" t="s">
        <v>105</v>
      </c>
      <c r="BS701" t="s">
        <v>13787</v>
      </c>
      <c r="BT701" t="str">
        <f>HYPERLINK("https%3A%2F%2Fwww.webofscience.com%2Fwos%2Fwoscc%2Ffull-record%2FWOS:000416905900019","View Full Record in Web of Science")</f>
        <v>View Full Record in Web of Science</v>
      </c>
    </row>
    <row r="702" spans="1:72" x14ac:dyDescent="0.15">
      <c r="A702" t="s">
        <v>72</v>
      </c>
      <c r="B702" t="s">
        <v>13788</v>
      </c>
      <c r="C702" t="s">
        <v>74</v>
      </c>
      <c r="D702" t="s">
        <v>74</v>
      </c>
      <c r="E702" t="s">
        <v>74</v>
      </c>
      <c r="F702" t="s">
        <v>13789</v>
      </c>
      <c r="G702" t="s">
        <v>74</v>
      </c>
      <c r="H702" t="s">
        <v>74</v>
      </c>
      <c r="I702" t="s">
        <v>13790</v>
      </c>
      <c r="J702" t="s">
        <v>7861</v>
      </c>
      <c r="K702" t="s">
        <v>74</v>
      </c>
      <c r="L702" t="s">
        <v>74</v>
      </c>
      <c r="M702" t="s">
        <v>78</v>
      </c>
      <c r="N702" t="s">
        <v>79</v>
      </c>
      <c r="O702" t="s">
        <v>74</v>
      </c>
      <c r="P702" t="s">
        <v>74</v>
      </c>
      <c r="Q702" t="s">
        <v>74</v>
      </c>
      <c r="R702" t="s">
        <v>74</v>
      </c>
      <c r="S702" t="s">
        <v>74</v>
      </c>
      <c r="T702" t="s">
        <v>74</v>
      </c>
      <c r="U702" t="s">
        <v>13791</v>
      </c>
      <c r="V702" t="s">
        <v>13792</v>
      </c>
      <c r="W702" t="s">
        <v>13793</v>
      </c>
      <c r="X702" t="s">
        <v>13794</v>
      </c>
      <c r="Y702" t="s">
        <v>13795</v>
      </c>
      <c r="Z702" t="s">
        <v>13796</v>
      </c>
      <c r="AA702" t="s">
        <v>13797</v>
      </c>
      <c r="AB702" t="s">
        <v>13798</v>
      </c>
      <c r="AC702" t="s">
        <v>13799</v>
      </c>
      <c r="AD702" t="s">
        <v>13799</v>
      </c>
      <c r="AE702" t="s">
        <v>13800</v>
      </c>
      <c r="AF702" t="s">
        <v>74</v>
      </c>
      <c r="AG702">
        <v>66</v>
      </c>
      <c r="AH702">
        <v>40</v>
      </c>
      <c r="AI702">
        <v>40</v>
      </c>
      <c r="AJ702">
        <v>1</v>
      </c>
      <c r="AK702">
        <v>27</v>
      </c>
      <c r="AL702" t="s">
        <v>4022</v>
      </c>
      <c r="AM702" t="s">
        <v>4023</v>
      </c>
      <c r="AN702" t="s">
        <v>4024</v>
      </c>
      <c r="AO702" t="s">
        <v>7870</v>
      </c>
      <c r="AP702" t="s">
        <v>7871</v>
      </c>
      <c r="AQ702" t="s">
        <v>74</v>
      </c>
      <c r="AR702" t="s">
        <v>7872</v>
      </c>
      <c r="AS702" t="s">
        <v>7873</v>
      </c>
      <c r="AT702" t="s">
        <v>12461</v>
      </c>
      <c r="AU702">
        <v>2017</v>
      </c>
      <c r="AV702">
        <v>30</v>
      </c>
      <c r="AW702">
        <v>23</v>
      </c>
      <c r="AX702" t="s">
        <v>74</v>
      </c>
      <c r="AY702" t="s">
        <v>74</v>
      </c>
      <c r="AZ702" t="s">
        <v>74</v>
      </c>
      <c r="BA702" t="s">
        <v>74</v>
      </c>
      <c r="BB702">
        <v>9555</v>
      </c>
      <c r="BC702">
        <v>9573</v>
      </c>
      <c r="BD702" t="s">
        <v>74</v>
      </c>
      <c r="BE702" t="s">
        <v>13801</v>
      </c>
      <c r="BF702" t="str">
        <f>HYPERLINK("http://dx.doi.org/10.1175/JCLI-D-16-0428.1","http://dx.doi.org/10.1175/JCLI-D-16-0428.1")</f>
        <v>http://dx.doi.org/10.1175/JCLI-D-16-0428.1</v>
      </c>
      <c r="BG702" t="s">
        <v>74</v>
      </c>
      <c r="BH702" t="s">
        <v>74</v>
      </c>
      <c r="BI702">
        <v>19</v>
      </c>
      <c r="BJ702" t="s">
        <v>430</v>
      </c>
      <c r="BK702" t="s">
        <v>101</v>
      </c>
      <c r="BL702" t="s">
        <v>430</v>
      </c>
      <c r="BM702" t="s">
        <v>13802</v>
      </c>
      <c r="BN702" t="s">
        <v>74</v>
      </c>
      <c r="BO702" t="s">
        <v>10510</v>
      </c>
      <c r="BP702" t="s">
        <v>74</v>
      </c>
      <c r="BQ702" t="s">
        <v>74</v>
      </c>
      <c r="BR702" t="s">
        <v>105</v>
      </c>
      <c r="BS702" t="s">
        <v>13803</v>
      </c>
      <c r="BT702" t="str">
        <f>HYPERLINK("https%3A%2F%2Fwww.webofscience.com%2Fwos%2Fwoscc%2Ffull-record%2FWOS:000416489400014","View Full Record in Web of Science")</f>
        <v>View Full Record in Web of Science</v>
      </c>
    </row>
    <row r="703" spans="1:72" x14ac:dyDescent="0.15">
      <c r="A703" t="s">
        <v>72</v>
      </c>
      <c r="B703" t="s">
        <v>13804</v>
      </c>
      <c r="C703" t="s">
        <v>74</v>
      </c>
      <c r="D703" t="s">
        <v>74</v>
      </c>
      <c r="E703" t="s">
        <v>74</v>
      </c>
      <c r="F703" t="s">
        <v>13805</v>
      </c>
      <c r="G703" t="s">
        <v>74</v>
      </c>
      <c r="H703" t="s">
        <v>74</v>
      </c>
      <c r="I703" t="s">
        <v>13806</v>
      </c>
      <c r="J703" t="s">
        <v>5594</v>
      </c>
      <c r="K703" t="s">
        <v>74</v>
      </c>
      <c r="L703" t="s">
        <v>74</v>
      </c>
      <c r="M703" t="s">
        <v>78</v>
      </c>
      <c r="N703" t="s">
        <v>79</v>
      </c>
      <c r="O703" t="s">
        <v>74</v>
      </c>
      <c r="P703" t="s">
        <v>74</v>
      </c>
      <c r="Q703" t="s">
        <v>74</v>
      </c>
      <c r="R703" t="s">
        <v>74</v>
      </c>
      <c r="S703" t="s">
        <v>74</v>
      </c>
      <c r="T703" t="s">
        <v>13807</v>
      </c>
      <c r="U703" t="s">
        <v>13808</v>
      </c>
      <c r="V703" t="s">
        <v>13809</v>
      </c>
      <c r="W703" t="s">
        <v>13810</v>
      </c>
      <c r="X703" t="s">
        <v>13811</v>
      </c>
      <c r="Y703" t="s">
        <v>13812</v>
      </c>
      <c r="Z703" t="s">
        <v>13813</v>
      </c>
      <c r="AA703" t="s">
        <v>13814</v>
      </c>
      <c r="AB703" t="s">
        <v>13815</v>
      </c>
      <c r="AC703" t="s">
        <v>13816</v>
      </c>
      <c r="AD703" t="s">
        <v>13817</v>
      </c>
      <c r="AE703" t="s">
        <v>13818</v>
      </c>
      <c r="AF703" t="s">
        <v>74</v>
      </c>
      <c r="AG703">
        <v>34</v>
      </c>
      <c r="AH703">
        <v>5</v>
      </c>
      <c r="AI703">
        <v>5</v>
      </c>
      <c r="AJ703">
        <v>2</v>
      </c>
      <c r="AK703">
        <v>15</v>
      </c>
      <c r="AL703" t="s">
        <v>5607</v>
      </c>
      <c r="AM703" t="s">
        <v>5608</v>
      </c>
      <c r="AN703" t="s">
        <v>5609</v>
      </c>
      <c r="AO703" t="s">
        <v>5610</v>
      </c>
      <c r="AP703" t="s">
        <v>5611</v>
      </c>
      <c r="AQ703" t="s">
        <v>74</v>
      </c>
      <c r="AR703" t="s">
        <v>5612</v>
      </c>
      <c r="AS703" t="s">
        <v>5613</v>
      </c>
      <c r="AT703" t="s">
        <v>12461</v>
      </c>
      <c r="AU703">
        <v>2017</v>
      </c>
      <c r="AV703">
        <v>38</v>
      </c>
      <c r="AW703">
        <v>4</v>
      </c>
      <c r="AX703" t="s">
        <v>74</v>
      </c>
      <c r="AY703" t="s">
        <v>74</v>
      </c>
      <c r="AZ703" t="s">
        <v>74</v>
      </c>
      <c r="BA703" t="s">
        <v>74</v>
      </c>
      <c r="BB703">
        <v>445</v>
      </c>
      <c r="BC703">
        <v>458</v>
      </c>
      <c r="BD703" t="s">
        <v>74</v>
      </c>
      <c r="BE703" t="s">
        <v>13819</v>
      </c>
      <c r="BF703" t="str">
        <f>HYPERLINK("http://dx.doi.org/10.1515/popore-2017-0022","http://dx.doi.org/10.1515/popore-2017-0022")</f>
        <v>http://dx.doi.org/10.1515/popore-2017-0022</v>
      </c>
      <c r="BG703" t="s">
        <v>74</v>
      </c>
      <c r="BH703" t="s">
        <v>74</v>
      </c>
      <c r="BI703">
        <v>14</v>
      </c>
      <c r="BJ703" t="s">
        <v>157</v>
      </c>
      <c r="BK703" t="s">
        <v>101</v>
      </c>
      <c r="BL703" t="s">
        <v>158</v>
      </c>
      <c r="BM703" t="s">
        <v>13820</v>
      </c>
      <c r="BN703" t="s">
        <v>74</v>
      </c>
      <c r="BO703" t="s">
        <v>5413</v>
      </c>
      <c r="BP703" t="s">
        <v>74</v>
      </c>
      <c r="BQ703" t="s">
        <v>74</v>
      </c>
      <c r="BR703" t="s">
        <v>105</v>
      </c>
      <c r="BS703" t="s">
        <v>13821</v>
      </c>
      <c r="BT703" t="str">
        <f>HYPERLINK("https%3A%2F%2Fwww.webofscience.com%2Fwos%2Fwoscc%2Ffull-record%2FWOS:000416754400002","View Full Record in Web of Science")</f>
        <v>View Full Record in Web of Science</v>
      </c>
    </row>
    <row r="704" spans="1:72" x14ac:dyDescent="0.15">
      <c r="A704" t="s">
        <v>72</v>
      </c>
      <c r="B704" t="s">
        <v>13822</v>
      </c>
      <c r="C704" t="s">
        <v>74</v>
      </c>
      <c r="D704" t="s">
        <v>74</v>
      </c>
      <c r="E704" t="s">
        <v>74</v>
      </c>
      <c r="F704" t="s">
        <v>13823</v>
      </c>
      <c r="G704" t="s">
        <v>74</v>
      </c>
      <c r="H704" t="s">
        <v>74</v>
      </c>
      <c r="I704" t="s">
        <v>13824</v>
      </c>
      <c r="J704" t="s">
        <v>5594</v>
      </c>
      <c r="K704" t="s">
        <v>74</v>
      </c>
      <c r="L704" t="s">
        <v>74</v>
      </c>
      <c r="M704" t="s">
        <v>78</v>
      </c>
      <c r="N704" t="s">
        <v>79</v>
      </c>
      <c r="O704" t="s">
        <v>74</v>
      </c>
      <c r="P704" t="s">
        <v>74</v>
      </c>
      <c r="Q704" t="s">
        <v>74</v>
      </c>
      <c r="R704" t="s">
        <v>74</v>
      </c>
      <c r="S704" t="s">
        <v>74</v>
      </c>
      <c r="T704" t="s">
        <v>13825</v>
      </c>
      <c r="U704" t="s">
        <v>13826</v>
      </c>
      <c r="V704" t="s">
        <v>13827</v>
      </c>
      <c r="W704" t="s">
        <v>13828</v>
      </c>
      <c r="X704" t="s">
        <v>5658</v>
      </c>
      <c r="Y704" t="s">
        <v>13829</v>
      </c>
      <c r="Z704" t="s">
        <v>13830</v>
      </c>
      <c r="AA704" t="s">
        <v>13831</v>
      </c>
      <c r="AB704" t="s">
        <v>13832</v>
      </c>
      <c r="AC704" t="s">
        <v>13833</v>
      </c>
      <c r="AD704" t="s">
        <v>13834</v>
      </c>
      <c r="AE704" t="s">
        <v>13835</v>
      </c>
      <c r="AF704" t="s">
        <v>74</v>
      </c>
      <c r="AG704">
        <v>32</v>
      </c>
      <c r="AH704">
        <v>3</v>
      </c>
      <c r="AI704">
        <v>3</v>
      </c>
      <c r="AJ704">
        <v>1</v>
      </c>
      <c r="AK704">
        <v>4</v>
      </c>
      <c r="AL704" t="s">
        <v>13836</v>
      </c>
      <c r="AM704" t="s">
        <v>5608</v>
      </c>
      <c r="AN704" t="s">
        <v>13837</v>
      </c>
      <c r="AO704" t="s">
        <v>5610</v>
      </c>
      <c r="AP704" t="s">
        <v>5611</v>
      </c>
      <c r="AQ704" t="s">
        <v>74</v>
      </c>
      <c r="AR704" t="s">
        <v>5612</v>
      </c>
      <c r="AS704" t="s">
        <v>5613</v>
      </c>
      <c r="AT704" t="s">
        <v>12461</v>
      </c>
      <c r="AU704">
        <v>2017</v>
      </c>
      <c r="AV704">
        <v>38</v>
      </c>
      <c r="AW704">
        <v>4</v>
      </c>
      <c r="AX704" t="s">
        <v>74</v>
      </c>
      <c r="AY704" t="s">
        <v>74</v>
      </c>
      <c r="AZ704" t="s">
        <v>74</v>
      </c>
      <c r="BA704" t="s">
        <v>74</v>
      </c>
      <c r="BB704">
        <v>485</v>
      </c>
      <c r="BC704">
        <v>491</v>
      </c>
      <c r="BD704" t="s">
        <v>74</v>
      </c>
      <c r="BE704" t="s">
        <v>13838</v>
      </c>
      <c r="BF704" t="str">
        <f>HYPERLINK("http://dx.doi.org/10.1515/popore-2017-0024","http://dx.doi.org/10.1515/popore-2017-0024")</f>
        <v>http://dx.doi.org/10.1515/popore-2017-0024</v>
      </c>
      <c r="BG704" t="s">
        <v>74</v>
      </c>
      <c r="BH704" t="s">
        <v>74</v>
      </c>
      <c r="BI704">
        <v>7</v>
      </c>
      <c r="BJ704" t="s">
        <v>157</v>
      </c>
      <c r="BK704" t="s">
        <v>101</v>
      </c>
      <c r="BL704" t="s">
        <v>158</v>
      </c>
      <c r="BM704" t="s">
        <v>13820</v>
      </c>
      <c r="BN704" t="s">
        <v>74</v>
      </c>
      <c r="BO704" t="s">
        <v>160</v>
      </c>
      <c r="BP704" t="s">
        <v>74</v>
      </c>
      <c r="BQ704" t="s">
        <v>74</v>
      </c>
      <c r="BR704" t="s">
        <v>105</v>
      </c>
      <c r="BS704" t="s">
        <v>13839</v>
      </c>
      <c r="BT704" t="str">
        <f>HYPERLINK("https%3A%2F%2Fwww.webofscience.com%2Fwos%2Fwoscc%2Ffull-record%2FWOS:000416754400004","View Full Record in Web of Science")</f>
        <v>View Full Record in Web of Science</v>
      </c>
    </row>
    <row r="705" spans="1:72" x14ac:dyDescent="0.15">
      <c r="A705" t="s">
        <v>72</v>
      </c>
      <c r="B705" t="s">
        <v>13840</v>
      </c>
      <c r="C705" t="s">
        <v>74</v>
      </c>
      <c r="D705" t="s">
        <v>74</v>
      </c>
      <c r="E705" t="s">
        <v>74</v>
      </c>
      <c r="F705" t="s">
        <v>13841</v>
      </c>
      <c r="G705" t="s">
        <v>74</v>
      </c>
      <c r="H705" t="s">
        <v>74</v>
      </c>
      <c r="I705" t="s">
        <v>13842</v>
      </c>
      <c r="J705" t="s">
        <v>9296</v>
      </c>
      <c r="K705" t="s">
        <v>74</v>
      </c>
      <c r="L705" t="s">
        <v>74</v>
      </c>
      <c r="M705" t="s">
        <v>78</v>
      </c>
      <c r="N705" t="s">
        <v>79</v>
      </c>
      <c r="O705" t="s">
        <v>74</v>
      </c>
      <c r="P705" t="s">
        <v>74</v>
      </c>
      <c r="Q705" t="s">
        <v>74</v>
      </c>
      <c r="R705" t="s">
        <v>74</v>
      </c>
      <c r="S705" t="s">
        <v>74</v>
      </c>
      <c r="T705" t="s">
        <v>13843</v>
      </c>
      <c r="U705" t="s">
        <v>13844</v>
      </c>
      <c r="V705" t="s">
        <v>13845</v>
      </c>
      <c r="W705" t="s">
        <v>13846</v>
      </c>
      <c r="X705" t="s">
        <v>13847</v>
      </c>
      <c r="Y705" t="s">
        <v>13848</v>
      </c>
      <c r="Z705" t="s">
        <v>13849</v>
      </c>
      <c r="AA705" t="s">
        <v>13850</v>
      </c>
      <c r="AB705" t="s">
        <v>13851</v>
      </c>
      <c r="AC705" t="s">
        <v>13852</v>
      </c>
      <c r="AD705" t="s">
        <v>13853</v>
      </c>
      <c r="AE705" t="s">
        <v>13854</v>
      </c>
      <c r="AF705" t="s">
        <v>74</v>
      </c>
      <c r="AG705">
        <v>66</v>
      </c>
      <c r="AH705">
        <v>26</v>
      </c>
      <c r="AI705">
        <v>26</v>
      </c>
      <c r="AJ705">
        <v>0</v>
      </c>
      <c r="AK705">
        <v>15</v>
      </c>
      <c r="AL705" t="s">
        <v>1973</v>
      </c>
      <c r="AM705" t="s">
        <v>1797</v>
      </c>
      <c r="AN705" t="s">
        <v>5588</v>
      </c>
      <c r="AO705" t="s">
        <v>9308</v>
      </c>
      <c r="AP705" t="s">
        <v>9309</v>
      </c>
      <c r="AQ705" t="s">
        <v>74</v>
      </c>
      <c r="AR705" t="s">
        <v>9310</v>
      </c>
      <c r="AS705" t="s">
        <v>9311</v>
      </c>
      <c r="AT705" t="s">
        <v>12461</v>
      </c>
      <c r="AU705">
        <v>2017</v>
      </c>
      <c r="AV705">
        <v>49</v>
      </c>
      <c r="AW705" t="s">
        <v>8012</v>
      </c>
      <c r="AX705" t="s">
        <v>74</v>
      </c>
      <c r="AY705" t="s">
        <v>74</v>
      </c>
      <c r="AZ705" t="s">
        <v>74</v>
      </c>
      <c r="BA705" t="s">
        <v>74</v>
      </c>
      <c r="BB705">
        <v>3887</v>
      </c>
      <c r="BC705">
        <v>3904</v>
      </c>
      <c r="BD705" t="s">
        <v>74</v>
      </c>
      <c r="BE705" t="s">
        <v>13855</v>
      </c>
      <c r="BF705" t="str">
        <f>HYPERLINK("http://dx.doi.org/10.1007/s00382-017-3551-y","http://dx.doi.org/10.1007/s00382-017-3551-y")</f>
        <v>http://dx.doi.org/10.1007/s00382-017-3551-y</v>
      </c>
      <c r="BG705" t="s">
        <v>74</v>
      </c>
      <c r="BH705" t="s">
        <v>74</v>
      </c>
      <c r="BI705">
        <v>18</v>
      </c>
      <c r="BJ705" t="s">
        <v>430</v>
      </c>
      <c r="BK705" t="s">
        <v>101</v>
      </c>
      <c r="BL705" t="s">
        <v>430</v>
      </c>
      <c r="BM705" t="s">
        <v>13856</v>
      </c>
      <c r="BN705" t="s">
        <v>74</v>
      </c>
      <c r="BO705" t="s">
        <v>74</v>
      </c>
      <c r="BP705" t="s">
        <v>74</v>
      </c>
      <c r="BQ705" t="s">
        <v>74</v>
      </c>
      <c r="BR705" t="s">
        <v>105</v>
      </c>
      <c r="BS705" t="s">
        <v>13857</v>
      </c>
      <c r="BT705" t="str">
        <f>HYPERLINK("https%3A%2F%2Fwww.webofscience.com%2Fwos%2Fwoscc%2Ffull-record%2FWOS:000415579000015","View Full Record in Web of Science")</f>
        <v>View Full Record in Web of Science</v>
      </c>
    </row>
    <row r="706" spans="1:72" x14ac:dyDescent="0.15">
      <c r="A706" t="s">
        <v>72</v>
      </c>
      <c r="B706" t="s">
        <v>13858</v>
      </c>
      <c r="C706" t="s">
        <v>74</v>
      </c>
      <c r="D706" t="s">
        <v>74</v>
      </c>
      <c r="E706" t="s">
        <v>74</v>
      </c>
      <c r="F706" t="s">
        <v>13859</v>
      </c>
      <c r="G706" t="s">
        <v>74</v>
      </c>
      <c r="H706" t="s">
        <v>74</v>
      </c>
      <c r="I706" t="s">
        <v>13860</v>
      </c>
      <c r="J706" t="s">
        <v>1216</v>
      </c>
      <c r="K706" t="s">
        <v>74</v>
      </c>
      <c r="L706" t="s">
        <v>74</v>
      </c>
      <c r="M706" t="s">
        <v>78</v>
      </c>
      <c r="N706" t="s">
        <v>79</v>
      </c>
      <c r="O706" t="s">
        <v>74</v>
      </c>
      <c r="P706" t="s">
        <v>74</v>
      </c>
      <c r="Q706" t="s">
        <v>74</v>
      </c>
      <c r="R706" t="s">
        <v>74</v>
      </c>
      <c r="S706" t="s">
        <v>74</v>
      </c>
      <c r="T706" t="s">
        <v>13861</v>
      </c>
      <c r="U706" t="s">
        <v>13862</v>
      </c>
      <c r="V706" t="s">
        <v>13863</v>
      </c>
      <c r="W706" t="s">
        <v>13864</v>
      </c>
      <c r="X706" t="s">
        <v>13865</v>
      </c>
      <c r="Y706" t="s">
        <v>13866</v>
      </c>
      <c r="Z706" t="s">
        <v>13867</v>
      </c>
      <c r="AA706" t="s">
        <v>74</v>
      </c>
      <c r="AB706" t="s">
        <v>74</v>
      </c>
      <c r="AC706" t="s">
        <v>13868</v>
      </c>
      <c r="AD706" t="s">
        <v>13869</v>
      </c>
      <c r="AE706" t="s">
        <v>13870</v>
      </c>
      <c r="AF706" t="s">
        <v>74</v>
      </c>
      <c r="AG706">
        <v>60</v>
      </c>
      <c r="AH706">
        <v>26</v>
      </c>
      <c r="AI706">
        <v>26</v>
      </c>
      <c r="AJ706">
        <v>2</v>
      </c>
      <c r="AK706">
        <v>24</v>
      </c>
      <c r="AL706" t="s">
        <v>1186</v>
      </c>
      <c r="AM706" t="s">
        <v>808</v>
      </c>
      <c r="AN706" t="s">
        <v>13871</v>
      </c>
      <c r="AO706" t="s">
        <v>1228</v>
      </c>
      <c r="AP706" t="s">
        <v>1229</v>
      </c>
      <c r="AQ706" t="s">
        <v>74</v>
      </c>
      <c r="AR706" t="s">
        <v>1230</v>
      </c>
      <c r="AS706" t="s">
        <v>1231</v>
      </c>
      <c r="AT706" t="s">
        <v>12906</v>
      </c>
      <c r="AU706">
        <v>2017</v>
      </c>
      <c r="AV706">
        <v>479</v>
      </c>
      <c r="AW706" t="s">
        <v>74</v>
      </c>
      <c r="AX706" t="s">
        <v>74</v>
      </c>
      <c r="AY706" t="s">
        <v>74</v>
      </c>
      <c r="AZ706" t="s">
        <v>74</v>
      </c>
      <c r="BA706" t="s">
        <v>74</v>
      </c>
      <c r="BB706">
        <v>322</v>
      </c>
      <c r="BC706">
        <v>329</v>
      </c>
      <c r="BD706" t="s">
        <v>74</v>
      </c>
      <c r="BE706" t="s">
        <v>13872</v>
      </c>
      <c r="BF706" t="str">
        <f>HYPERLINK("http://dx.doi.org/10.1016/j.epsl.2017.09.034","http://dx.doi.org/10.1016/j.epsl.2017.09.034")</f>
        <v>http://dx.doi.org/10.1016/j.epsl.2017.09.034</v>
      </c>
      <c r="BG706" t="s">
        <v>74</v>
      </c>
      <c r="BH706" t="s">
        <v>74</v>
      </c>
      <c r="BI706">
        <v>8</v>
      </c>
      <c r="BJ706" t="s">
        <v>1148</v>
      </c>
      <c r="BK706" t="s">
        <v>101</v>
      </c>
      <c r="BL706" t="s">
        <v>1148</v>
      </c>
      <c r="BM706" t="s">
        <v>13873</v>
      </c>
      <c r="BN706" t="s">
        <v>74</v>
      </c>
      <c r="BO706" t="s">
        <v>7534</v>
      </c>
      <c r="BP706" t="s">
        <v>74</v>
      </c>
      <c r="BQ706" t="s">
        <v>74</v>
      </c>
      <c r="BR706" t="s">
        <v>105</v>
      </c>
      <c r="BS706" t="s">
        <v>13874</v>
      </c>
      <c r="BT706" t="str">
        <f>HYPERLINK("https%3A%2F%2Fwww.webofscience.com%2Fwos%2Fwoscc%2Ffull-record%2FWOS:000415778600028","View Full Record in Web of Science")</f>
        <v>View Full Record in Web of Science</v>
      </c>
    </row>
    <row r="707" spans="1:72" x14ac:dyDescent="0.15">
      <c r="A707" t="s">
        <v>72</v>
      </c>
      <c r="B707" t="s">
        <v>13875</v>
      </c>
      <c r="C707" t="s">
        <v>74</v>
      </c>
      <c r="D707" t="s">
        <v>74</v>
      </c>
      <c r="E707" t="s">
        <v>74</v>
      </c>
      <c r="F707" t="s">
        <v>13876</v>
      </c>
      <c r="G707" t="s">
        <v>74</v>
      </c>
      <c r="H707" t="s">
        <v>74</v>
      </c>
      <c r="I707" t="s">
        <v>13877</v>
      </c>
      <c r="J707" t="s">
        <v>8739</v>
      </c>
      <c r="K707" t="s">
        <v>74</v>
      </c>
      <c r="L707" t="s">
        <v>74</v>
      </c>
      <c r="M707" t="s">
        <v>78</v>
      </c>
      <c r="N707" t="s">
        <v>79</v>
      </c>
      <c r="O707" t="s">
        <v>74</v>
      </c>
      <c r="P707" t="s">
        <v>74</v>
      </c>
      <c r="Q707" t="s">
        <v>74</v>
      </c>
      <c r="R707" t="s">
        <v>74</v>
      </c>
      <c r="S707" t="s">
        <v>74</v>
      </c>
      <c r="T707" t="s">
        <v>13878</v>
      </c>
      <c r="U707" t="s">
        <v>13879</v>
      </c>
      <c r="V707" t="s">
        <v>13880</v>
      </c>
      <c r="W707" t="s">
        <v>13881</v>
      </c>
      <c r="X707" t="s">
        <v>13882</v>
      </c>
      <c r="Y707" t="s">
        <v>13883</v>
      </c>
      <c r="Z707" t="s">
        <v>13884</v>
      </c>
      <c r="AA707" t="s">
        <v>13885</v>
      </c>
      <c r="AB707" t="s">
        <v>13886</v>
      </c>
      <c r="AC707" t="s">
        <v>13887</v>
      </c>
      <c r="AD707" t="s">
        <v>13888</v>
      </c>
      <c r="AE707" t="s">
        <v>13889</v>
      </c>
      <c r="AF707" t="s">
        <v>74</v>
      </c>
      <c r="AG707">
        <v>52</v>
      </c>
      <c r="AH707">
        <v>9</v>
      </c>
      <c r="AI707">
        <v>11</v>
      </c>
      <c r="AJ707">
        <v>2</v>
      </c>
      <c r="AK707">
        <v>20</v>
      </c>
      <c r="AL707" t="s">
        <v>8752</v>
      </c>
      <c r="AM707" t="s">
        <v>1140</v>
      </c>
      <c r="AN707" t="s">
        <v>8753</v>
      </c>
      <c r="AO707" t="s">
        <v>8754</v>
      </c>
      <c r="AP707" t="s">
        <v>8755</v>
      </c>
      <c r="AQ707" t="s">
        <v>74</v>
      </c>
      <c r="AR707" t="s">
        <v>8756</v>
      </c>
      <c r="AS707" t="s">
        <v>8757</v>
      </c>
      <c r="AT707" t="s">
        <v>12461</v>
      </c>
      <c r="AU707">
        <v>2017</v>
      </c>
      <c r="AV707">
        <v>121</v>
      </c>
      <c r="AW707">
        <v>12</v>
      </c>
      <c r="AX707" t="s">
        <v>74</v>
      </c>
      <c r="AY707" t="s">
        <v>74</v>
      </c>
      <c r="AZ707" t="s">
        <v>74</v>
      </c>
      <c r="BA707" t="s">
        <v>74</v>
      </c>
      <c r="BB707">
        <v>991</v>
      </c>
      <c r="BC707">
        <v>1000</v>
      </c>
      <c r="BD707" t="s">
        <v>74</v>
      </c>
      <c r="BE707" t="s">
        <v>13890</v>
      </c>
      <c r="BF707" t="str">
        <f>HYPERLINK("http://dx.doi.org/10.1016/j.funbio.2017.09.005","http://dx.doi.org/10.1016/j.funbio.2017.09.005")</f>
        <v>http://dx.doi.org/10.1016/j.funbio.2017.09.005</v>
      </c>
      <c r="BG707" t="s">
        <v>74</v>
      </c>
      <c r="BH707" t="s">
        <v>74</v>
      </c>
      <c r="BI707">
        <v>10</v>
      </c>
      <c r="BJ707" t="s">
        <v>3228</v>
      </c>
      <c r="BK707" t="s">
        <v>101</v>
      </c>
      <c r="BL707" t="s">
        <v>3228</v>
      </c>
      <c r="BM707" t="s">
        <v>13891</v>
      </c>
      <c r="BN707">
        <v>29122179</v>
      </c>
      <c r="BO707" t="s">
        <v>74</v>
      </c>
      <c r="BP707" t="s">
        <v>74</v>
      </c>
      <c r="BQ707" t="s">
        <v>74</v>
      </c>
      <c r="BR707" t="s">
        <v>105</v>
      </c>
      <c r="BS707" t="s">
        <v>13892</v>
      </c>
      <c r="BT707" t="str">
        <f>HYPERLINK("https%3A%2F%2Fwww.webofscience.com%2Fwos%2Fwoscc%2Ffull-record%2FWOS:000416191900001","View Full Record in Web of Science")</f>
        <v>View Full Record in Web of Science</v>
      </c>
    </row>
    <row r="708" spans="1:72" x14ac:dyDescent="0.15">
      <c r="A708" t="s">
        <v>72</v>
      </c>
      <c r="B708" t="s">
        <v>13893</v>
      </c>
      <c r="C708" t="s">
        <v>74</v>
      </c>
      <c r="D708" t="s">
        <v>74</v>
      </c>
      <c r="E708" t="s">
        <v>74</v>
      </c>
      <c r="F708" t="s">
        <v>13894</v>
      </c>
      <c r="G708" t="s">
        <v>74</v>
      </c>
      <c r="H708" t="s">
        <v>74</v>
      </c>
      <c r="I708" t="s">
        <v>13895</v>
      </c>
      <c r="J708" t="s">
        <v>13896</v>
      </c>
      <c r="K708" t="s">
        <v>74</v>
      </c>
      <c r="L708" t="s">
        <v>74</v>
      </c>
      <c r="M708" t="s">
        <v>78</v>
      </c>
      <c r="N708" t="s">
        <v>79</v>
      </c>
      <c r="O708" t="s">
        <v>74</v>
      </c>
      <c r="P708" t="s">
        <v>74</v>
      </c>
      <c r="Q708" t="s">
        <v>74</v>
      </c>
      <c r="R708" t="s">
        <v>74</v>
      </c>
      <c r="S708" t="s">
        <v>74</v>
      </c>
      <c r="T708" t="s">
        <v>13897</v>
      </c>
      <c r="U708" t="s">
        <v>13898</v>
      </c>
      <c r="V708" t="s">
        <v>13899</v>
      </c>
      <c r="W708" t="s">
        <v>13900</v>
      </c>
      <c r="X708" t="s">
        <v>13901</v>
      </c>
      <c r="Y708" t="s">
        <v>13902</v>
      </c>
      <c r="Z708" t="s">
        <v>13903</v>
      </c>
      <c r="AA708" t="s">
        <v>13904</v>
      </c>
      <c r="AB708" t="s">
        <v>13905</v>
      </c>
      <c r="AC708" t="s">
        <v>13906</v>
      </c>
      <c r="AD708" t="s">
        <v>13907</v>
      </c>
      <c r="AE708" t="s">
        <v>13908</v>
      </c>
      <c r="AF708" t="s">
        <v>74</v>
      </c>
      <c r="AG708">
        <v>65</v>
      </c>
      <c r="AH708">
        <v>29</v>
      </c>
      <c r="AI708">
        <v>30</v>
      </c>
      <c r="AJ708">
        <v>0</v>
      </c>
      <c r="AK708">
        <v>22</v>
      </c>
      <c r="AL708" t="s">
        <v>8694</v>
      </c>
      <c r="AM708" t="s">
        <v>1140</v>
      </c>
      <c r="AN708" t="s">
        <v>8695</v>
      </c>
      <c r="AO708" t="s">
        <v>13909</v>
      </c>
      <c r="AP708" t="s">
        <v>13910</v>
      </c>
      <c r="AQ708" t="s">
        <v>74</v>
      </c>
      <c r="AR708" t="s">
        <v>13911</v>
      </c>
      <c r="AS708" t="s">
        <v>13912</v>
      </c>
      <c r="AT708" t="s">
        <v>12461</v>
      </c>
      <c r="AU708">
        <v>2017</v>
      </c>
      <c r="AV708">
        <v>211</v>
      </c>
      <c r="AW708">
        <v>3</v>
      </c>
      <c r="AX708" t="s">
        <v>74</v>
      </c>
      <c r="AY708" t="s">
        <v>74</v>
      </c>
      <c r="AZ708" t="s">
        <v>74</v>
      </c>
      <c r="BA708" t="s">
        <v>74</v>
      </c>
      <c r="BB708">
        <v>1534</v>
      </c>
      <c r="BC708">
        <v>1553</v>
      </c>
      <c r="BD708" t="s">
        <v>74</v>
      </c>
      <c r="BE708" t="s">
        <v>13913</v>
      </c>
      <c r="BF708" t="str">
        <f>HYPERLINK("http://dx.doi.org/10.1093/gji/ggx368","http://dx.doi.org/10.1093/gji/ggx368")</f>
        <v>http://dx.doi.org/10.1093/gji/ggx368</v>
      </c>
      <c r="BG708" t="s">
        <v>74</v>
      </c>
      <c r="BH708" t="s">
        <v>74</v>
      </c>
      <c r="BI708">
        <v>20</v>
      </c>
      <c r="BJ708" t="s">
        <v>1148</v>
      </c>
      <c r="BK708" t="s">
        <v>101</v>
      </c>
      <c r="BL708" t="s">
        <v>1148</v>
      </c>
      <c r="BM708" t="s">
        <v>13914</v>
      </c>
      <c r="BN708" t="s">
        <v>74</v>
      </c>
      <c r="BO708" t="s">
        <v>542</v>
      </c>
      <c r="BP708" t="s">
        <v>74</v>
      </c>
      <c r="BQ708" t="s">
        <v>74</v>
      </c>
      <c r="BR708" t="s">
        <v>105</v>
      </c>
      <c r="BS708" t="s">
        <v>13915</v>
      </c>
      <c r="BT708" t="str">
        <f>HYPERLINK("https%3A%2F%2Fwww.webofscience.com%2Fwos%2Fwoscc%2Ffull-record%2FWOS:000416507600017","View Full Record in Web of Science")</f>
        <v>View Full Record in Web of Science</v>
      </c>
    </row>
    <row r="709" spans="1:72" x14ac:dyDescent="0.15">
      <c r="A709" t="s">
        <v>72</v>
      </c>
      <c r="B709" t="s">
        <v>13916</v>
      </c>
      <c r="C709" t="s">
        <v>74</v>
      </c>
      <c r="D709" t="s">
        <v>74</v>
      </c>
      <c r="E709" t="s">
        <v>74</v>
      </c>
      <c r="F709" t="s">
        <v>13917</v>
      </c>
      <c r="G709" t="s">
        <v>74</v>
      </c>
      <c r="H709" t="s">
        <v>74</v>
      </c>
      <c r="I709" t="s">
        <v>13918</v>
      </c>
      <c r="J709" t="s">
        <v>13919</v>
      </c>
      <c r="K709" t="s">
        <v>74</v>
      </c>
      <c r="L709" t="s">
        <v>74</v>
      </c>
      <c r="M709" t="s">
        <v>78</v>
      </c>
      <c r="N709" t="s">
        <v>79</v>
      </c>
      <c r="O709" t="s">
        <v>74</v>
      </c>
      <c r="P709" t="s">
        <v>74</v>
      </c>
      <c r="Q709" t="s">
        <v>74</v>
      </c>
      <c r="R709" t="s">
        <v>74</v>
      </c>
      <c r="S709" t="s">
        <v>74</v>
      </c>
      <c r="T709" t="s">
        <v>13920</v>
      </c>
      <c r="U709" t="s">
        <v>13921</v>
      </c>
      <c r="V709" t="s">
        <v>13922</v>
      </c>
      <c r="W709" t="s">
        <v>13923</v>
      </c>
      <c r="X709" t="s">
        <v>13924</v>
      </c>
      <c r="Y709" t="s">
        <v>13925</v>
      </c>
      <c r="Z709" t="s">
        <v>13926</v>
      </c>
      <c r="AA709" t="s">
        <v>13927</v>
      </c>
      <c r="AB709" t="s">
        <v>13928</v>
      </c>
      <c r="AC709" t="s">
        <v>13929</v>
      </c>
      <c r="AD709" t="s">
        <v>13929</v>
      </c>
      <c r="AE709" t="s">
        <v>13930</v>
      </c>
      <c r="AF709" t="s">
        <v>74</v>
      </c>
      <c r="AG709">
        <v>46</v>
      </c>
      <c r="AH709">
        <v>9</v>
      </c>
      <c r="AI709">
        <v>9</v>
      </c>
      <c r="AJ709">
        <v>3</v>
      </c>
      <c r="AK709">
        <v>37</v>
      </c>
      <c r="AL709" t="s">
        <v>1973</v>
      </c>
      <c r="AM709" t="s">
        <v>4347</v>
      </c>
      <c r="AN709" t="s">
        <v>4348</v>
      </c>
      <c r="AO709" t="s">
        <v>13931</v>
      </c>
      <c r="AP709" t="s">
        <v>13932</v>
      </c>
      <c r="AQ709" t="s">
        <v>74</v>
      </c>
      <c r="AR709" t="s">
        <v>13933</v>
      </c>
      <c r="AS709" t="s">
        <v>13934</v>
      </c>
      <c r="AT709" t="s">
        <v>12461</v>
      </c>
      <c r="AU709">
        <v>2017</v>
      </c>
      <c r="AV709">
        <v>74</v>
      </c>
      <c r="AW709">
        <v>4</v>
      </c>
      <c r="AX709" t="s">
        <v>74</v>
      </c>
      <c r="AY709" t="s">
        <v>74</v>
      </c>
      <c r="AZ709" t="s">
        <v>74</v>
      </c>
      <c r="BA709" t="s">
        <v>74</v>
      </c>
      <c r="BB709">
        <v>491</v>
      </c>
      <c r="BC709">
        <v>503</v>
      </c>
      <c r="BD709" t="s">
        <v>74</v>
      </c>
      <c r="BE709" t="s">
        <v>13935</v>
      </c>
      <c r="BF709" t="str">
        <f>HYPERLINK("http://dx.doi.org/10.1007/s10874-016-9356-2","http://dx.doi.org/10.1007/s10874-016-9356-2")</f>
        <v>http://dx.doi.org/10.1007/s10874-016-9356-2</v>
      </c>
      <c r="BG709" t="s">
        <v>74</v>
      </c>
      <c r="BH709" t="s">
        <v>74</v>
      </c>
      <c r="BI709">
        <v>13</v>
      </c>
      <c r="BJ709" t="s">
        <v>183</v>
      </c>
      <c r="BK709" t="s">
        <v>101</v>
      </c>
      <c r="BL709" t="s">
        <v>184</v>
      </c>
      <c r="BM709" t="s">
        <v>13936</v>
      </c>
      <c r="BN709" t="s">
        <v>74</v>
      </c>
      <c r="BO709" t="s">
        <v>74</v>
      </c>
      <c r="BP709" t="s">
        <v>74</v>
      </c>
      <c r="BQ709" t="s">
        <v>74</v>
      </c>
      <c r="BR709" t="s">
        <v>105</v>
      </c>
      <c r="BS709" t="s">
        <v>13937</v>
      </c>
      <c r="BT709" t="str">
        <f>HYPERLINK("https%3A%2F%2Fwww.webofscience.com%2Fwos%2Fwoscc%2Ffull-record%2FWOS:000416159800005","View Full Record in Web of Science")</f>
        <v>View Full Record in Web of Science</v>
      </c>
    </row>
    <row r="710" spans="1:72" x14ac:dyDescent="0.15">
      <c r="A710" t="s">
        <v>72</v>
      </c>
      <c r="B710" t="s">
        <v>13938</v>
      </c>
      <c r="C710" t="s">
        <v>74</v>
      </c>
      <c r="D710" t="s">
        <v>74</v>
      </c>
      <c r="E710" t="s">
        <v>74</v>
      </c>
      <c r="F710" t="s">
        <v>13939</v>
      </c>
      <c r="G710" t="s">
        <v>74</v>
      </c>
      <c r="H710" t="s">
        <v>74</v>
      </c>
      <c r="I710" t="s">
        <v>13940</v>
      </c>
      <c r="J710" t="s">
        <v>13941</v>
      </c>
      <c r="K710" t="s">
        <v>74</v>
      </c>
      <c r="L710" t="s">
        <v>74</v>
      </c>
      <c r="M710" t="s">
        <v>78</v>
      </c>
      <c r="N710" t="s">
        <v>79</v>
      </c>
      <c r="O710" t="s">
        <v>74</v>
      </c>
      <c r="P710" t="s">
        <v>74</v>
      </c>
      <c r="Q710" t="s">
        <v>74</v>
      </c>
      <c r="R710" t="s">
        <v>74</v>
      </c>
      <c r="S710" t="s">
        <v>74</v>
      </c>
      <c r="T710" t="s">
        <v>13942</v>
      </c>
      <c r="U710" t="s">
        <v>13943</v>
      </c>
      <c r="V710" t="s">
        <v>13944</v>
      </c>
      <c r="W710" t="s">
        <v>13945</v>
      </c>
      <c r="X710" t="s">
        <v>13946</v>
      </c>
      <c r="Y710" t="s">
        <v>13947</v>
      </c>
      <c r="Z710" t="s">
        <v>13948</v>
      </c>
      <c r="AA710" t="s">
        <v>13949</v>
      </c>
      <c r="AB710" t="s">
        <v>13950</v>
      </c>
      <c r="AC710" t="s">
        <v>13951</v>
      </c>
      <c r="AD710" t="s">
        <v>13951</v>
      </c>
      <c r="AE710" t="s">
        <v>13952</v>
      </c>
      <c r="AF710" t="s">
        <v>74</v>
      </c>
      <c r="AG710">
        <v>65</v>
      </c>
      <c r="AH710">
        <v>10</v>
      </c>
      <c r="AI710">
        <v>10</v>
      </c>
      <c r="AJ710">
        <v>0</v>
      </c>
      <c r="AK710">
        <v>19</v>
      </c>
      <c r="AL710" t="s">
        <v>3149</v>
      </c>
      <c r="AM710" t="s">
        <v>1797</v>
      </c>
      <c r="AN710" t="s">
        <v>3150</v>
      </c>
      <c r="AO710" t="s">
        <v>13953</v>
      </c>
      <c r="AP710" t="s">
        <v>13954</v>
      </c>
      <c r="AQ710" t="s">
        <v>74</v>
      </c>
      <c r="AR710" t="s">
        <v>13955</v>
      </c>
      <c r="AS710" t="s">
        <v>13956</v>
      </c>
      <c r="AT710" t="s">
        <v>12461</v>
      </c>
      <c r="AU710">
        <v>2017</v>
      </c>
      <c r="AV710">
        <v>97</v>
      </c>
      <c r="AW710">
        <v>8</v>
      </c>
      <c r="AX710" t="s">
        <v>74</v>
      </c>
      <c r="AY710" t="s">
        <v>74</v>
      </c>
      <c r="AZ710" t="s">
        <v>74</v>
      </c>
      <c r="BA710" t="s">
        <v>74</v>
      </c>
      <c r="BB710">
        <v>1605</v>
      </c>
      <c r="BC710">
        <v>1616</v>
      </c>
      <c r="BD710" t="s">
        <v>74</v>
      </c>
      <c r="BE710" t="s">
        <v>13957</v>
      </c>
      <c r="BF710" t="str">
        <f>HYPERLINK("http://dx.doi.org/10.1017/S0025315416001004","http://dx.doi.org/10.1017/S0025315416001004")</f>
        <v>http://dx.doi.org/10.1017/S0025315416001004</v>
      </c>
      <c r="BG710" t="s">
        <v>74</v>
      </c>
      <c r="BH710" t="s">
        <v>74</v>
      </c>
      <c r="BI710">
        <v>12</v>
      </c>
      <c r="BJ710" t="s">
        <v>3180</v>
      </c>
      <c r="BK710" t="s">
        <v>101</v>
      </c>
      <c r="BL710" t="s">
        <v>3180</v>
      </c>
      <c r="BM710" t="s">
        <v>13958</v>
      </c>
      <c r="BN710" t="s">
        <v>74</v>
      </c>
      <c r="BO710" t="s">
        <v>74</v>
      </c>
      <c r="BP710" t="s">
        <v>74</v>
      </c>
      <c r="BQ710" t="s">
        <v>74</v>
      </c>
      <c r="BR710" t="s">
        <v>105</v>
      </c>
      <c r="BS710" t="s">
        <v>13959</v>
      </c>
      <c r="BT710" t="str">
        <f>HYPERLINK("https%3A%2F%2Fwww.webofscience.com%2Fwos%2Fwoscc%2Ffull-record%2FWOS:000416022600006","View Full Record in Web of Science")</f>
        <v>View Full Record in Web of Science</v>
      </c>
    </row>
    <row r="711" spans="1:72" x14ac:dyDescent="0.15">
      <c r="A711" t="s">
        <v>72</v>
      </c>
      <c r="B711" t="s">
        <v>13960</v>
      </c>
      <c r="C711" t="s">
        <v>74</v>
      </c>
      <c r="D711" t="s">
        <v>74</v>
      </c>
      <c r="E711" t="s">
        <v>74</v>
      </c>
      <c r="F711" t="s">
        <v>13961</v>
      </c>
      <c r="G711" t="s">
        <v>74</v>
      </c>
      <c r="H711" t="s">
        <v>74</v>
      </c>
      <c r="I711" t="s">
        <v>13962</v>
      </c>
      <c r="J711" t="s">
        <v>13963</v>
      </c>
      <c r="K711" t="s">
        <v>74</v>
      </c>
      <c r="L711" t="s">
        <v>74</v>
      </c>
      <c r="M711" t="s">
        <v>78</v>
      </c>
      <c r="N711" t="s">
        <v>79</v>
      </c>
      <c r="O711" t="s">
        <v>74</v>
      </c>
      <c r="P711" t="s">
        <v>74</v>
      </c>
      <c r="Q711" t="s">
        <v>74</v>
      </c>
      <c r="R711" t="s">
        <v>74</v>
      </c>
      <c r="S711" t="s">
        <v>74</v>
      </c>
      <c r="T711" t="s">
        <v>13964</v>
      </c>
      <c r="U711" t="s">
        <v>13965</v>
      </c>
      <c r="V711" t="s">
        <v>13966</v>
      </c>
      <c r="W711" t="s">
        <v>13967</v>
      </c>
      <c r="X711" t="s">
        <v>13968</v>
      </c>
      <c r="Y711" t="s">
        <v>13969</v>
      </c>
      <c r="Z711" t="s">
        <v>13970</v>
      </c>
      <c r="AA711" t="s">
        <v>13971</v>
      </c>
      <c r="AB711" t="s">
        <v>13972</v>
      </c>
      <c r="AC711" t="s">
        <v>13973</v>
      </c>
      <c r="AD711" t="s">
        <v>13974</v>
      </c>
      <c r="AE711" t="s">
        <v>13975</v>
      </c>
      <c r="AF711" t="s">
        <v>74</v>
      </c>
      <c r="AG711">
        <v>49</v>
      </c>
      <c r="AH711">
        <v>11</v>
      </c>
      <c r="AI711">
        <v>12</v>
      </c>
      <c r="AJ711">
        <v>1</v>
      </c>
      <c r="AK711">
        <v>8</v>
      </c>
      <c r="AL711" t="s">
        <v>1973</v>
      </c>
      <c r="AM711" t="s">
        <v>1797</v>
      </c>
      <c r="AN711" t="s">
        <v>5588</v>
      </c>
      <c r="AO711" t="s">
        <v>13976</v>
      </c>
      <c r="AP711" t="s">
        <v>13977</v>
      </c>
      <c r="AQ711" t="s">
        <v>74</v>
      </c>
      <c r="AR711" t="s">
        <v>13978</v>
      </c>
      <c r="AS711" t="s">
        <v>13979</v>
      </c>
      <c r="AT711" t="s">
        <v>12461</v>
      </c>
      <c r="AU711">
        <v>2017</v>
      </c>
      <c r="AV711">
        <v>30</v>
      </c>
      <c r="AW711">
        <v>6</v>
      </c>
      <c r="AX711" t="s">
        <v>74</v>
      </c>
      <c r="AY711" t="s">
        <v>74</v>
      </c>
      <c r="AZ711" t="s">
        <v>74</v>
      </c>
      <c r="BA711" t="s">
        <v>74</v>
      </c>
      <c r="BB711">
        <v>579</v>
      </c>
      <c r="BC711">
        <v>590</v>
      </c>
      <c r="BD711" t="s">
        <v>74</v>
      </c>
      <c r="BE711" t="s">
        <v>13980</v>
      </c>
      <c r="BF711" t="str">
        <f>HYPERLINK("http://dx.doi.org/10.1007/s10334-017-0642-z","http://dx.doi.org/10.1007/s10334-017-0642-z")</f>
        <v>http://dx.doi.org/10.1007/s10334-017-0642-z</v>
      </c>
      <c r="BG711" t="s">
        <v>74</v>
      </c>
      <c r="BH711" t="s">
        <v>74</v>
      </c>
      <c r="BI711">
        <v>12</v>
      </c>
      <c r="BJ711" t="s">
        <v>13981</v>
      </c>
      <c r="BK711" t="s">
        <v>101</v>
      </c>
      <c r="BL711" t="s">
        <v>13981</v>
      </c>
      <c r="BM711" t="s">
        <v>13982</v>
      </c>
      <c r="BN711">
        <v>28685373</v>
      </c>
      <c r="BO711" t="s">
        <v>432</v>
      </c>
      <c r="BP711" t="s">
        <v>74</v>
      </c>
      <c r="BQ711" t="s">
        <v>74</v>
      </c>
      <c r="BR711" t="s">
        <v>105</v>
      </c>
      <c r="BS711" t="s">
        <v>13983</v>
      </c>
      <c r="BT711" t="str">
        <f>HYPERLINK("https%3A%2F%2Fwww.webofscience.com%2Fwos%2Fwoscc%2Ffull-record%2FWOS:000416258200007","View Full Record in Web of Science")</f>
        <v>View Full Record in Web of Science</v>
      </c>
    </row>
    <row r="712" spans="1:72" x14ac:dyDescent="0.15">
      <c r="A712" t="s">
        <v>72</v>
      </c>
      <c r="B712" t="s">
        <v>13984</v>
      </c>
      <c r="C712" t="s">
        <v>74</v>
      </c>
      <c r="D712" t="s">
        <v>74</v>
      </c>
      <c r="E712" t="s">
        <v>74</v>
      </c>
      <c r="F712" t="s">
        <v>13985</v>
      </c>
      <c r="G712" t="s">
        <v>74</v>
      </c>
      <c r="H712" t="s">
        <v>74</v>
      </c>
      <c r="I712" t="s">
        <v>13986</v>
      </c>
      <c r="J712" t="s">
        <v>13987</v>
      </c>
      <c r="K712" t="s">
        <v>74</v>
      </c>
      <c r="L712" t="s">
        <v>74</v>
      </c>
      <c r="M712" t="s">
        <v>78</v>
      </c>
      <c r="N712" t="s">
        <v>289</v>
      </c>
      <c r="O712" t="s">
        <v>74</v>
      </c>
      <c r="P712" t="s">
        <v>74</v>
      </c>
      <c r="Q712" t="s">
        <v>74</v>
      </c>
      <c r="R712" t="s">
        <v>74</v>
      </c>
      <c r="S712" t="s">
        <v>74</v>
      </c>
      <c r="T712" t="s">
        <v>13988</v>
      </c>
      <c r="U712" t="s">
        <v>13989</v>
      </c>
      <c r="V712" t="s">
        <v>13990</v>
      </c>
      <c r="W712" t="s">
        <v>13991</v>
      </c>
      <c r="X712" t="s">
        <v>13992</v>
      </c>
      <c r="Y712" t="s">
        <v>13993</v>
      </c>
      <c r="Z712" t="s">
        <v>13994</v>
      </c>
      <c r="AA712" t="s">
        <v>13995</v>
      </c>
      <c r="AB712" t="s">
        <v>13996</v>
      </c>
      <c r="AC712" t="s">
        <v>13997</v>
      </c>
      <c r="AD712" t="s">
        <v>13998</v>
      </c>
      <c r="AE712" t="s">
        <v>13999</v>
      </c>
      <c r="AF712" t="s">
        <v>74</v>
      </c>
      <c r="AG712">
        <v>113</v>
      </c>
      <c r="AH712">
        <v>63</v>
      </c>
      <c r="AI712">
        <v>72</v>
      </c>
      <c r="AJ712">
        <v>3</v>
      </c>
      <c r="AK712">
        <v>110</v>
      </c>
      <c r="AL712" t="s">
        <v>1973</v>
      </c>
      <c r="AM712" t="s">
        <v>4347</v>
      </c>
      <c r="AN712" t="s">
        <v>4348</v>
      </c>
      <c r="AO712" t="s">
        <v>14000</v>
      </c>
      <c r="AP712" t="s">
        <v>14001</v>
      </c>
      <c r="AQ712" t="s">
        <v>74</v>
      </c>
      <c r="AR712" t="s">
        <v>13987</v>
      </c>
      <c r="AS712" t="s">
        <v>14002</v>
      </c>
      <c r="AT712" t="s">
        <v>12461</v>
      </c>
      <c r="AU712">
        <v>2017</v>
      </c>
      <c r="AV712">
        <v>46</v>
      </c>
      <c r="AW712" t="s">
        <v>74</v>
      </c>
      <c r="AX712" t="s">
        <v>74</v>
      </c>
      <c r="AY712">
        <v>3</v>
      </c>
      <c r="AZ712" t="s">
        <v>1146</v>
      </c>
      <c r="BA712" t="s">
        <v>74</v>
      </c>
      <c r="BB712">
        <v>423</v>
      </c>
      <c r="BC712">
        <v>441</v>
      </c>
      <c r="BD712" t="s">
        <v>74</v>
      </c>
      <c r="BE712" t="s">
        <v>14003</v>
      </c>
      <c r="BF712" t="str">
        <f>HYPERLINK("http://dx.doi.org/10.1007/s13280-017-0958-y","http://dx.doi.org/10.1007/s13280-017-0958-y")</f>
        <v>http://dx.doi.org/10.1007/s13280-017-0958-y</v>
      </c>
      <c r="BG712" t="s">
        <v>74</v>
      </c>
      <c r="BH712" t="s">
        <v>74</v>
      </c>
      <c r="BI712">
        <v>19</v>
      </c>
      <c r="BJ712" t="s">
        <v>4799</v>
      </c>
      <c r="BK712" t="s">
        <v>101</v>
      </c>
      <c r="BL712" t="s">
        <v>2206</v>
      </c>
      <c r="BM712" t="s">
        <v>14004</v>
      </c>
      <c r="BN712">
        <v>29080011</v>
      </c>
      <c r="BO712" t="s">
        <v>283</v>
      </c>
      <c r="BP712" t="s">
        <v>74</v>
      </c>
      <c r="BQ712" t="s">
        <v>74</v>
      </c>
      <c r="BR712" t="s">
        <v>105</v>
      </c>
      <c r="BS712" t="s">
        <v>14005</v>
      </c>
      <c r="BT712" t="str">
        <f>HYPERLINK("https%3A%2F%2Fwww.webofscience.com%2Fwos%2Fwoscc%2Ffull-record%2FWOS:000415142800008","View Full Record in Web of Science")</f>
        <v>View Full Record in Web of Science</v>
      </c>
    </row>
    <row r="713" spans="1:72" x14ac:dyDescent="0.15">
      <c r="A713" t="s">
        <v>72</v>
      </c>
      <c r="B713" t="s">
        <v>14006</v>
      </c>
      <c r="C713" t="s">
        <v>74</v>
      </c>
      <c r="D713" t="s">
        <v>74</v>
      </c>
      <c r="E713" t="s">
        <v>74</v>
      </c>
      <c r="F713" t="s">
        <v>14007</v>
      </c>
      <c r="G713" t="s">
        <v>74</v>
      </c>
      <c r="H713" t="s">
        <v>74</v>
      </c>
      <c r="I713" t="s">
        <v>14008</v>
      </c>
      <c r="J713" t="s">
        <v>12599</v>
      </c>
      <c r="K713" t="s">
        <v>74</v>
      </c>
      <c r="L713" t="s">
        <v>74</v>
      </c>
      <c r="M713" t="s">
        <v>78</v>
      </c>
      <c r="N713" t="s">
        <v>1644</v>
      </c>
      <c r="O713" t="s">
        <v>74</v>
      </c>
      <c r="P713" t="s">
        <v>74</v>
      </c>
      <c r="Q713" t="s">
        <v>74</v>
      </c>
      <c r="R713" t="s">
        <v>74</v>
      </c>
      <c r="S713" t="s">
        <v>74</v>
      </c>
      <c r="T713" t="s">
        <v>74</v>
      </c>
      <c r="U713" t="s">
        <v>74</v>
      </c>
      <c r="V713" t="s">
        <v>74</v>
      </c>
      <c r="W713" t="s">
        <v>74</v>
      </c>
      <c r="X713" t="s">
        <v>74</v>
      </c>
      <c r="Y713" t="s">
        <v>74</v>
      </c>
      <c r="Z713" t="s">
        <v>74</v>
      </c>
      <c r="AA713" t="s">
        <v>1738</v>
      </c>
      <c r="AB713" t="s">
        <v>7958</v>
      </c>
      <c r="AC713" t="s">
        <v>74</v>
      </c>
      <c r="AD713" t="s">
        <v>74</v>
      </c>
      <c r="AE713" t="s">
        <v>74</v>
      </c>
      <c r="AF713" t="s">
        <v>74</v>
      </c>
      <c r="AG713">
        <v>0</v>
      </c>
      <c r="AH713">
        <v>0</v>
      </c>
      <c r="AI713">
        <v>0</v>
      </c>
      <c r="AJ713">
        <v>0</v>
      </c>
      <c r="AK713">
        <v>2</v>
      </c>
      <c r="AL713" t="s">
        <v>3149</v>
      </c>
      <c r="AM713" t="s">
        <v>1797</v>
      </c>
      <c r="AN713" t="s">
        <v>3150</v>
      </c>
      <c r="AO713" t="s">
        <v>12610</v>
      </c>
      <c r="AP713" t="s">
        <v>12611</v>
      </c>
      <c r="AQ713" t="s">
        <v>74</v>
      </c>
      <c r="AR713" t="s">
        <v>12612</v>
      </c>
      <c r="AS713" t="s">
        <v>12613</v>
      </c>
      <c r="AT713" t="s">
        <v>12461</v>
      </c>
      <c r="AU713">
        <v>2017</v>
      </c>
      <c r="AV713">
        <v>29</v>
      </c>
      <c r="AW713">
        <v>6</v>
      </c>
      <c r="AX713" t="s">
        <v>74</v>
      </c>
      <c r="AY713" t="s">
        <v>74</v>
      </c>
      <c r="AZ713" t="s">
        <v>74</v>
      </c>
      <c r="BA713" t="s">
        <v>74</v>
      </c>
      <c r="BB713">
        <v>485</v>
      </c>
      <c r="BC713">
        <v>485</v>
      </c>
      <c r="BD713" t="s">
        <v>74</v>
      </c>
      <c r="BE713" t="s">
        <v>14009</v>
      </c>
      <c r="BF713" t="str">
        <f>HYPERLINK("http://dx.doi.org/10.1017/S0954102017000426","http://dx.doi.org/10.1017/S0954102017000426")</f>
        <v>http://dx.doi.org/10.1017/S0954102017000426</v>
      </c>
      <c r="BG713" t="s">
        <v>74</v>
      </c>
      <c r="BH713" t="s">
        <v>74</v>
      </c>
      <c r="BI713">
        <v>1</v>
      </c>
      <c r="BJ713" t="s">
        <v>12615</v>
      </c>
      <c r="BK713" t="s">
        <v>101</v>
      </c>
      <c r="BL713" t="s">
        <v>12616</v>
      </c>
      <c r="BM713" t="s">
        <v>12617</v>
      </c>
      <c r="BN713" t="s">
        <v>74</v>
      </c>
      <c r="BO713" t="s">
        <v>104</v>
      </c>
      <c r="BP713" t="s">
        <v>74</v>
      </c>
      <c r="BQ713" t="s">
        <v>74</v>
      </c>
      <c r="BR713" t="s">
        <v>105</v>
      </c>
      <c r="BS713" t="s">
        <v>14010</v>
      </c>
      <c r="BT713" t="str">
        <f>HYPERLINK("https%3A%2F%2Fwww.webofscience.com%2Fwos%2Fwoscc%2Ffull-record%2FWOS:000423172800001","View Full Record in Web of Science")</f>
        <v>View Full Record in Web of Science</v>
      </c>
    </row>
    <row r="714" spans="1:72" x14ac:dyDescent="0.15">
      <c r="A714" t="s">
        <v>72</v>
      </c>
      <c r="B714" t="s">
        <v>14011</v>
      </c>
      <c r="C714" t="s">
        <v>74</v>
      </c>
      <c r="D714" t="s">
        <v>74</v>
      </c>
      <c r="E714" t="s">
        <v>74</v>
      </c>
      <c r="F714" t="s">
        <v>14012</v>
      </c>
      <c r="G714" t="s">
        <v>74</v>
      </c>
      <c r="H714" t="s">
        <v>74</v>
      </c>
      <c r="I714" t="s">
        <v>14013</v>
      </c>
      <c r="J714" t="s">
        <v>12599</v>
      </c>
      <c r="K714" t="s">
        <v>74</v>
      </c>
      <c r="L714" t="s">
        <v>74</v>
      </c>
      <c r="M714" t="s">
        <v>78</v>
      </c>
      <c r="N714" t="s">
        <v>79</v>
      </c>
      <c r="O714" t="s">
        <v>74</v>
      </c>
      <c r="P714" t="s">
        <v>74</v>
      </c>
      <c r="Q714" t="s">
        <v>74</v>
      </c>
      <c r="R714" t="s">
        <v>74</v>
      </c>
      <c r="S714" t="s">
        <v>74</v>
      </c>
      <c r="T714" t="s">
        <v>14014</v>
      </c>
      <c r="U714" t="s">
        <v>14015</v>
      </c>
      <c r="V714" t="s">
        <v>14016</v>
      </c>
      <c r="W714" t="s">
        <v>14017</v>
      </c>
      <c r="X714" t="s">
        <v>14018</v>
      </c>
      <c r="Y714" t="s">
        <v>14019</v>
      </c>
      <c r="Z714" t="s">
        <v>14020</v>
      </c>
      <c r="AA714" t="s">
        <v>74</v>
      </c>
      <c r="AB714" t="s">
        <v>14021</v>
      </c>
      <c r="AC714" t="s">
        <v>74</v>
      </c>
      <c r="AD714" t="s">
        <v>74</v>
      </c>
      <c r="AE714" t="s">
        <v>74</v>
      </c>
      <c r="AF714" t="s">
        <v>74</v>
      </c>
      <c r="AG714">
        <v>46</v>
      </c>
      <c r="AH714">
        <v>8</v>
      </c>
      <c r="AI714">
        <v>8</v>
      </c>
      <c r="AJ714">
        <v>1</v>
      </c>
      <c r="AK714">
        <v>8</v>
      </c>
      <c r="AL714" t="s">
        <v>3149</v>
      </c>
      <c r="AM714" t="s">
        <v>1797</v>
      </c>
      <c r="AN714" t="s">
        <v>3150</v>
      </c>
      <c r="AO714" t="s">
        <v>12610</v>
      </c>
      <c r="AP714" t="s">
        <v>12611</v>
      </c>
      <c r="AQ714" t="s">
        <v>74</v>
      </c>
      <c r="AR714" t="s">
        <v>12612</v>
      </c>
      <c r="AS714" t="s">
        <v>12613</v>
      </c>
      <c r="AT714" t="s">
        <v>12461</v>
      </c>
      <c r="AU714">
        <v>2017</v>
      </c>
      <c r="AV714">
        <v>29</v>
      </c>
      <c r="AW714">
        <v>6</v>
      </c>
      <c r="AX714" t="s">
        <v>74</v>
      </c>
      <c r="AY714" t="s">
        <v>74</v>
      </c>
      <c r="AZ714" t="s">
        <v>74</v>
      </c>
      <c r="BA714" t="s">
        <v>74</v>
      </c>
      <c r="BB714">
        <v>487</v>
      </c>
      <c r="BC714">
        <v>494</v>
      </c>
      <c r="BD714" t="s">
        <v>74</v>
      </c>
      <c r="BE714" t="s">
        <v>14022</v>
      </c>
      <c r="BF714" t="str">
        <f>HYPERLINK("http://dx.doi.org/10.1017/S0954102017000359","http://dx.doi.org/10.1017/S0954102017000359")</f>
        <v>http://dx.doi.org/10.1017/S0954102017000359</v>
      </c>
      <c r="BG714" t="s">
        <v>74</v>
      </c>
      <c r="BH714" t="s">
        <v>74</v>
      </c>
      <c r="BI714">
        <v>8</v>
      </c>
      <c r="BJ714" t="s">
        <v>12615</v>
      </c>
      <c r="BK714" t="s">
        <v>101</v>
      </c>
      <c r="BL714" t="s">
        <v>12616</v>
      </c>
      <c r="BM714" t="s">
        <v>12617</v>
      </c>
      <c r="BN714" t="s">
        <v>74</v>
      </c>
      <c r="BO714" t="s">
        <v>74</v>
      </c>
      <c r="BP714" t="s">
        <v>74</v>
      </c>
      <c r="BQ714" t="s">
        <v>74</v>
      </c>
      <c r="BR714" t="s">
        <v>105</v>
      </c>
      <c r="BS714" t="s">
        <v>14023</v>
      </c>
      <c r="BT714" t="str">
        <f>HYPERLINK("https%3A%2F%2Fwww.webofscience.com%2Fwos%2Fwoscc%2Ffull-record%2FWOS:000423172800002","View Full Record in Web of Science")</f>
        <v>View Full Record in Web of Science</v>
      </c>
    </row>
    <row r="715" spans="1:72" x14ac:dyDescent="0.15">
      <c r="A715" t="s">
        <v>72</v>
      </c>
      <c r="B715" t="s">
        <v>14024</v>
      </c>
      <c r="C715" t="s">
        <v>74</v>
      </c>
      <c r="D715" t="s">
        <v>74</v>
      </c>
      <c r="E715" t="s">
        <v>74</v>
      </c>
      <c r="F715" t="s">
        <v>14025</v>
      </c>
      <c r="G715" t="s">
        <v>74</v>
      </c>
      <c r="H715" t="s">
        <v>74</v>
      </c>
      <c r="I715" t="s">
        <v>14026</v>
      </c>
      <c r="J715" t="s">
        <v>12599</v>
      </c>
      <c r="K715" t="s">
        <v>74</v>
      </c>
      <c r="L715" t="s">
        <v>74</v>
      </c>
      <c r="M715" t="s">
        <v>78</v>
      </c>
      <c r="N715" t="s">
        <v>79</v>
      </c>
      <c r="O715" t="s">
        <v>74</v>
      </c>
      <c r="P715" t="s">
        <v>74</v>
      </c>
      <c r="Q715" t="s">
        <v>74</v>
      </c>
      <c r="R715" t="s">
        <v>74</v>
      </c>
      <c r="S715" t="s">
        <v>74</v>
      </c>
      <c r="T715" t="s">
        <v>14027</v>
      </c>
      <c r="U715" t="s">
        <v>14028</v>
      </c>
      <c r="V715" t="s">
        <v>14029</v>
      </c>
      <c r="W715" t="s">
        <v>14030</v>
      </c>
      <c r="X715" t="s">
        <v>14031</v>
      </c>
      <c r="Y715" t="s">
        <v>14032</v>
      </c>
      <c r="Z715" t="s">
        <v>4264</v>
      </c>
      <c r="AA715" t="s">
        <v>14033</v>
      </c>
      <c r="AB715" t="s">
        <v>14034</v>
      </c>
      <c r="AC715" t="s">
        <v>14035</v>
      </c>
      <c r="AD715" t="s">
        <v>14036</v>
      </c>
      <c r="AE715" t="s">
        <v>14037</v>
      </c>
      <c r="AF715" t="s">
        <v>74</v>
      </c>
      <c r="AG715">
        <v>22</v>
      </c>
      <c r="AH715">
        <v>6</v>
      </c>
      <c r="AI715">
        <v>7</v>
      </c>
      <c r="AJ715">
        <v>5</v>
      </c>
      <c r="AK715">
        <v>14</v>
      </c>
      <c r="AL715" t="s">
        <v>3149</v>
      </c>
      <c r="AM715" t="s">
        <v>1797</v>
      </c>
      <c r="AN715" t="s">
        <v>3150</v>
      </c>
      <c r="AO715" t="s">
        <v>12610</v>
      </c>
      <c r="AP715" t="s">
        <v>12611</v>
      </c>
      <c r="AQ715" t="s">
        <v>74</v>
      </c>
      <c r="AR715" t="s">
        <v>12612</v>
      </c>
      <c r="AS715" t="s">
        <v>12613</v>
      </c>
      <c r="AT715" t="s">
        <v>12461</v>
      </c>
      <c r="AU715">
        <v>2017</v>
      </c>
      <c r="AV715">
        <v>29</v>
      </c>
      <c r="AW715">
        <v>6</v>
      </c>
      <c r="AX715" t="s">
        <v>74</v>
      </c>
      <c r="AY715" t="s">
        <v>74</v>
      </c>
      <c r="AZ715" t="s">
        <v>74</v>
      </c>
      <c r="BA715" t="s">
        <v>74</v>
      </c>
      <c r="BB715">
        <v>495</v>
      </c>
      <c r="BC715">
        <v>498</v>
      </c>
      <c r="BD715" t="s">
        <v>74</v>
      </c>
      <c r="BE715" t="s">
        <v>14038</v>
      </c>
      <c r="BF715" t="str">
        <f>HYPERLINK("http://dx.doi.org/10.1017/S0954102017000207","http://dx.doi.org/10.1017/S0954102017000207")</f>
        <v>http://dx.doi.org/10.1017/S0954102017000207</v>
      </c>
      <c r="BG715" t="s">
        <v>74</v>
      </c>
      <c r="BH715" t="s">
        <v>74</v>
      </c>
      <c r="BI715">
        <v>4</v>
      </c>
      <c r="BJ715" t="s">
        <v>12615</v>
      </c>
      <c r="BK715" t="s">
        <v>101</v>
      </c>
      <c r="BL715" t="s">
        <v>12616</v>
      </c>
      <c r="BM715" t="s">
        <v>12617</v>
      </c>
      <c r="BN715" t="s">
        <v>74</v>
      </c>
      <c r="BO715" t="s">
        <v>74</v>
      </c>
      <c r="BP715" t="s">
        <v>74</v>
      </c>
      <c r="BQ715" t="s">
        <v>74</v>
      </c>
      <c r="BR715" t="s">
        <v>105</v>
      </c>
      <c r="BS715" t="s">
        <v>14039</v>
      </c>
      <c r="BT715" t="str">
        <f>HYPERLINK("https%3A%2F%2Fwww.webofscience.com%2Fwos%2Fwoscc%2Ffull-record%2FWOS:000423172800003","View Full Record in Web of Science")</f>
        <v>View Full Record in Web of Science</v>
      </c>
    </row>
    <row r="716" spans="1:72" x14ac:dyDescent="0.15">
      <c r="A716" t="s">
        <v>72</v>
      </c>
      <c r="B716" t="s">
        <v>14040</v>
      </c>
      <c r="C716" t="s">
        <v>74</v>
      </c>
      <c r="D716" t="s">
        <v>74</v>
      </c>
      <c r="E716" t="s">
        <v>74</v>
      </c>
      <c r="F716" t="s">
        <v>14041</v>
      </c>
      <c r="G716" t="s">
        <v>74</v>
      </c>
      <c r="H716" t="s">
        <v>74</v>
      </c>
      <c r="I716" t="s">
        <v>14042</v>
      </c>
      <c r="J716" t="s">
        <v>12599</v>
      </c>
      <c r="K716" t="s">
        <v>74</v>
      </c>
      <c r="L716" t="s">
        <v>74</v>
      </c>
      <c r="M716" t="s">
        <v>78</v>
      </c>
      <c r="N716" t="s">
        <v>79</v>
      </c>
      <c r="O716" t="s">
        <v>74</v>
      </c>
      <c r="P716" t="s">
        <v>74</v>
      </c>
      <c r="Q716" t="s">
        <v>74</v>
      </c>
      <c r="R716" t="s">
        <v>74</v>
      </c>
      <c r="S716" t="s">
        <v>74</v>
      </c>
      <c r="T716" t="s">
        <v>14043</v>
      </c>
      <c r="U716" t="s">
        <v>14044</v>
      </c>
      <c r="V716" t="s">
        <v>14045</v>
      </c>
      <c r="W716" t="s">
        <v>14046</v>
      </c>
      <c r="X716" t="s">
        <v>14047</v>
      </c>
      <c r="Y716" t="s">
        <v>14048</v>
      </c>
      <c r="Z716" t="s">
        <v>14049</v>
      </c>
      <c r="AA716" t="s">
        <v>74</v>
      </c>
      <c r="AB716" t="s">
        <v>14050</v>
      </c>
      <c r="AC716" t="s">
        <v>14051</v>
      </c>
      <c r="AD716" t="s">
        <v>14052</v>
      </c>
      <c r="AE716" t="s">
        <v>14053</v>
      </c>
      <c r="AF716" t="s">
        <v>74</v>
      </c>
      <c r="AG716">
        <v>70</v>
      </c>
      <c r="AH716">
        <v>9</v>
      </c>
      <c r="AI716">
        <v>10</v>
      </c>
      <c r="AJ716">
        <v>1</v>
      </c>
      <c r="AK716">
        <v>24</v>
      </c>
      <c r="AL716" t="s">
        <v>3149</v>
      </c>
      <c r="AM716" t="s">
        <v>1797</v>
      </c>
      <c r="AN716" t="s">
        <v>3150</v>
      </c>
      <c r="AO716" t="s">
        <v>12610</v>
      </c>
      <c r="AP716" t="s">
        <v>12611</v>
      </c>
      <c r="AQ716" t="s">
        <v>74</v>
      </c>
      <c r="AR716" t="s">
        <v>12612</v>
      </c>
      <c r="AS716" t="s">
        <v>12613</v>
      </c>
      <c r="AT716" t="s">
        <v>12461</v>
      </c>
      <c r="AU716">
        <v>2017</v>
      </c>
      <c r="AV716">
        <v>29</v>
      </c>
      <c r="AW716">
        <v>6</v>
      </c>
      <c r="AX716" t="s">
        <v>74</v>
      </c>
      <c r="AY716" t="s">
        <v>74</v>
      </c>
      <c r="AZ716" t="s">
        <v>74</v>
      </c>
      <c r="BA716" t="s">
        <v>74</v>
      </c>
      <c r="BB716">
        <v>499</v>
      </c>
      <c r="BC716">
        <v>510</v>
      </c>
      <c r="BD716" t="s">
        <v>74</v>
      </c>
      <c r="BE716" t="s">
        <v>14054</v>
      </c>
      <c r="BF716" t="str">
        <f>HYPERLINK("http://dx.doi.org/10.1017/S0954102017000293","http://dx.doi.org/10.1017/S0954102017000293")</f>
        <v>http://dx.doi.org/10.1017/S0954102017000293</v>
      </c>
      <c r="BG716" t="s">
        <v>74</v>
      </c>
      <c r="BH716" t="s">
        <v>74</v>
      </c>
      <c r="BI716">
        <v>12</v>
      </c>
      <c r="BJ716" t="s">
        <v>12615</v>
      </c>
      <c r="BK716" t="s">
        <v>101</v>
      </c>
      <c r="BL716" t="s">
        <v>12616</v>
      </c>
      <c r="BM716" t="s">
        <v>12617</v>
      </c>
      <c r="BN716" t="s">
        <v>74</v>
      </c>
      <c r="BO716" t="s">
        <v>74</v>
      </c>
      <c r="BP716" t="s">
        <v>74</v>
      </c>
      <c r="BQ716" t="s">
        <v>74</v>
      </c>
      <c r="BR716" t="s">
        <v>105</v>
      </c>
      <c r="BS716" t="s">
        <v>14055</v>
      </c>
      <c r="BT716" t="str">
        <f>HYPERLINK("https%3A%2F%2Fwww.webofscience.com%2Fwos%2Fwoscc%2Ffull-record%2FWOS:000423172800004","View Full Record in Web of Science")</f>
        <v>View Full Record in Web of Science</v>
      </c>
    </row>
    <row r="717" spans="1:72" x14ac:dyDescent="0.15">
      <c r="A717" t="s">
        <v>72</v>
      </c>
      <c r="B717" t="s">
        <v>14056</v>
      </c>
      <c r="C717" t="s">
        <v>74</v>
      </c>
      <c r="D717" t="s">
        <v>74</v>
      </c>
      <c r="E717" t="s">
        <v>74</v>
      </c>
      <c r="F717" t="s">
        <v>14057</v>
      </c>
      <c r="G717" t="s">
        <v>74</v>
      </c>
      <c r="H717" t="s">
        <v>74</v>
      </c>
      <c r="I717" t="s">
        <v>14058</v>
      </c>
      <c r="J717" t="s">
        <v>12599</v>
      </c>
      <c r="K717" t="s">
        <v>74</v>
      </c>
      <c r="L717" t="s">
        <v>74</v>
      </c>
      <c r="M717" t="s">
        <v>78</v>
      </c>
      <c r="N717" t="s">
        <v>79</v>
      </c>
      <c r="O717" t="s">
        <v>74</v>
      </c>
      <c r="P717" t="s">
        <v>74</v>
      </c>
      <c r="Q717" t="s">
        <v>74</v>
      </c>
      <c r="R717" t="s">
        <v>74</v>
      </c>
      <c r="S717" t="s">
        <v>74</v>
      </c>
      <c r="T717" t="s">
        <v>14059</v>
      </c>
      <c r="U717" t="s">
        <v>14060</v>
      </c>
      <c r="V717" t="s">
        <v>14061</v>
      </c>
      <c r="W717" t="s">
        <v>14062</v>
      </c>
      <c r="X717" t="s">
        <v>14063</v>
      </c>
      <c r="Y717" t="s">
        <v>14064</v>
      </c>
      <c r="Z717" t="s">
        <v>14065</v>
      </c>
      <c r="AA717" t="s">
        <v>14066</v>
      </c>
      <c r="AB717" t="s">
        <v>14067</v>
      </c>
      <c r="AC717" t="s">
        <v>14068</v>
      </c>
      <c r="AD717" t="s">
        <v>14069</v>
      </c>
      <c r="AE717" t="s">
        <v>14070</v>
      </c>
      <c r="AF717" t="s">
        <v>74</v>
      </c>
      <c r="AG717">
        <v>39</v>
      </c>
      <c r="AH717">
        <v>9</v>
      </c>
      <c r="AI717">
        <v>10</v>
      </c>
      <c r="AJ717">
        <v>2</v>
      </c>
      <c r="AK717">
        <v>17</v>
      </c>
      <c r="AL717" t="s">
        <v>3149</v>
      </c>
      <c r="AM717" t="s">
        <v>1797</v>
      </c>
      <c r="AN717" t="s">
        <v>3150</v>
      </c>
      <c r="AO717" t="s">
        <v>12610</v>
      </c>
      <c r="AP717" t="s">
        <v>12611</v>
      </c>
      <c r="AQ717" t="s">
        <v>74</v>
      </c>
      <c r="AR717" t="s">
        <v>12612</v>
      </c>
      <c r="AS717" t="s">
        <v>12613</v>
      </c>
      <c r="AT717" t="s">
        <v>12461</v>
      </c>
      <c r="AU717">
        <v>2017</v>
      </c>
      <c r="AV717">
        <v>29</v>
      </c>
      <c r="AW717">
        <v>6</v>
      </c>
      <c r="AX717" t="s">
        <v>74</v>
      </c>
      <c r="AY717" t="s">
        <v>74</v>
      </c>
      <c r="AZ717" t="s">
        <v>74</v>
      </c>
      <c r="BA717" t="s">
        <v>74</v>
      </c>
      <c r="BB717">
        <v>531</v>
      </c>
      <c r="BC717">
        <v>543</v>
      </c>
      <c r="BD717" t="s">
        <v>74</v>
      </c>
      <c r="BE717" t="s">
        <v>14071</v>
      </c>
      <c r="BF717" t="str">
        <f>HYPERLINK("http://dx.doi.org/10.1017/S0954102017000256","http://dx.doi.org/10.1017/S0954102017000256")</f>
        <v>http://dx.doi.org/10.1017/S0954102017000256</v>
      </c>
      <c r="BG717" t="s">
        <v>74</v>
      </c>
      <c r="BH717" t="s">
        <v>74</v>
      </c>
      <c r="BI717">
        <v>13</v>
      </c>
      <c r="BJ717" t="s">
        <v>12615</v>
      </c>
      <c r="BK717" t="s">
        <v>101</v>
      </c>
      <c r="BL717" t="s">
        <v>12616</v>
      </c>
      <c r="BM717" t="s">
        <v>12617</v>
      </c>
      <c r="BN717" t="s">
        <v>74</v>
      </c>
      <c r="BO717" t="s">
        <v>74</v>
      </c>
      <c r="BP717" t="s">
        <v>74</v>
      </c>
      <c r="BQ717" t="s">
        <v>74</v>
      </c>
      <c r="BR717" t="s">
        <v>105</v>
      </c>
      <c r="BS717" t="s">
        <v>14072</v>
      </c>
      <c r="BT717" t="str">
        <f>HYPERLINK("https%3A%2F%2Fwww.webofscience.com%2Fwos%2Fwoscc%2Ffull-record%2FWOS:000423172800007","View Full Record in Web of Science")</f>
        <v>View Full Record in Web of Science</v>
      </c>
    </row>
    <row r="718" spans="1:72" x14ac:dyDescent="0.15">
      <c r="A718" t="s">
        <v>72</v>
      </c>
      <c r="B718" t="s">
        <v>14073</v>
      </c>
      <c r="C718" t="s">
        <v>74</v>
      </c>
      <c r="D718" t="s">
        <v>74</v>
      </c>
      <c r="E718" t="s">
        <v>74</v>
      </c>
      <c r="F718" t="s">
        <v>14074</v>
      </c>
      <c r="G718" t="s">
        <v>74</v>
      </c>
      <c r="H718" t="s">
        <v>74</v>
      </c>
      <c r="I718" t="s">
        <v>14075</v>
      </c>
      <c r="J718" t="s">
        <v>12599</v>
      </c>
      <c r="K718" t="s">
        <v>74</v>
      </c>
      <c r="L718" t="s">
        <v>74</v>
      </c>
      <c r="M718" t="s">
        <v>78</v>
      </c>
      <c r="N718" t="s">
        <v>79</v>
      </c>
      <c r="O718" t="s">
        <v>74</v>
      </c>
      <c r="P718" t="s">
        <v>74</v>
      </c>
      <c r="Q718" t="s">
        <v>74</v>
      </c>
      <c r="R718" t="s">
        <v>74</v>
      </c>
      <c r="S718" t="s">
        <v>74</v>
      </c>
      <c r="T718" t="s">
        <v>14076</v>
      </c>
      <c r="U718" t="s">
        <v>14077</v>
      </c>
      <c r="V718" t="s">
        <v>14078</v>
      </c>
      <c r="W718" t="s">
        <v>14079</v>
      </c>
      <c r="X718" t="s">
        <v>14080</v>
      </c>
      <c r="Y718" t="s">
        <v>14081</v>
      </c>
      <c r="Z718" t="s">
        <v>6932</v>
      </c>
      <c r="AA718" t="s">
        <v>14082</v>
      </c>
      <c r="AB718" t="s">
        <v>74</v>
      </c>
      <c r="AC718" t="s">
        <v>14083</v>
      </c>
      <c r="AD718" t="s">
        <v>14084</v>
      </c>
      <c r="AE718" t="s">
        <v>14085</v>
      </c>
      <c r="AF718" t="s">
        <v>74</v>
      </c>
      <c r="AG718">
        <v>24</v>
      </c>
      <c r="AH718">
        <v>3</v>
      </c>
      <c r="AI718">
        <v>3</v>
      </c>
      <c r="AJ718">
        <v>0</v>
      </c>
      <c r="AK718">
        <v>13</v>
      </c>
      <c r="AL718" t="s">
        <v>3149</v>
      </c>
      <c r="AM718" t="s">
        <v>1797</v>
      </c>
      <c r="AN718" t="s">
        <v>3150</v>
      </c>
      <c r="AO718" t="s">
        <v>12610</v>
      </c>
      <c r="AP718" t="s">
        <v>12611</v>
      </c>
      <c r="AQ718" t="s">
        <v>74</v>
      </c>
      <c r="AR718" t="s">
        <v>12612</v>
      </c>
      <c r="AS718" t="s">
        <v>12613</v>
      </c>
      <c r="AT718" t="s">
        <v>12461</v>
      </c>
      <c r="AU718">
        <v>2017</v>
      </c>
      <c r="AV718">
        <v>29</v>
      </c>
      <c r="AW718">
        <v>6</v>
      </c>
      <c r="AX718" t="s">
        <v>74</v>
      </c>
      <c r="AY718" t="s">
        <v>74</v>
      </c>
      <c r="AZ718" t="s">
        <v>74</v>
      </c>
      <c r="BA718" t="s">
        <v>74</v>
      </c>
      <c r="BB718">
        <v>561</v>
      </c>
      <c r="BC718">
        <v>568</v>
      </c>
      <c r="BD718" t="s">
        <v>74</v>
      </c>
      <c r="BE718" t="s">
        <v>14086</v>
      </c>
      <c r="BF718" t="str">
        <f>HYPERLINK("http://dx.doi.org/10.1017/S0954102017000268","http://dx.doi.org/10.1017/S0954102017000268")</f>
        <v>http://dx.doi.org/10.1017/S0954102017000268</v>
      </c>
      <c r="BG718" t="s">
        <v>74</v>
      </c>
      <c r="BH718" t="s">
        <v>74</v>
      </c>
      <c r="BI718">
        <v>8</v>
      </c>
      <c r="BJ718" t="s">
        <v>12615</v>
      </c>
      <c r="BK718" t="s">
        <v>101</v>
      </c>
      <c r="BL718" t="s">
        <v>12616</v>
      </c>
      <c r="BM718" t="s">
        <v>12617</v>
      </c>
      <c r="BN718" t="s">
        <v>74</v>
      </c>
      <c r="BO718" t="s">
        <v>306</v>
      </c>
      <c r="BP718" t="s">
        <v>74</v>
      </c>
      <c r="BQ718" t="s">
        <v>74</v>
      </c>
      <c r="BR718" t="s">
        <v>105</v>
      </c>
      <c r="BS718" t="s">
        <v>14087</v>
      </c>
      <c r="BT718" t="str">
        <f>HYPERLINK("https%3A%2F%2Fwww.webofscience.com%2Fwos%2Fwoscc%2Ffull-record%2FWOS:000423172800010","View Full Record in Web of Science")</f>
        <v>View Full Record in Web of Science</v>
      </c>
    </row>
    <row r="719" spans="1:72" x14ac:dyDescent="0.15">
      <c r="A719" t="s">
        <v>72</v>
      </c>
      <c r="B719" t="s">
        <v>14088</v>
      </c>
      <c r="C719" t="s">
        <v>74</v>
      </c>
      <c r="D719" t="s">
        <v>74</v>
      </c>
      <c r="E719" t="s">
        <v>74</v>
      </c>
      <c r="F719" t="s">
        <v>14089</v>
      </c>
      <c r="G719" t="s">
        <v>74</v>
      </c>
      <c r="H719" t="s">
        <v>74</v>
      </c>
      <c r="I719" t="s">
        <v>14090</v>
      </c>
      <c r="J719" t="s">
        <v>14091</v>
      </c>
      <c r="K719" t="s">
        <v>74</v>
      </c>
      <c r="L719" t="s">
        <v>74</v>
      </c>
      <c r="M719" t="s">
        <v>78</v>
      </c>
      <c r="N719" t="s">
        <v>79</v>
      </c>
      <c r="O719" t="s">
        <v>74</v>
      </c>
      <c r="P719" t="s">
        <v>74</v>
      </c>
      <c r="Q719" t="s">
        <v>74</v>
      </c>
      <c r="R719" t="s">
        <v>74</v>
      </c>
      <c r="S719" t="s">
        <v>74</v>
      </c>
      <c r="T719" t="s">
        <v>14092</v>
      </c>
      <c r="U719" t="s">
        <v>14093</v>
      </c>
      <c r="V719" t="s">
        <v>14094</v>
      </c>
      <c r="W719" t="s">
        <v>14095</v>
      </c>
      <c r="X719" t="s">
        <v>14096</v>
      </c>
      <c r="Y719" t="s">
        <v>14097</v>
      </c>
      <c r="Z719" t="s">
        <v>14098</v>
      </c>
      <c r="AA719" t="s">
        <v>14099</v>
      </c>
      <c r="AB719" t="s">
        <v>14100</v>
      </c>
      <c r="AC719" t="s">
        <v>14101</v>
      </c>
      <c r="AD719" t="s">
        <v>14102</v>
      </c>
      <c r="AE719" t="s">
        <v>14103</v>
      </c>
      <c r="AF719" t="s">
        <v>74</v>
      </c>
      <c r="AG719">
        <v>56</v>
      </c>
      <c r="AH719">
        <v>11</v>
      </c>
      <c r="AI719">
        <v>14</v>
      </c>
      <c r="AJ719">
        <v>2</v>
      </c>
      <c r="AK719">
        <v>36</v>
      </c>
      <c r="AL719" t="s">
        <v>4270</v>
      </c>
      <c r="AM719" t="s">
        <v>4271</v>
      </c>
      <c r="AN719" t="s">
        <v>4272</v>
      </c>
      <c r="AO719" t="s">
        <v>14104</v>
      </c>
      <c r="AP719" t="s">
        <v>14105</v>
      </c>
      <c r="AQ719" t="s">
        <v>74</v>
      </c>
      <c r="AR719" t="s">
        <v>14106</v>
      </c>
      <c r="AS719" t="s">
        <v>14107</v>
      </c>
      <c r="AT719" t="s">
        <v>12461</v>
      </c>
      <c r="AU719">
        <v>2017</v>
      </c>
      <c r="AV719">
        <v>23</v>
      </c>
      <c r="AW719">
        <v>6</v>
      </c>
      <c r="AX719" t="s">
        <v>74</v>
      </c>
      <c r="AY719" t="s">
        <v>74</v>
      </c>
      <c r="AZ719" t="s">
        <v>74</v>
      </c>
      <c r="BA719" t="s">
        <v>74</v>
      </c>
      <c r="BB719">
        <v>1287</v>
      </c>
      <c r="BC719">
        <v>1295</v>
      </c>
      <c r="BD719" t="s">
        <v>74</v>
      </c>
      <c r="BE719" t="s">
        <v>14108</v>
      </c>
      <c r="BF719" t="str">
        <f>HYPERLINK("http://dx.doi.org/10.1111/anu.12503","http://dx.doi.org/10.1111/anu.12503")</f>
        <v>http://dx.doi.org/10.1111/anu.12503</v>
      </c>
      <c r="BG719" t="s">
        <v>74</v>
      </c>
      <c r="BH719" t="s">
        <v>74</v>
      </c>
      <c r="BI719">
        <v>9</v>
      </c>
      <c r="BJ719" t="s">
        <v>6350</v>
      </c>
      <c r="BK719" t="s">
        <v>101</v>
      </c>
      <c r="BL719" t="s">
        <v>6350</v>
      </c>
      <c r="BM719" t="s">
        <v>14109</v>
      </c>
      <c r="BN719" t="s">
        <v>74</v>
      </c>
      <c r="BO719" t="s">
        <v>160</v>
      </c>
      <c r="BP719" t="s">
        <v>74</v>
      </c>
      <c r="BQ719" t="s">
        <v>74</v>
      </c>
      <c r="BR719" t="s">
        <v>105</v>
      </c>
      <c r="BS719" t="s">
        <v>14110</v>
      </c>
      <c r="BT719" t="str">
        <f>HYPERLINK("https%3A%2F%2Fwww.webofscience.com%2Fwos%2Fwoscc%2Ffull-record%2FWOS:000414979400010","View Full Record in Web of Science")</f>
        <v>View Full Record in Web of Science</v>
      </c>
    </row>
    <row r="720" spans="1:72" x14ac:dyDescent="0.15">
      <c r="A720" t="s">
        <v>72</v>
      </c>
      <c r="B720" t="s">
        <v>14111</v>
      </c>
      <c r="C720" t="s">
        <v>74</v>
      </c>
      <c r="D720" t="s">
        <v>74</v>
      </c>
      <c r="E720" t="s">
        <v>74</v>
      </c>
      <c r="F720" t="s">
        <v>14112</v>
      </c>
      <c r="G720" t="s">
        <v>74</v>
      </c>
      <c r="H720" t="s">
        <v>74</v>
      </c>
      <c r="I720" t="s">
        <v>14113</v>
      </c>
      <c r="J720" t="s">
        <v>14114</v>
      </c>
      <c r="K720" t="s">
        <v>74</v>
      </c>
      <c r="L720" t="s">
        <v>74</v>
      </c>
      <c r="M720" t="s">
        <v>78</v>
      </c>
      <c r="N720" t="s">
        <v>79</v>
      </c>
      <c r="O720" t="s">
        <v>74</v>
      </c>
      <c r="P720" t="s">
        <v>74</v>
      </c>
      <c r="Q720" t="s">
        <v>74</v>
      </c>
      <c r="R720" t="s">
        <v>74</v>
      </c>
      <c r="S720" t="s">
        <v>74</v>
      </c>
      <c r="T720" t="s">
        <v>14115</v>
      </c>
      <c r="U720" t="s">
        <v>14116</v>
      </c>
      <c r="V720" t="s">
        <v>14117</v>
      </c>
      <c r="W720" t="s">
        <v>14118</v>
      </c>
      <c r="X720" t="s">
        <v>14119</v>
      </c>
      <c r="Y720" t="s">
        <v>14120</v>
      </c>
      <c r="Z720" t="s">
        <v>14121</v>
      </c>
      <c r="AA720" t="s">
        <v>14122</v>
      </c>
      <c r="AB720" t="s">
        <v>74</v>
      </c>
      <c r="AC720" t="s">
        <v>14123</v>
      </c>
      <c r="AD720" t="s">
        <v>14124</v>
      </c>
      <c r="AE720" t="s">
        <v>14125</v>
      </c>
      <c r="AF720" t="s">
        <v>74</v>
      </c>
      <c r="AG720">
        <v>48</v>
      </c>
      <c r="AH720">
        <v>9</v>
      </c>
      <c r="AI720">
        <v>10</v>
      </c>
      <c r="AJ720">
        <v>2</v>
      </c>
      <c r="AK720">
        <v>29</v>
      </c>
      <c r="AL720" t="s">
        <v>3417</v>
      </c>
      <c r="AM720" t="s">
        <v>3418</v>
      </c>
      <c r="AN720" t="s">
        <v>3419</v>
      </c>
      <c r="AO720" t="s">
        <v>14126</v>
      </c>
      <c r="AP720" t="s">
        <v>74</v>
      </c>
      <c r="AQ720" t="s">
        <v>74</v>
      </c>
      <c r="AR720" t="s">
        <v>14127</v>
      </c>
      <c r="AS720" t="s">
        <v>14128</v>
      </c>
      <c r="AT720" t="s">
        <v>12461</v>
      </c>
      <c r="AU720">
        <v>2017</v>
      </c>
      <c r="AV720">
        <v>12</v>
      </c>
      <c r="AW720">
        <v>2</v>
      </c>
      <c r="AX720" t="s">
        <v>74</v>
      </c>
      <c r="AY720" t="s">
        <v>74</v>
      </c>
      <c r="AZ720" t="s">
        <v>74</v>
      </c>
      <c r="BA720" t="s">
        <v>74</v>
      </c>
      <c r="BB720" t="s">
        <v>74</v>
      </c>
      <c r="BC720" t="s">
        <v>74</v>
      </c>
      <c r="BD720">
        <v>20</v>
      </c>
      <c r="BE720" t="s">
        <v>14129</v>
      </c>
      <c r="BF720" t="str">
        <f>HYPERLINK("http://dx.doi.org/10.5751/ACE-01086-120220","http://dx.doi.org/10.5751/ACE-01086-120220")</f>
        <v>http://dx.doi.org/10.5751/ACE-01086-120220</v>
      </c>
      <c r="BG720" t="s">
        <v>74</v>
      </c>
      <c r="BH720" t="s">
        <v>74</v>
      </c>
      <c r="BI720">
        <v>12</v>
      </c>
      <c r="BJ720" t="s">
        <v>14130</v>
      </c>
      <c r="BK720" t="s">
        <v>101</v>
      </c>
      <c r="BL720" t="s">
        <v>8015</v>
      </c>
      <c r="BM720" t="s">
        <v>14131</v>
      </c>
      <c r="BN720" t="s">
        <v>74</v>
      </c>
      <c r="BO720" t="s">
        <v>212</v>
      </c>
      <c r="BP720" t="s">
        <v>74</v>
      </c>
      <c r="BQ720" t="s">
        <v>74</v>
      </c>
      <c r="BR720" t="s">
        <v>105</v>
      </c>
      <c r="BS720" t="s">
        <v>14132</v>
      </c>
      <c r="BT720" t="str">
        <f>HYPERLINK("https%3A%2F%2Fwww.webofscience.com%2Fwos%2Fwoscc%2Ffull-record%2FWOS:000419347000011","View Full Record in Web of Science")</f>
        <v>View Full Record in Web of Science</v>
      </c>
    </row>
    <row r="721" spans="1:72" x14ac:dyDescent="0.15">
      <c r="A721" t="s">
        <v>72</v>
      </c>
      <c r="B721" t="s">
        <v>14133</v>
      </c>
      <c r="C721" t="s">
        <v>74</v>
      </c>
      <c r="D721" t="s">
        <v>74</v>
      </c>
      <c r="E721" t="s">
        <v>74</v>
      </c>
      <c r="F721" t="s">
        <v>14134</v>
      </c>
      <c r="G721" t="s">
        <v>74</v>
      </c>
      <c r="H721" t="s">
        <v>74</v>
      </c>
      <c r="I721" t="s">
        <v>14135</v>
      </c>
      <c r="J721" t="s">
        <v>14136</v>
      </c>
      <c r="K721" t="s">
        <v>74</v>
      </c>
      <c r="L721" t="s">
        <v>74</v>
      </c>
      <c r="M721" t="s">
        <v>78</v>
      </c>
      <c r="N721" t="s">
        <v>79</v>
      </c>
      <c r="O721" t="s">
        <v>74</v>
      </c>
      <c r="P721" t="s">
        <v>74</v>
      </c>
      <c r="Q721" t="s">
        <v>74</v>
      </c>
      <c r="R721" t="s">
        <v>74</v>
      </c>
      <c r="S721" t="s">
        <v>74</v>
      </c>
      <c r="T721" t="s">
        <v>74</v>
      </c>
      <c r="U721" t="s">
        <v>14137</v>
      </c>
      <c r="V721" t="s">
        <v>14138</v>
      </c>
      <c r="W721" t="s">
        <v>14139</v>
      </c>
      <c r="X721" t="s">
        <v>14140</v>
      </c>
      <c r="Y721" t="s">
        <v>14141</v>
      </c>
      <c r="Z721" t="s">
        <v>14142</v>
      </c>
      <c r="AA721" t="s">
        <v>74</v>
      </c>
      <c r="AB721" t="s">
        <v>14143</v>
      </c>
      <c r="AC721" t="s">
        <v>14144</v>
      </c>
      <c r="AD721" t="s">
        <v>14145</v>
      </c>
      <c r="AE721" t="s">
        <v>14146</v>
      </c>
      <c r="AF721" t="s">
        <v>74</v>
      </c>
      <c r="AG721">
        <v>97</v>
      </c>
      <c r="AH721">
        <v>48</v>
      </c>
      <c r="AI721">
        <v>54</v>
      </c>
      <c r="AJ721">
        <v>0</v>
      </c>
      <c r="AK721">
        <v>15</v>
      </c>
      <c r="AL721" t="s">
        <v>4270</v>
      </c>
      <c r="AM721" t="s">
        <v>4271</v>
      </c>
      <c r="AN721" t="s">
        <v>4272</v>
      </c>
      <c r="AO721" t="s">
        <v>14147</v>
      </c>
      <c r="AP721" t="s">
        <v>14148</v>
      </c>
      <c r="AQ721" t="s">
        <v>74</v>
      </c>
      <c r="AR721" t="s">
        <v>14149</v>
      </c>
      <c r="AS721" t="s">
        <v>14150</v>
      </c>
      <c r="AT721" t="s">
        <v>12461</v>
      </c>
      <c r="AU721">
        <v>2017</v>
      </c>
      <c r="AV721">
        <v>29</v>
      </c>
      <c r="AW721">
        <v>6</v>
      </c>
      <c r="AX721" t="s">
        <v>74</v>
      </c>
      <c r="AY721" t="s">
        <v>74</v>
      </c>
      <c r="AZ721" t="s">
        <v>74</v>
      </c>
      <c r="BA721" t="s">
        <v>74</v>
      </c>
      <c r="BB721">
        <v>725</v>
      </c>
      <c r="BC721">
        <v>746</v>
      </c>
      <c r="BD721" t="s">
        <v>74</v>
      </c>
      <c r="BE721" t="s">
        <v>14151</v>
      </c>
      <c r="BF721" t="str">
        <f>HYPERLINK("http://dx.doi.org/10.1111/bre.12198","http://dx.doi.org/10.1111/bre.12198")</f>
        <v>http://dx.doi.org/10.1111/bre.12198</v>
      </c>
      <c r="BG721" t="s">
        <v>74</v>
      </c>
      <c r="BH721" t="s">
        <v>74</v>
      </c>
      <c r="BI721">
        <v>22</v>
      </c>
      <c r="BJ721" t="s">
        <v>280</v>
      </c>
      <c r="BK721" t="s">
        <v>101</v>
      </c>
      <c r="BL721" t="s">
        <v>281</v>
      </c>
      <c r="BM721" t="s">
        <v>14152</v>
      </c>
      <c r="BN721" t="s">
        <v>74</v>
      </c>
      <c r="BO721" t="s">
        <v>74</v>
      </c>
      <c r="BP721" t="s">
        <v>74</v>
      </c>
      <c r="BQ721" t="s">
        <v>74</v>
      </c>
      <c r="BR721" t="s">
        <v>105</v>
      </c>
      <c r="BS721" t="s">
        <v>14153</v>
      </c>
      <c r="BT721" t="str">
        <f>HYPERLINK("https%3A%2F%2Fwww.webofscience.com%2Fwos%2Fwoscc%2Ffull-record%2FWOS:000414340400002","View Full Record in Web of Science")</f>
        <v>View Full Record in Web of Science</v>
      </c>
    </row>
    <row r="722" spans="1:72" x14ac:dyDescent="0.15">
      <c r="A722" t="s">
        <v>72</v>
      </c>
      <c r="B722" t="s">
        <v>14154</v>
      </c>
      <c r="C722" t="s">
        <v>74</v>
      </c>
      <c r="D722" t="s">
        <v>74</v>
      </c>
      <c r="E722" t="s">
        <v>74</v>
      </c>
      <c r="F722" t="s">
        <v>14155</v>
      </c>
      <c r="G722" t="s">
        <v>74</v>
      </c>
      <c r="H722" t="s">
        <v>74</v>
      </c>
      <c r="I722" t="s">
        <v>14156</v>
      </c>
      <c r="J722" t="s">
        <v>14157</v>
      </c>
      <c r="K722" t="s">
        <v>74</v>
      </c>
      <c r="L722" t="s">
        <v>74</v>
      </c>
      <c r="M722" t="s">
        <v>78</v>
      </c>
      <c r="N722" t="s">
        <v>79</v>
      </c>
      <c r="O722" t="s">
        <v>74</v>
      </c>
      <c r="P722" t="s">
        <v>74</v>
      </c>
      <c r="Q722" t="s">
        <v>74</v>
      </c>
      <c r="R722" t="s">
        <v>74</v>
      </c>
      <c r="S722" t="s">
        <v>74</v>
      </c>
      <c r="T722" t="s">
        <v>14158</v>
      </c>
      <c r="U722" t="s">
        <v>14159</v>
      </c>
      <c r="V722" t="s">
        <v>14160</v>
      </c>
      <c r="W722" t="s">
        <v>14161</v>
      </c>
      <c r="X722" t="s">
        <v>14162</v>
      </c>
      <c r="Y722" t="s">
        <v>14163</v>
      </c>
      <c r="Z722" t="s">
        <v>14164</v>
      </c>
      <c r="AA722" t="s">
        <v>14165</v>
      </c>
      <c r="AB722" t="s">
        <v>14166</v>
      </c>
      <c r="AC722" t="s">
        <v>14167</v>
      </c>
      <c r="AD722" t="s">
        <v>14168</v>
      </c>
      <c r="AE722" t="s">
        <v>14169</v>
      </c>
      <c r="AF722" t="s">
        <v>74</v>
      </c>
      <c r="AG722">
        <v>84</v>
      </c>
      <c r="AH722">
        <v>19</v>
      </c>
      <c r="AI722">
        <v>19</v>
      </c>
      <c r="AJ722">
        <v>0</v>
      </c>
      <c r="AK722">
        <v>35</v>
      </c>
      <c r="AL722" t="s">
        <v>8694</v>
      </c>
      <c r="AM722" t="s">
        <v>1140</v>
      </c>
      <c r="AN722" t="s">
        <v>8695</v>
      </c>
      <c r="AO722" t="s">
        <v>14170</v>
      </c>
      <c r="AP722" t="s">
        <v>14171</v>
      </c>
      <c r="AQ722" t="s">
        <v>74</v>
      </c>
      <c r="AR722" t="s">
        <v>14172</v>
      </c>
      <c r="AS722" t="s">
        <v>14173</v>
      </c>
      <c r="AT722" t="s">
        <v>12461</v>
      </c>
      <c r="AU722">
        <v>2017</v>
      </c>
      <c r="AV722">
        <v>185</v>
      </c>
      <c r="AW722">
        <v>4</v>
      </c>
      <c r="AX722" t="s">
        <v>74</v>
      </c>
      <c r="AY722" t="s">
        <v>74</v>
      </c>
      <c r="AZ722" t="s">
        <v>74</v>
      </c>
      <c r="BA722" t="s">
        <v>74</v>
      </c>
      <c r="BB722">
        <v>511</v>
      </c>
      <c r="BC722">
        <v>524</v>
      </c>
      <c r="BD722" t="s">
        <v>74</v>
      </c>
      <c r="BE722" t="s">
        <v>14174</v>
      </c>
      <c r="BF722" t="str">
        <f>HYPERLINK("http://dx.doi.org/10.1093/botlinnean/box070","http://dx.doi.org/10.1093/botlinnean/box070")</f>
        <v>http://dx.doi.org/10.1093/botlinnean/box070</v>
      </c>
      <c r="BG722" t="s">
        <v>74</v>
      </c>
      <c r="BH722" t="s">
        <v>74</v>
      </c>
      <c r="BI722">
        <v>14</v>
      </c>
      <c r="BJ722" t="s">
        <v>492</v>
      </c>
      <c r="BK722" t="s">
        <v>101</v>
      </c>
      <c r="BL722" t="s">
        <v>492</v>
      </c>
      <c r="BM722" t="s">
        <v>14175</v>
      </c>
      <c r="BN722" t="s">
        <v>74</v>
      </c>
      <c r="BO722" t="s">
        <v>74</v>
      </c>
      <c r="BP722" t="s">
        <v>74</v>
      </c>
      <c r="BQ722" t="s">
        <v>74</v>
      </c>
      <c r="BR722" t="s">
        <v>105</v>
      </c>
      <c r="BS722" t="s">
        <v>14176</v>
      </c>
      <c r="BT722" t="str">
        <f>HYPERLINK("https%3A%2F%2Fwww.webofscience.com%2Fwos%2Fwoscc%2Ffull-record%2FWOS:000423242900005","View Full Record in Web of Science")</f>
        <v>View Full Record in Web of Science</v>
      </c>
    </row>
    <row r="723" spans="1:72" x14ac:dyDescent="0.15">
      <c r="A723" t="s">
        <v>72</v>
      </c>
      <c r="B723" t="s">
        <v>14177</v>
      </c>
      <c r="C723" t="s">
        <v>74</v>
      </c>
      <c r="D723" t="s">
        <v>74</v>
      </c>
      <c r="E723" t="s">
        <v>74</v>
      </c>
      <c r="F723" t="s">
        <v>14178</v>
      </c>
      <c r="G723" t="s">
        <v>74</v>
      </c>
      <c r="H723" t="s">
        <v>74</v>
      </c>
      <c r="I723" t="s">
        <v>14179</v>
      </c>
      <c r="J723" t="s">
        <v>9296</v>
      </c>
      <c r="K723" t="s">
        <v>74</v>
      </c>
      <c r="L723" t="s">
        <v>74</v>
      </c>
      <c r="M723" t="s">
        <v>78</v>
      </c>
      <c r="N723" t="s">
        <v>79</v>
      </c>
      <c r="O723" t="s">
        <v>74</v>
      </c>
      <c r="P723" t="s">
        <v>74</v>
      </c>
      <c r="Q723" t="s">
        <v>74</v>
      </c>
      <c r="R723" t="s">
        <v>74</v>
      </c>
      <c r="S723" t="s">
        <v>74</v>
      </c>
      <c r="T723" t="s">
        <v>14180</v>
      </c>
      <c r="U723" t="s">
        <v>14181</v>
      </c>
      <c r="V723" t="s">
        <v>14182</v>
      </c>
      <c r="W723" t="s">
        <v>14183</v>
      </c>
      <c r="X723" t="s">
        <v>14184</v>
      </c>
      <c r="Y723" t="s">
        <v>14185</v>
      </c>
      <c r="Z723" t="s">
        <v>14186</v>
      </c>
      <c r="AA723" t="s">
        <v>14187</v>
      </c>
      <c r="AB723" t="s">
        <v>14188</v>
      </c>
      <c r="AC723" t="s">
        <v>14189</v>
      </c>
      <c r="AD723" t="s">
        <v>14190</v>
      </c>
      <c r="AE723" t="s">
        <v>14191</v>
      </c>
      <c r="AF723" t="s">
        <v>74</v>
      </c>
      <c r="AG723">
        <v>88</v>
      </c>
      <c r="AH723">
        <v>6</v>
      </c>
      <c r="AI723">
        <v>6</v>
      </c>
      <c r="AJ723">
        <v>0</v>
      </c>
      <c r="AK723">
        <v>19</v>
      </c>
      <c r="AL723" t="s">
        <v>1973</v>
      </c>
      <c r="AM723" t="s">
        <v>1797</v>
      </c>
      <c r="AN723" t="s">
        <v>5588</v>
      </c>
      <c r="AO723" t="s">
        <v>9308</v>
      </c>
      <c r="AP723" t="s">
        <v>9309</v>
      </c>
      <c r="AQ723" t="s">
        <v>74</v>
      </c>
      <c r="AR723" t="s">
        <v>9310</v>
      </c>
      <c r="AS723" t="s">
        <v>9311</v>
      </c>
      <c r="AT723" t="s">
        <v>12461</v>
      </c>
      <c r="AU723">
        <v>2017</v>
      </c>
      <c r="AV723">
        <v>49</v>
      </c>
      <c r="AW723" t="s">
        <v>8012</v>
      </c>
      <c r="AX723" t="s">
        <v>74</v>
      </c>
      <c r="AY723" t="s">
        <v>74</v>
      </c>
      <c r="AZ723" t="s">
        <v>74</v>
      </c>
      <c r="BA723" t="s">
        <v>74</v>
      </c>
      <c r="BB723">
        <v>3735</v>
      </c>
      <c r="BC723">
        <v>3752</v>
      </c>
      <c r="BD723" t="s">
        <v>74</v>
      </c>
      <c r="BE723" t="s">
        <v>14192</v>
      </c>
      <c r="BF723" t="str">
        <f>HYPERLINK("http://dx.doi.org/10.1007/s00382-017-3540-1","http://dx.doi.org/10.1007/s00382-017-3540-1")</f>
        <v>http://dx.doi.org/10.1007/s00382-017-3540-1</v>
      </c>
      <c r="BG723" t="s">
        <v>74</v>
      </c>
      <c r="BH723" t="s">
        <v>74</v>
      </c>
      <c r="BI723">
        <v>18</v>
      </c>
      <c r="BJ723" t="s">
        <v>430</v>
      </c>
      <c r="BK723" t="s">
        <v>101</v>
      </c>
      <c r="BL723" t="s">
        <v>430</v>
      </c>
      <c r="BM723" t="s">
        <v>13856</v>
      </c>
      <c r="BN723" t="s">
        <v>74</v>
      </c>
      <c r="BO723" t="s">
        <v>74</v>
      </c>
      <c r="BP723" t="s">
        <v>74</v>
      </c>
      <c r="BQ723" t="s">
        <v>74</v>
      </c>
      <c r="BR723" t="s">
        <v>105</v>
      </c>
      <c r="BS723" t="s">
        <v>14193</v>
      </c>
      <c r="BT723" t="str">
        <f>HYPERLINK("https%3A%2F%2Fwww.webofscience.com%2Fwos%2Fwoscc%2Ffull-record%2FWOS:000415579000006","View Full Record in Web of Science")</f>
        <v>View Full Record in Web of Science</v>
      </c>
    </row>
    <row r="724" spans="1:72" x14ac:dyDescent="0.15">
      <c r="A724" t="s">
        <v>72</v>
      </c>
      <c r="B724" t="s">
        <v>14194</v>
      </c>
      <c r="C724" t="s">
        <v>74</v>
      </c>
      <c r="D724" t="s">
        <v>74</v>
      </c>
      <c r="E724" t="s">
        <v>74</v>
      </c>
      <c r="F724" t="s">
        <v>14195</v>
      </c>
      <c r="G724" t="s">
        <v>74</v>
      </c>
      <c r="H724" t="s">
        <v>74</v>
      </c>
      <c r="I724" t="s">
        <v>14196</v>
      </c>
      <c r="J724" t="s">
        <v>9110</v>
      </c>
      <c r="K724" t="s">
        <v>74</v>
      </c>
      <c r="L724" t="s">
        <v>74</v>
      </c>
      <c r="M724" t="s">
        <v>78</v>
      </c>
      <c r="N724" t="s">
        <v>79</v>
      </c>
      <c r="O724" t="s">
        <v>74</v>
      </c>
      <c r="P724" t="s">
        <v>74</v>
      </c>
      <c r="Q724" t="s">
        <v>74</v>
      </c>
      <c r="R724" t="s">
        <v>74</v>
      </c>
      <c r="S724" t="s">
        <v>74</v>
      </c>
      <c r="T724" t="s">
        <v>14197</v>
      </c>
      <c r="U724" t="s">
        <v>14198</v>
      </c>
      <c r="V724" t="s">
        <v>14199</v>
      </c>
      <c r="W724" t="s">
        <v>14200</v>
      </c>
      <c r="X724" t="s">
        <v>9044</v>
      </c>
      <c r="Y724" t="s">
        <v>14201</v>
      </c>
      <c r="Z724" t="s">
        <v>9046</v>
      </c>
      <c r="AA724" t="s">
        <v>74</v>
      </c>
      <c r="AB724" t="s">
        <v>14202</v>
      </c>
      <c r="AC724" t="s">
        <v>14203</v>
      </c>
      <c r="AD724" t="s">
        <v>14204</v>
      </c>
      <c r="AE724" t="s">
        <v>14205</v>
      </c>
      <c r="AF724" t="s">
        <v>74</v>
      </c>
      <c r="AG724">
        <v>28</v>
      </c>
      <c r="AH724">
        <v>27</v>
      </c>
      <c r="AI724">
        <v>28</v>
      </c>
      <c r="AJ724">
        <v>6</v>
      </c>
      <c r="AK724">
        <v>109</v>
      </c>
      <c r="AL724" t="s">
        <v>1186</v>
      </c>
      <c r="AM724" t="s">
        <v>808</v>
      </c>
      <c r="AN724" t="s">
        <v>1187</v>
      </c>
      <c r="AO724" t="s">
        <v>9123</v>
      </c>
      <c r="AP724" t="s">
        <v>9124</v>
      </c>
      <c r="AQ724" t="s">
        <v>74</v>
      </c>
      <c r="AR724" t="s">
        <v>9125</v>
      </c>
      <c r="AS724" t="s">
        <v>9126</v>
      </c>
      <c r="AT724" t="s">
        <v>12906</v>
      </c>
      <c r="AU724">
        <v>2017</v>
      </c>
      <c r="AV724">
        <v>160</v>
      </c>
      <c r="AW724" t="s">
        <v>74</v>
      </c>
      <c r="AX724" t="s">
        <v>74</v>
      </c>
      <c r="AY724" t="s">
        <v>74</v>
      </c>
      <c r="AZ724" t="s">
        <v>74</v>
      </c>
      <c r="BA724" t="s">
        <v>74</v>
      </c>
      <c r="BB724">
        <v>416</v>
      </c>
      <c r="BC724">
        <v>422</v>
      </c>
      <c r="BD724" t="s">
        <v>74</v>
      </c>
      <c r="BE724" t="s">
        <v>14206</v>
      </c>
      <c r="BF724" t="str">
        <f>HYPERLINK("http://dx.doi.org/10.1016/j.colsurfb.2017.09.037","http://dx.doi.org/10.1016/j.colsurfb.2017.09.037")</f>
        <v>http://dx.doi.org/10.1016/j.colsurfb.2017.09.037</v>
      </c>
      <c r="BG724" t="s">
        <v>74</v>
      </c>
      <c r="BH724" t="s">
        <v>74</v>
      </c>
      <c r="BI724">
        <v>7</v>
      </c>
      <c r="BJ724" t="s">
        <v>9128</v>
      </c>
      <c r="BK724" t="s">
        <v>101</v>
      </c>
      <c r="BL724" t="s">
        <v>9129</v>
      </c>
      <c r="BM724" t="s">
        <v>14207</v>
      </c>
      <c r="BN724">
        <v>28985603</v>
      </c>
      <c r="BO724" t="s">
        <v>74</v>
      </c>
      <c r="BP724" t="s">
        <v>74</v>
      </c>
      <c r="BQ724" t="s">
        <v>74</v>
      </c>
      <c r="BR724" t="s">
        <v>105</v>
      </c>
      <c r="BS724" t="s">
        <v>14208</v>
      </c>
      <c r="BT724" t="str">
        <f>HYPERLINK("https%3A%2F%2Fwww.webofscience.com%2Fwos%2Fwoscc%2Ffull-record%2FWOS:000418978500050","View Full Record in Web of Science")</f>
        <v>View Full Record in Web of Science</v>
      </c>
    </row>
    <row r="725" spans="1:72" x14ac:dyDescent="0.15">
      <c r="A725" t="s">
        <v>72</v>
      </c>
      <c r="B725" t="s">
        <v>14209</v>
      </c>
      <c r="C725" t="s">
        <v>74</v>
      </c>
      <c r="D725" t="s">
        <v>74</v>
      </c>
      <c r="E725" t="s">
        <v>74</v>
      </c>
      <c r="F725" t="s">
        <v>14210</v>
      </c>
      <c r="G725" t="s">
        <v>74</v>
      </c>
      <c r="H725" t="s">
        <v>74</v>
      </c>
      <c r="I725" t="s">
        <v>14211</v>
      </c>
      <c r="J725" t="s">
        <v>14212</v>
      </c>
      <c r="K725" t="s">
        <v>74</v>
      </c>
      <c r="L725" t="s">
        <v>74</v>
      </c>
      <c r="M725" t="s">
        <v>78</v>
      </c>
      <c r="N725" t="s">
        <v>289</v>
      </c>
      <c r="O725" t="s">
        <v>74</v>
      </c>
      <c r="P725" t="s">
        <v>74</v>
      </c>
      <c r="Q725" t="s">
        <v>74</v>
      </c>
      <c r="R725" t="s">
        <v>74</v>
      </c>
      <c r="S725" t="s">
        <v>74</v>
      </c>
      <c r="T725" t="s">
        <v>14213</v>
      </c>
      <c r="U725" t="s">
        <v>14214</v>
      </c>
      <c r="V725" t="s">
        <v>14215</v>
      </c>
      <c r="W725" t="s">
        <v>14216</v>
      </c>
      <c r="X725" t="s">
        <v>14217</v>
      </c>
      <c r="Y725" t="s">
        <v>14218</v>
      </c>
      <c r="Z725" t="s">
        <v>14219</v>
      </c>
      <c r="AA725" t="s">
        <v>14220</v>
      </c>
      <c r="AB725" t="s">
        <v>14221</v>
      </c>
      <c r="AC725" t="s">
        <v>14222</v>
      </c>
      <c r="AD725" t="s">
        <v>14223</v>
      </c>
      <c r="AE725" t="s">
        <v>14224</v>
      </c>
      <c r="AF725" t="s">
        <v>74</v>
      </c>
      <c r="AG725">
        <v>92</v>
      </c>
      <c r="AH725">
        <v>12</v>
      </c>
      <c r="AI725">
        <v>13</v>
      </c>
      <c r="AJ725">
        <v>3</v>
      </c>
      <c r="AK725">
        <v>31</v>
      </c>
      <c r="AL725" t="s">
        <v>9836</v>
      </c>
      <c r="AM725" t="s">
        <v>1797</v>
      </c>
      <c r="AN725" t="s">
        <v>9837</v>
      </c>
      <c r="AO725" t="s">
        <v>14225</v>
      </c>
      <c r="AP725" t="s">
        <v>14226</v>
      </c>
      <c r="AQ725" t="s">
        <v>74</v>
      </c>
      <c r="AR725" t="s">
        <v>14227</v>
      </c>
      <c r="AS725" t="s">
        <v>14228</v>
      </c>
      <c r="AT725" t="s">
        <v>12461</v>
      </c>
      <c r="AU725">
        <v>2017</v>
      </c>
      <c r="AV725">
        <v>24</v>
      </c>
      <c r="AW725" t="s">
        <v>74</v>
      </c>
      <c r="AX725" t="s">
        <v>74</v>
      </c>
      <c r="AY725" t="s">
        <v>74</v>
      </c>
      <c r="AZ725" t="s">
        <v>74</v>
      </c>
      <c r="BA725" t="s">
        <v>74</v>
      </c>
      <c r="BB725">
        <v>99</v>
      </c>
      <c r="BC725">
        <v>110</v>
      </c>
      <c r="BD725" t="s">
        <v>74</v>
      </c>
      <c r="BE725" t="s">
        <v>14229</v>
      </c>
      <c r="BF725" t="str">
        <f>HYPERLINK("http://dx.doi.org/10.1016/j.cbd.2017.08.004","http://dx.doi.org/10.1016/j.cbd.2017.08.004")</f>
        <v>http://dx.doi.org/10.1016/j.cbd.2017.08.004</v>
      </c>
      <c r="BG725" t="s">
        <v>74</v>
      </c>
      <c r="BH725" t="s">
        <v>74</v>
      </c>
      <c r="BI725">
        <v>12</v>
      </c>
      <c r="BJ725" t="s">
        <v>14230</v>
      </c>
      <c r="BK725" t="s">
        <v>101</v>
      </c>
      <c r="BL725" t="s">
        <v>14230</v>
      </c>
      <c r="BM725" t="s">
        <v>14231</v>
      </c>
      <c r="BN725">
        <v>28915415</v>
      </c>
      <c r="BO725" t="s">
        <v>74</v>
      </c>
      <c r="BP725" t="s">
        <v>74</v>
      </c>
      <c r="BQ725" t="s">
        <v>74</v>
      </c>
      <c r="BR725" t="s">
        <v>105</v>
      </c>
      <c r="BS725" t="s">
        <v>14232</v>
      </c>
      <c r="BT725" t="str">
        <f>HYPERLINK("https%3A%2F%2Fwww.webofscience.com%2Fwos%2Fwoscc%2Ffull-record%2FWOS:000414815200011","View Full Record in Web of Science")</f>
        <v>View Full Record in Web of Science</v>
      </c>
    </row>
    <row r="726" spans="1:72" x14ac:dyDescent="0.15">
      <c r="A726" t="s">
        <v>72</v>
      </c>
      <c r="B726" t="s">
        <v>14233</v>
      </c>
      <c r="C726" t="s">
        <v>74</v>
      </c>
      <c r="D726" t="s">
        <v>74</v>
      </c>
      <c r="E726" t="s">
        <v>74</v>
      </c>
      <c r="F726" t="s">
        <v>14234</v>
      </c>
      <c r="G726" t="s">
        <v>74</v>
      </c>
      <c r="H726" t="s">
        <v>74</v>
      </c>
      <c r="I726" t="s">
        <v>14235</v>
      </c>
      <c r="J726" t="s">
        <v>14236</v>
      </c>
      <c r="K726" t="s">
        <v>74</v>
      </c>
      <c r="L726" t="s">
        <v>74</v>
      </c>
      <c r="M726" t="s">
        <v>78</v>
      </c>
      <c r="N726" t="s">
        <v>79</v>
      </c>
      <c r="O726" t="s">
        <v>74</v>
      </c>
      <c r="P726" t="s">
        <v>74</v>
      </c>
      <c r="Q726" t="s">
        <v>74</v>
      </c>
      <c r="R726" t="s">
        <v>74</v>
      </c>
      <c r="S726" t="s">
        <v>74</v>
      </c>
      <c r="T726" t="s">
        <v>14237</v>
      </c>
      <c r="U726" t="s">
        <v>14238</v>
      </c>
      <c r="V726" t="s">
        <v>14239</v>
      </c>
      <c r="W726" t="s">
        <v>14240</v>
      </c>
      <c r="X726" t="s">
        <v>14241</v>
      </c>
      <c r="Y726" t="s">
        <v>14242</v>
      </c>
      <c r="Z726" t="s">
        <v>14243</v>
      </c>
      <c r="AA726" t="s">
        <v>14244</v>
      </c>
      <c r="AB726" t="s">
        <v>14245</v>
      </c>
      <c r="AC726" t="s">
        <v>14246</v>
      </c>
      <c r="AD726" t="s">
        <v>14247</v>
      </c>
      <c r="AE726" t="s">
        <v>14248</v>
      </c>
      <c r="AF726" t="s">
        <v>74</v>
      </c>
      <c r="AG726">
        <v>143</v>
      </c>
      <c r="AH726">
        <v>25</v>
      </c>
      <c r="AI726">
        <v>25</v>
      </c>
      <c r="AJ726">
        <v>2</v>
      </c>
      <c r="AK726">
        <v>22</v>
      </c>
      <c r="AL726" t="s">
        <v>3906</v>
      </c>
      <c r="AM726" t="s">
        <v>3907</v>
      </c>
      <c r="AN726" t="s">
        <v>3908</v>
      </c>
      <c r="AO726" t="s">
        <v>14249</v>
      </c>
      <c r="AP726" t="s">
        <v>74</v>
      </c>
      <c r="AQ726" t="s">
        <v>74</v>
      </c>
      <c r="AR726" t="s">
        <v>14250</v>
      </c>
      <c r="AS726" t="s">
        <v>14251</v>
      </c>
      <c r="AT726" t="s">
        <v>12461</v>
      </c>
      <c r="AU726">
        <v>2017</v>
      </c>
      <c r="AV726">
        <v>3</v>
      </c>
      <c r="AW726">
        <v>4</v>
      </c>
      <c r="AX726" t="s">
        <v>74</v>
      </c>
      <c r="AY726" t="s">
        <v>74</v>
      </c>
      <c r="AZ726" t="s">
        <v>74</v>
      </c>
      <c r="BA726" t="s">
        <v>74</v>
      </c>
      <c r="BB726">
        <v>303</v>
      </c>
      <c r="BC726">
        <v>315</v>
      </c>
      <c r="BD726" t="s">
        <v>74</v>
      </c>
      <c r="BE726" t="s">
        <v>14252</v>
      </c>
      <c r="BF726" t="str">
        <f>HYPERLINK("http://dx.doi.org/10.1007/s40641-017-0072-z","http://dx.doi.org/10.1007/s40641-017-0072-z")</f>
        <v>http://dx.doi.org/10.1007/s40641-017-0072-z</v>
      </c>
      <c r="BG726" t="s">
        <v>74</v>
      </c>
      <c r="BH726" t="s">
        <v>74</v>
      </c>
      <c r="BI726">
        <v>13</v>
      </c>
      <c r="BJ726" t="s">
        <v>430</v>
      </c>
      <c r="BK726" t="s">
        <v>101</v>
      </c>
      <c r="BL726" t="s">
        <v>430</v>
      </c>
      <c r="BM726" t="s">
        <v>14253</v>
      </c>
      <c r="BN726" t="s">
        <v>74</v>
      </c>
      <c r="BO726" t="s">
        <v>104</v>
      </c>
      <c r="BP726" t="s">
        <v>74</v>
      </c>
      <c r="BQ726" t="s">
        <v>74</v>
      </c>
      <c r="BR726" t="s">
        <v>105</v>
      </c>
      <c r="BS726" t="s">
        <v>14254</v>
      </c>
      <c r="BT726" t="str">
        <f>HYPERLINK("https%3A%2F%2Fwww.webofscience.com%2Fwos%2Fwoscc%2Ffull-record%2FWOS:000461109800012","View Full Record in Web of Science")</f>
        <v>View Full Record in Web of Science</v>
      </c>
    </row>
    <row r="727" spans="1:72" x14ac:dyDescent="0.15">
      <c r="A727" t="s">
        <v>72</v>
      </c>
      <c r="B727" t="s">
        <v>14255</v>
      </c>
      <c r="C727" t="s">
        <v>74</v>
      </c>
      <c r="D727" t="s">
        <v>74</v>
      </c>
      <c r="E727" t="s">
        <v>74</v>
      </c>
      <c r="F727" t="s">
        <v>14256</v>
      </c>
      <c r="G727" t="s">
        <v>74</v>
      </c>
      <c r="H727" t="s">
        <v>74</v>
      </c>
      <c r="I727" t="s">
        <v>14257</v>
      </c>
      <c r="J727" t="s">
        <v>14236</v>
      </c>
      <c r="K727" t="s">
        <v>74</v>
      </c>
      <c r="L727" t="s">
        <v>74</v>
      </c>
      <c r="M727" t="s">
        <v>78</v>
      </c>
      <c r="N727" t="s">
        <v>79</v>
      </c>
      <c r="O727" t="s">
        <v>74</v>
      </c>
      <c r="P727" t="s">
        <v>74</v>
      </c>
      <c r="Q727" t="s">
        <v>74</v>
      </c>
      <c r="R727" t="s">
        <v>74</v>
      </c>
      <c r="S727" t="s">
        <v>74</v>
      </c>
      <c r="T727" t="s">
        <v>14258</v>
      </c>
      <c r="U727" t="s">
        <v>74</v>
      </c>
      <c r="V727" t="s">
        <v>14259</v>
      </c>
      <c r="W727" t="s">
        <v>14260</v>
      </c>
      <c r="X727" t="s">
        <v>14261</v>
      </c>
      <c r="Y727" t="s">
        <v>14262</v>
      </c>
      <c r="Z727" t="s">
        <v>14263</v>
      </c>
      <c r="AA727" t="s">
        <v>14264</v>
      </c>
      <c r="AB727" t="s">
        <v>14265</v>
      </c>
      <c r="AC727" t="s">
        <v>14266</v>
      </c>
      <c r="AD727" t="s">
        <v>14267</v>
      </c>
      <c r="AE727" t="s">
        <v>14268</v>
      </c>
      <c r="AF727" t="s">
        <v>74</v>
      </c>
      <c r="AG727">
        <v>126</v>
      </c>
      <c r="AH727">
        <v>51</v>
      </c>
      <c r="AI727">
        <v>52</v>
      </c>
      <c r="AJ727">
        <v>0</v>
      </c>
      <c r="AK727">
        <v>4</v>
      </c>
      <c r="AL727" t="s">
        <v>3906</v>
      </c>
      <c r="AM727" t="s">
        <v>3907</v>
      </c>
      <c r="AN727" t="s">
        <v>3908</v>
      </c>
      <c r="AO727" t="s">
        <v>14249</v>
      </c>
      <c r="AP727" t="s">
        <v>74</v>
      </c>
      <c r="AQ727" t="s">
        <v>74</v>
      </c>
      <c r="AR727" t="s">
        <v>14250</v>
      </c>
      <c r="AS727" t="s">
        <v>14251</v>
      </c>
      <c r="AT727" t="s">
        <v>12461</v>
      </c>
      <c r="AU727">
        <v>2017</v>
      </c>
      <c r="AV727">
        <v>3</v>
      </c>
      <c r="AW727">
        <v>4</v>
      </c>
      <c r="AX727" t="s">
        <v>74</v>
      </c>
      <c r="AY727" t="s">
        <v>74</v>
      </c>
      <c r="AZ727" t="s">
        <v>74</v>
      </c>
      <c r="BA727" t="s">
        <v>74</v>
      </c>
      <c r="BB727">
        <v>316</v>
      </c>
      <c r="BC727">
        <v>329</v>
      </c>
      <c r="BD727" t="s">
        <v>74</v>
      </c>
      <c r="BE727" t="s">
        <v>14269</v>
      </c>
      <c r="BF727" t="str">
        <f>HYPERLINK("http://dx.doi.org/10.1007/s40641-017-0071-0","http://dx.doi.org/10.1007/s40641-017-0071-0")</f>
        <v>http://dx.doi.org/10.1007/s40641-017-0071-0</v>
      </c>
      <c r="BG727" t="s">
        <v>74</v>
      </c>
      <c r="BH727" t="s">
        <v>74</v>
      </c>
      <c r="BI727">
        <v>14</v>
      </c>
      <c r="BJ727" t="s">
        <v>430</v>
      </c>
      <c r="BK727" t="s">
        <v>101</v>
      </c>
      <c r="BL727" t="s">
        <v>430</v>
      </c>
      <c r="BM727" t="s">
        <v>14253</v>
      </c>
      <c r="BN727" t="s">
        <v>74</v>
      </c>
      <c r="BO727" t="s">
        <v>74</v>
      </c>
      <c r="BP727" t="s">
        <v>74</v>
      </c>
      <c r="BQ727" t="s">
        <v>74</v>
      </c>
      <c r="BR727" t="s">
        <v>105</v>
      </c>
      <c r="BS727" t="s">
        <v>14270</v>
      </c>
      <c r="BT727" t="str">
        <f>HYPERLINK("https%3A%2F%2Fwww.webofscience.com%2Fwos%2Fwoscc%2Ffull-record%2FWOS:000461109800013","View Full Record in Web of Science")</f>
        <v>View Full Record in Web of Science</v>
      </c>
    </row>
    <row r="728" spans="1:72" x14ac:dyDescent="0.15">
      <c r="A728" t="s">
        <v>72</v>
      </c>
      <c r="B728" t="s">
        <v>14271</v>
      </c>
      <c r="C728" t="s">
        <v>74</v>
      </c>
      <c r="D728" t="s">
        <v>74</v>
      </c>
      <c r="E728" t="s">
        <v>74</v>
      </c>
      <c r="F728" t="s">
        <v>14272</v>
      </c>
      <c r="G728" t="s">
        <v>74</v>
      </c>
      <c r="H728" t="s">
        <v>74</v>
      </c>
      <c r="I728" t="s">
        <v>14273</v>
      </c>
      <c r="J728" t="s">
        <v>14274</v>
      </c>
      <c r="K728" t="s">
        <v>74</v>
      </c>
      <c r="L728" t="s">
        <v>74</v>
      </c>
      <c r="M728" t="s">
        <v>78</v>
      </c>
      <c r="N728" t="s">
        <v>79</v>
      </c>
      <c r="O728" t="s">
        <v>74</v>
      </c>
      <c r="P728" t="s">
        <v>74</v>
      </c>
      <c r="Q728" t="s">
        <v>74</v>
      </c>
      <c r="R728" t="s">
        <v>74</v>
      </c>
      <c r="S728" t="s">
        <v>74</v>
      </c>
      <c r="T728" t="s">
        <v>14275</v>
      </c>
      <c r="U728" t="s">
        <v>14276</v>
      </c>
      <c r="V728" t="s">
        <v>14277</v>
      </c>
      <c r="W728" t="s">
        <v>14278</v>
      </c>
      <c r="X728" t="s">
        <v>14279</v>
      </c>
      <c r="Y728" t="s">
        <v>14280</v>
      </c>
      <c r="Z728" t="s">
        <v>14281</v>
      </c>
      <c r="AA728" t="s">
        <v>14282</v>
      </c>
      <c r="AB728" t="s">
        <v>14283</v>
      </c>
      <c r="AC728" t="s">
        <v>14284</v>
      </c>
      <c r="AD728" t="s">
        <v>14285</v>
      </c>
      <c r="AE728" t="s">
        <v>14286</v>
      </c>
      <c r="AF728" t="s">
        <v>74</v>
      </c>
      <c r="AG728">
        <v>64</v>
      </c>
      <c r="AH728">
        <v>235</v>
      </c>
      <c r="AI728">
        <v>262</v>
      </c>
      <c r="AJ728">
        <v>2</v>
      </c>
      <c r="AK728">
        <v>42</v>
      </c>
      <c r="AL728" t="s">
        <v>271</v>
      </c>
      <c r="AM728" t="s">
        <v>272</v>
      </c>
      <c r="AN728" t="s">
        <v>273</v>
      </c>
      <c r="AO728" t="s">
        <v>74</v>
      </c>
      <c r="AP728" t="s">
        <v>14287</v>
      </c>
      <c r="AQ728" t="s">
        <v>74</v>
      </c>
      <c r="AR728" t="s">
        <v>14274</v>
      </c>
      <c r="AS728" t="s">
        <v>14288</v>
      </c>
      <c r="AT728" t="s">
        <v>12461</v>
      </c>
      <c r="AU728">
        <v>2017</v>
      </c>
      <c r="AV728">
        <v>5</v>
      </c>
      <c r="AW728">
        <v>12</v>
      </c>
      <c r="AX728" t="s">
        <v>74</v>
      </c>
      <c r="AY728" t="s">
        <v>74</v>
      </c>
      <c r="AZ728" t="s">
        <v>74</v>
      </c>
      <c r="BA728" t="s">
        <v>74</v>
      </c>
      <c r="BB728">
        <v>1217</v>
      </c>
      <c r="BC728">
        <v>1233</v>
      </c>
      <c r="BD728" t="s">
        <v>74</v>
      </c>
      <c r="BE728" t="s">
        <v>14289</v>
      </c>
      <c r="BF728" t="str">
        <f>HYPERLINK("http://dx.doi.org/10.1002/2017EF000663","http://dx.doi.org/10.1002/2017EF000663")</f>
        <v>http://dx.doi.org/10.1002/2017EF000663</v>
      </c>
      <c r="BG728" t="s">
        <v>74</v>
      </c>
      <c r="BH728" t="s">
        <v>74</v>
      </c>
      <c r="BI728">
        <v>17</v>
      </c>
      <c r="BJ728" t="s">
        <v>14290</v>
      </c>
      <c r="BK728" t="s">
        <v>101</v>
      </c>
      <c r="BL728" t="s">
        <v>14291</v>
      </c>
      <c r="BM728" t="s">
        <v>14292</v>
      </c>
      <c r="BN728" t="s">
        <v>74</v>
      </c>
      <c r="BO728" t="s">
        <v>560</v>
      </c>
      <c r="BP728" t="s">
        <v>74</v>
      </c>
      <c r="BQ728" t="s">
        <v>74</v>
      </c>
      <c r="BR728" t="s">
        <v>105</v>
      </c>
      <c r="BS728" t="s">
        <v>14293</v>
      </c>
      <c r="BT728" t="str">
        <f>HYPERLINK("https%3A%2F%2Fwww.webofscience.com%2Fwos%2Fwoscc%2Ffull-record%2FWOS:000422682700004","View Full Record in Web of Science")</f>
        <v>View Full Record in Web of Science</v>
      </c>
    </row>
    <row r="729" spans="1:72" x14ac:dyDescent="0.15">
      <c r="A729" t="s">
        <v>72</v>
      </c>
      <c r="B729" t="s">
        <v>14294</v>
      </c>
      <c r="C729" t="s">
        <v>74</v>
      </c>
      <c r="D729" t="s">
        <v>74</v>
      </c>
      <c r="E729" t="s">
        <v>74</v>
      </c>
      <c r="F729" t="s">
        <v>14295</v>
      </c>
      <c r="G729" t="s">
        <v>74</v>
      </c>
      <c r="H729" t="s">
        <v>74</v>
      </c>
      <c r="I729" t="s">
        <v>14296</v>
      </c>
      <c r="J729" t="s">
        <v>14297</v>
      </c>
      <c r="K729" t="s">
        <v>74</v>
      </c>
      <c r="L729" t="s">
        <v>74</v>
      </c>
      <c r="M729" t="s">
        <v>78</v>
      </c>
      <c r="N729" t="s">
        <v>79</v>
      </c>
      <c r="O729" t="s">
        <v>74</v>
      </c>
      <c r="P729" t="s">
        <v>74</v>
      </c>
      <c r="Q729" t="s">
        <v>74</v>
      </c>
      <c r="R729" t="s">
        <v>74</v>
      </c>
      <c r="S729" t="s">
        <v>74</v>
      </c>
      <c r="T729" t="s">
        <v>74</v>
      </c>
      <c r="U729" t="s">
        <v>14298</v>
      </c>
      <c r="V729" t="s">
        <v>14299</v>
      </c>
      <c r="W729" t="s">
        <v>14300</v>
      </c>
      <c r="X729" t="s">
        <v>14301</v>
      </c>
      <c r="Y729" t="s">
        <v>14302</v>
      </c>
      <c r="Z729" t="s">
        <v>14303</v>
      </c>
      <c r="AA729" t="s">
        <v>74</v>
      </c>
      <c r="AB729" t="s">
        <v>14304</v>
      </c>
      <c r="AC729" t="s">
        <v>14305</v>
      </c>
      <c r="AD729" t="s">
        <v>14306</v>
      </c>
      <c r="AE729" t="s">
        <v>14307</v>
      </c>
      <c r="AF729" t="s">
        <v>74</v>
      </c>
      <c r="AG729">
        <v>58</v>
      </c>
      <c r="AH729">
        <v>42</v>
      </c>
      <c r="AI729">
        <v>47</v>
      </c>
      <c r="AJ729">
        <v>6</v>
      </c>
      <c r="AK729">
        <v>36</v>
      </c>
      <c r="AL729" t="s">
        <v>4270</v>
      </c>
      <c r="AM729" t="s">
        <v>4271</v>
      </c>
      <c r="AN729" t="s">
        <v>4272</v>
      </c>
      <c r="AO729" t="s">
        <v>14308</v>
      </c>
      <c r="AP729" t="s">
        <v>14309</v>
      </c>
      <c r="AQ729" t="s">
        <v>74</v>
      </c>
      <c r="AR729" t="s">
        <v>14310</v>
      </c>
      <c r="AS729" t="s">
        <v>14311</v>
      </c>
      <c r="AT729" t="s">
        <v>12461</v>
      </c>
      <c r="AU729">
        <v>2017</v>
      </c>
      <c r="AV729">
        <v>19</v>
      </c>
      <c r="AW729">
        <v>12</v>
      </c>
      <c r="AX729" t="s">
        <v>74</v>
      </c>
      <c r="AY729" t="s">
        <v>74</v>
      </c>
      <c r="AZ729" t="s">
        <v>74</v>
      </c>
      <c r="BA729" t="s">
        <v>74</v>
      </c>
      <c r="BB729">
        <v>4838</v>
      </c>
      <c r="BC729">
        <v>4850</v>
      </c>
      <c r="BD729" t="s">
        <v>74</v>
      </c>
      <c r="BE729" t="s">
        <v>14312</v>
      </c>
      <c r="BF729" t="str">
        <f>HYPERLINK("http://dx.doi.org/10.1111/1462-2920.13457","http://dx.doi.org/10.1111/1462-2920.13457")</f>
        <v>http://dx.doi.org/10.1111/1462-2920.13457</v>
      </c>
      <c r="BG729" t="s">
        <v>74</v>
      </c>
      <c r="BH729" t="s">
        <v>74</v>
      </c>
      <c r="BI729">
        <v>13</v>
      </c>
      <c r="BJ729" t="s">
        <v>3806</v>
      </c>
      <c r="BK729" t="s">
        <v>101</v>
      </c>
      <c r="BL729" t="s">
        <v>3806</v>
      </c>
      <c r="BM729" t="s">
        <v>14313</v>
      </c>
      <c r="BN729">
        <v>27422798</v>
      </c>
      <c r="BO729" t="s">
        <v>1150</v>
      </c>
      <c r="BP729" t="s">
        <v>74</v>
      </c>
      <c r="BQ729" t="s">
        <v>74</v>
      </c>
      <c r="BR729" t="s">
        <v>105</v>
      </c>
      <c r="BS729" t="s">
        <v>14314</v>
      </c>
      <c r="BT729" t="str">
        <f>HYPERLINK("https%3A%2F%2Fwww.webofscience.com%2Fwos%2Fwoscc%2Ffull-record%2FWOS:000418352800005","View Full Record in Web of Science")</f>
        <v>View Full Record in Web of Science</v>
      </c>
    </row>
    <row r="730" spans="1:72" x14ac:dyDescent="0.15">
      <c r="A730" t="s">
        <v>72</v>
      </c>
      <c r="B730" t="s">
        <v>14315</v>
      </c>
      <c r="C730" t="s">
        <v>74</v>
      </c>
      <c r="D730" t="s">
        <v>74</v>
      </c>
      <c r="E730" t="s">
        <v>74</v>
      </c>
      <c r="F730" t="s">
        <v>14316</v>
      </c>
      <c r="G730" t="s">
        <v>74</v>
      </c>
      <c r="H730" t="s">
        <v>74</v>
      </c>
      <c r="I730" t="s">
        <v>14317</v>
      </c>
      <c r="J730" t="s">
        <v>10296</v>
      </c>
      <c r="K730" t="s">
        <v>74</v>
      </c>
      <c r="L730" t="s">
        <v>74</v>
      </c>
      <c r="M730" t="s">
        <v>78</v>
      </c>
      <c r="N730" t="s">
        <v>79</v>
      </c>
      <c r="O730" t="s">
        <v>74</v>
      </c>
      <c r="P730" t="s">
        <v>74</v>
      </c>
      <c r="Q730" t="s">
        <v>74</v>
      </c>
      <c r="R730" t="s">
        <v>74</v>
      </c>
      <c r="S730" t="s">
        <v>74</v>
      </c>
      <c r="T730" t="s">
        <v>14318</v>
      </c>
      <c r="U730" t="s">
        <v>14319</v>
      </c>
      <c r="V730" t="s">
        <v>14320</v>
      </c>
      <c r="W730" t="s">
        <v>14321</v>
      </c>
      <c r="X730" t="s">
        <v>4474</v>
      </c>
      <c r="Y730" t="s">
        <v>14322</v>
      </c>
      <c r="Z730" t="s">
        <v>14323</v>
      </c>
      <c r="AA730" t="s">
        <v>14324</v>
      </c>
      <c r="AB730" t="s">
        <v>14325</v>
      </c>
      <c r="AC730" t="s">
        <v>14326</v>
      </c>
      <c r="AD730" t="s">
        <v>14327</v>
      </c>
      <c r="AE730" t="s">
        <v>14328</v>
      </c>
      <c r="AF730" t="s">
        <v>74</v>
      </c>
      <c r="AG730">
        <v>56</v>
      </c>
      <c r="AH730">
        <v>28</v>
      </c>
      <c r="AI730">
        <v>30</v>
      </c>
      <c r="AJ730">
        <v>4</v>
      </c>
      <c r="AK730">
        <v>35</v>
      </c>
      <c r="AL730" t="s">
        <v>8694</v>
      </c>
      <c r="AM730" t="s">
        <v>1140</v>
      </c>
      <c r="AN730" t="s">
        <v>8695</v>
      </c>
      <c r="AO730" t="s">
        <v>10309</v>
      </c>
      <c r="AP730" t="s">
        <v>10310</v>
      </c>
      <c r="AQ730" t="s">
        <v>74</v>
      </c>
      <c r="AR730" t="s">
        <v>10311</v>
      </c>
      <c r="AS730" t="s">
        <v>10312</v>
      </c>
      <c r="AT730" t="s">
        <v>12461</v>
      </c>
      <c r="AU730">
        <v>2017</v>
      </c>
      <c r="AV730">
        <v>93</v>
      </c>
      <c r="AW730">
        <v>12</v>
      </c>
      <c r="AX730" t="s">
        <v>74</v>
      </c>
      <c r="AY730" t="s">
        <v>74</v>
      </c>
      <c r="AZ730" t="s">
        <v>74</v>
      </c>
      <c r="BA730" t="s">
        <v>74</v>
      </c>
      <c r="BB730" t="s">
        <v>74</v>
      </c>
      <c r="BC730" t="s">
        <v>74</v>
      </c>
      <c r="BD730" t="s">
        <v>14329</v>
      </c>
      <c r="BE730" t="s">
        <v>14330</v>
      </c>
      <c r="BF730" t="str">
        <f>HYPERLINK("http://dx.doi.org/10.1093/femsec/fix159","http://dx.doi.org/10.1093/femsec/fix159")</f>
        <v>http://dx.doi.org/10.1093/femsec/fix159</v>
      </c>
      <c r="BG730" t="s">
        <v>74</v>
      </c>
      <c r="BH730" t="s">
        <v>74</v>
      </c>
      <c r="BI730">
        <v>10</v>
      </c>
      <c r="BJ730" t="s">
        <v>3806</v>
      </c>
      <c r="BK730" t="s">
        <v>101</v>
      </c>
      <c r="BL730" t="s">
        <v>3806</v>
      </c>
      <c r="BM730" t="s">
        <v>14331</v>
      </c>
      <c r="BN730">
        <v>29145612</v>
      </c>
      <c r="BO730" t="s">
        <v>306</v>
      </c>
      <c r="BP730" t="s">
        <v>74</v>
      </c>
      <c r="BQ730" t="s">
        <v>74</v>
      </c>
      <c r="BR730" t="s">
        <v>105</v>
      </c>
      <c r="BS730" t="s">
        <v>14332</v>
      </c>
      <c r="BT730" t="str">
        <f>HYPERLINK("https%3A%2F%2Fwww.webofscience.com%2Fwos%2Fwoscc%2Ffull-record%2FWOS:000419460700018","View Full Record in Web of Science")</f>
        <v>View Full Record in Web of Science</v>
      </c>
    </row>
    <row r="731" spans="1:72" x14ac:dyDescent="0.15">
      <c r="A731" t="s">
        <v>72</v>
      </c>
      <c r="B731" t="s">
        <v>14333</v>
      </c>
      <c r="C731" t="s">
        <v>74</v>
      </c>
      <c r="D731" t="s">
        <v>74</v>
      </c>
      <c r="E731" t="s">
        <v>74</v>
      </c>
      <c r="F731" t="s">
        <v>14334</v>
      </c>
      <c r="G731" t="s">
        <v>74</v>
      </c>
      <c r="H731" t="s">
        <v>74</v>
      </c>
      <c r="I731" t="s">
        <v>14335</v>
      </c>
      <c r="J731" t="s">
        <v>14336</v>
      </c>
      <c r="K731" t="s">
        <v>74</v>
      </c>
      <c r="L731" t="s">
        <v>74</v>
      </c>
      <c r="M731" t="s">
        <v>78</v>
      </c>
      <c r="N731" t="s">
        <v>79</v>
      </c>
      <c r="O731" t="s">
        <v>74</v>
      </c>
      <c r="P731" t="s">
        <v>74</v>
      </c>
      <c r="Q731" t="s">
        <v>74</v>
      </c>
      <c r="R731" t="s">
        <v>74</v>
      </c>
      <c r="S731" t="s">
        <v>74</v>
      </c>
      <c r="T731" t="s">
        <v>14337</v>
      </c>
      <c r="U731" t="s">
        <v>14338</v>
      </c>
      <c r="V731" t="s">
        <v>14339</v>
      </c>
      <c r="W731" t="s">
        <v>14340</v>
      </c>
      <c r="X731" t="s">
        <v>14341</v>
      </c>
      <c r="Y731" t="s">
        <v>14342</v>
      </c>
      <c r="Z731" t="s">
        <v>14343</v>
      </c>
      <c r="AA731" t="s">
        <v>14344</v>
      </c>
      <c r="AB731" t="s">
        <v>14345</v>
      </c>
      <c r="AC731" t="s">
        <v>14346</v>
      </c>
      <c r="AD731" t="s">
        <v>14347</v>
      </c>
      <c r="AE731" t="s">
        <v>14348</v>
      </c>
      <c r="AF731" t="s">
        <v>74</v>
      </c>
      <c r="AG731">
        <v>144</v>
      </c>
      <c r="AH731">
        <v>1</v>
      </c>
      <c r="AI731">
        <v>1</v>
      </c>
      <c r="AJ731">
        <v>0</v>
      </c>
      <c r="AK731">
        <v>2</v>
      </c>
      <c r="AL731" t="s">
        <v>14349</v>
      </c>
      <c r="AM731" t="s">
        <v>14350</v>
      </c>
      <c r="AN731" t="s">
        <v>14351</v>
      </c>
      <c r="AO731" t="s">
        <v>14352</v>
      </c>
      <c r="AP731" t="s">
        <v>74</v>
      </c>
      <c r="AQ731" t="s">
        <v>74</v>
      </c>
      <c r="AR731" t="s">
        <v>14336</v>
      </c>
      <c r="AS731" t="s">
        <v>14353</v>
      </c>
      <c r="AT731" t="s">
        <v>12461</v>
      </c>
      <c r="AU731">
        <v>2017</v>
      </c>
      <c r="AV731">
        <v>30</v>
      </c>
      <c r="AW731">
        <v>2</v>
      </c>
      <c r="AX731" t="s">
        <v>74</v>
      </c>
      <c r="AY731" t="s">
        <v>74</v>
      </c>
      <c r="AZ731" t="s">
        <v>74</v>
      </c>
      <c r="BA731" t="s">
        <v>74</v>
      </c>
      <c r="BB731">
        <v>412</v>
      </c>
      <c r="BC731">
        <v>426</v>
      </c>
      <c r="BD731" t="s">
        <v>74</v>
      </c>
      <c r="BE731" t="s">
        <v>14354</v>
      </c>
      <c r="BF731" t="str">
        <f>HYPERLINK("http://dx.doi.org/10.13158/heia.30.2.2017.412","http://dx.doi.org/10.13158/heia.30.2.2017.412")</f>
        <v>http://dx.doi.org/10.13158/heia.30.2.2017.412</v>
      </c>
      <c r="BG731" t="s">
        <v>74</v>
      </c>
      <c r="BH731" t="s">
        <v>74</v>
      </c>
      <c r="BI731">
        <v>15</v>
      </c>
      <c r="BJ731" t="s">
        <v>492</v>
      </c>
      <c r="BK731" t="s">
        <v>101</v>
      </c>
      <c r="BL731" t="s">
        <v>492</v>
      </c>
      <c r="BM731" t="s">
        <v>14355</v>
      </c>
      <c r="BN731" t="s">
        <v>74</v>
      </c>
      <c r="BO731" t="s">
        <v>74</v>
      </c>
      <c r="BP731" t="s">
        <v>74</v>
      </c>
      <c r="BQ731" t="s">
        <v>74</v>
      </c>
      <c r="BR731" t="s">
        <v>105</v>
      </c>
      <c r="BS731" t="s">
        <v>14356</v>
      </c>
      <c r="BT731" t="str">
        <f>HYPERLINK("https%3A%2F%2Fwww.webofscience.com%2Fwos%2Fwoscc%2Ffull-record%2FWOS:000417853400008","View Full Record in Web of Science")</f>
        <v>View Full Record in Web of Science</v>
      </c>
    </row>
    <row r="732" spans="1:72" x14ac:dyDescent="0.15">
      <c r="A732" t="s">
        <v>72</v>
      </c>
      <c r="B732" t="s">
        <v>14357</v>
      </c>
      <c r="C732" t="s">
        <v>74</v>
      </c>
      <c r="D732" t="s">
        <v>74</v>
      </c>
      <c r="E732" t="s">
        <v>74</v>
      </c>
      <c r="F732" t="s">
        <v>14358</v>
      </c>
      <c r="G732" t="s">
        <v>74</v>
      </c>
      <c r="H732" t="s">
        <v>74</v>
      </c>
      <c r="I732" t="s">
        <v>14359</v>
      </c>
      <c r="J732" t="s">
        <v>14360</v>
      </c>
      <c r="K732" t="s">
        <v>74</v>
      </c>
      <c r="L732" t="s">
        <v>74</v>
      </c>
      <c r="M732" t="s">
        <v>78</v>
      </c>
      <c r="N732" t="s">
        <v>2311</v>
      </c>
      <c r="O732" t="s">
        <v>14361</v>
      </c>
      <c r="P732" t="s">
        <v>14362</v>
      </c>
      <c r="Q732" t="s">
        <v>14363</v>
      </c>
      <c r="R732" t="s">
        <v>74</v>
      </c>
      <c r="S732" t="s">
        <v>74</v>
      </c>
      <c r="T732" t="s">
        <v>14364</v>
      </c>
      <c r="U732" t="s">
        <v>14365</v>
      </c>
      <c r="V732" t="s">
        <v>14366</v>
      </c>
      <c r="W732" t="s">
        <v>14367</v>
      </c>
      <c r="X732" t="s">
        <v>14368</v>
      </c>
      <c r="Y732" t="s">
        <v>14369</v>
      </c>
      <c r="Z732" t="s">
        <v>14370</v>
      </c>
      <c r="AA732" t="s">
        <v>14371</v>
      </c>
      <c r="AB732" t="s">
        <v>14372</v>
      </c>
      <c r="AC732" t="s">
        <v>14373</v>
      </c>
      <c r="AD732" t="s">
        <v>14374</v>
      </c>
      <c r="AE732" t="s">
        <v>14375</v>
      </c>
      <c r="AF732" t="s">
        <v>74</v>
      </c>
      <c r="AG732">
        <v>69</v>
      </c>
      <c r="AH732">
        <v>22</v>
      </c>
      <c r="AI732">
        <v>24</v>
      </c>
      <c r="AJ732">
        <v>2</v>
      </c>
      <c r="AK732">
        <v>36</v>
      </c>
      <c r="AL732" t="s">
        <v>1973</v>
      </c>
      <c r="AM732" t="s">
        <v>4347</v>
      </c>
      <c r="AN732" t="s">
        <v>4348</v>
      </c>
      <c r="AO732" t="s">
        <v>14376</v>
      </c>
      <c r="AP732" t="s">
        <v>14377</v>
      </c>
      <c r="AQ732" t="s">
        <v>74</v>
      </c>
      <c r="AR732" t="s">
        <v>14378</v>
      </c>
      <c r="AS732" t="s">
        <v>14379</v>
      </c>
      <c r="AT732" t="s">
        <v>12461</v>
      </c>
      <c r="AU732">
        <v>2017</v>
      </c>
      <c r="AV732">
        <v>29</v>
      </c>
      <c r="AW732">
        <v>5</v>
      </c>
      <c r="AX732" t="s">
        <v>74</v>
      </c>
      <c r="AY732" t="s">
        <v>74</v>
      </c>
      <c r="AZ732" t="s">
        <v>74</v>
      </c>
      <c r="BA732" t="s">
        <v>74</v>
      </c>
      <c r="BB732">
        <v>2489</v>
      </c>
      <c r="BC732">
        <v>2502</v>
      </c>
      <c r="BD732" t="s">
        <v>74</v>
      </c>
      <c r="BE732" t="s">
        <v>14380</v>
      </c>
      <c r="BF732" t="str">
        <f>HYPERLINK("http://dx.doi.org/10.1007/s10811-017-1073-y","http://dx.doi.org/10.1007/s10811-017-1073-y")</f>
        <v>http://dx.doi.org/10.1007/s10811-017-1073-y</v>
      </c>
      <c r="BG732" t="s">
        <v>74</v>
      </c>
      <c r="BH732" t="s">
        <v>74</v>
      </c>
      <c r="BI732">
        <v>14</v>
      </c>
      <c r="BJ732" t="s">
        <v>2493</v>
      </c>
      <c r="BK732" t="s">
        <v>2330</v>
      </c>
      <c r="BL732" t="s">
        <v>2493</v>
      </c>
      <c r="BM732" t="s">
        <v>14381</v>
      </c>
      <c r="BN732" t="s">
        <v>74</v>
      </c>
      <c r="BO732" t="s">
        <v>74</v>
      </c>
      <c r="BP732" t="s">
        <v>74</v>
      </c>
      <c r="BQ732" t="s">
        <v>74</v>
      </c>
      <c r="BR732" t="s">
        <v>105</v>
      </c>
      <c r="BS732" t="s">
        <v>14382</v>
      </c>
      <c r="BT732" t="str">
        <f>HYPERLINK("https%3A%2F%2Fwww.webofscience.com%2Fwos%2Fwoscc%2Ffull-record%2FWOS:000413299100034","View Full Record in Web of Science")</f>
        <v>View Full Record in Web of Science</v>
      </c>
    </row>
    <row r="733" spans="1:72" x14ac:dyDescent="0.15">
      <c r="A733" t="s">
        <v>72</v>
      </c>
      <c r="B733" t="s">
        <v>14383</v>
      </c>
      <c r="C733" t="s">
        <v>74</v>
      </c>
      <c r="D733" t="s">
        <v>74</v>
      </c>
      <c r="E733" t="s">
        <v>74</v>
      </c>
      <c r="F733" t="s">
        <v>14384</v>
      </c>
      <c r="G733" t="s">
        <v>74</v>
      </c>
      <c r="H733" t="s">
        <v>74</v>
      </c>
      <c r="I733" t="s">
        <v>14385</v>
      </c>
      <c r="J733" t="s">
        <v>14360</v>
      </c>
      <c r="K733" t="s">
        <v>74</v>
      </c>
      <c r="L733" t="s">
        <v>74</v>
      </c>
      <c r="M733" t="s">
        <v>78</v>
      </c>
      <c r="N733" t="s">
        <v>2311</v>
      </c>
      <c r="O733" t="s">
        <v>14361</v>
      </c>
      <c r="P733" t="s">
        <v>14362</v>
      </c>
      <c r="Q733" t="s">
        <v>14363</v>
      </c>
      <c r="R733" t="s">
        <v>74</v>
      </c>
      <c r="S733" t="s">
        <v>74</v>
      </c>
      <c r="T733" t="s">
        <v>14386</v>
      </c>
      <c r="U733" t="s">
        <v>14387</v>
      </c>
      <c r="V733" t="s">
        <v>14388</v>
      </c>
      <c r="W733" t="s">
        <v>14389</v>
      </c>
      <c r="X733" t="s">
        <v>14390</v>
      </c>
      <c r="Y733" t="s">
        <v>14391</v>
      </c>
      <c r="Z733" t="s">
        <v>14392</v>
      </c>
      <c r="AA733" t="s">
        <v>14393</v>
      </c>
      <c r="AB733" t="s">
        <v>14394</v>
      </c>
      <c r="AC733" t="s">
        <v>14395</v>
      </c>
      <c r="AD733" t="s">
        <v>14396</v>
      </c>
      <c r="AE733" t="s">
        <v>14397</v>
      </c>
      <c r="AF733" t="s">
        <v>74</v>
      </c>
      <c r="AG733">
        <v>49</v>
      </c>
      <c r="AH733">
        <v>17</v>
      </c>
      <c r="AI733">
        <v>17</v>
      </c>
      <c r="AJ733">
        <v>1</v>
      </c>
      <c r="AK733">
        <v>41</v>
      </c>
      <c r="AL733" t="s">
        <v>1973</v>
      </c>
      <c r="AM733" t="s">
        <v>4347</v>
      </c>
      <c r="AN733" t="s">
        <v>4348</v>
      </c>
      <c r="AO733" t="s">
        <v>14376</v>
      </c>
      <c r="AP733" t="s">
        <v>14377</v>
      </c>
      <c r="AQ733" t="s">
        <v>74</v>
      </c>
      <c r="AR733" t="s">
        <v>14378</v>
      </c>
      <c r="AS733" t="s">
        <v>14379</v>
      </c>
      <c r="AT733" t="s">
        <v>12461</v>
      </c>
      <c r="AU733">
        <v>2017</v>
      </c>
      <c r="AV733">
        <v>29</v>
      </c>
      <c r="AW733">
        <v>5</v>
      </c>
      <c r="AX733" t="s">
        <v>74</v>
      </c>
      <c r="AY733" t="s">
        <v>74</v>
      </c>
      <c r="AZ733" t="s">
        <v>74</v>
      </c>
      <c r="BA733" t="s">
        <v>74</v>
      </c>
      <c r="BB733">
        <v>2575</v>
      </c>
      <c r="BC733">
        <v>2585</v>
      </c>
      <c r="BD733" t="s">
        <v>74</v>
      </c>
      <c r="BE733" t="s">
        <v>14398</v>
      </c>
      <c r="BF733" t="str">
        <f>HYPERLINK("http://dx.doi.org/10.1007/s10811-017-1136-0","http://dx.doi.org/10.1007/s10811-017-1136-0")</f>
        <v>http://dx.doi.org/10.1007/s10811-017-1136-0</v>
      </c>
      <c r="BG733" t="s">
        <v>74</v>
      </c>
      <c r="BH733" t="s">
        <v>74</v>
      </c>
      <c r="BI733">
        <v>11</v>
      </c>
      <c r="BJ733" t="s">
        <v>2493</v>
      </c>
      <c r="BK733" t="s">
        <v>2330</v>
      </c>
      <c r="BL733" t="s">
        <v>2493</v>
      </c>
      <c r="BM733" t="s">
        <v>14381</v>
      </c>
      <c r="BN733" t="s">
        <v>74</v>
      </c>
      <c r="BO733" t="s">
        <v>74</v>
      </c>
      <c r="BP733" t="s">
        <v>74</v>
      </c>
      <c r="BQ733" t="s">
        <v>74</v>
      </c>
      <c r="BR733" t="s">
        <v>105</v>
      </c>
      <c r="BS733" t="s">
        <v>14399</v>
      </c>
      <c r="BT733" t="str">
        <f>HYPERLINK("https%3A%2F%2Fwww.webofscience.com%2Fwos%2Fwoscc%2Ffull-record%2FWOS:000413299100042","View Full Record in Web of Science")</f>
        <v>View Full Record in Web of Science</v>
      </c>
    </row>
    <row r="734" spans="1:72" x14ac:dyDescent="0.15">
      <c r="A734" t="s">
        <v>72</v>
      </c>
      <c r="B734" t="s">
        <v>14400</v>
      </c>
      <c r="C734" t="s">
        <v>74</v>
      </c>
      <c r="D734" t="s">
        <v>74</v>
      </c>
      <c r="E734" t="s">
        <v>74</v>
      </c>
      <c r="F734" t="s">
        <v>14401</v>
      </c>
      <c r="G734" t="s">
        <v>74</v>
      </c>
      <c r="H734" t="s">
        <v>74</v>
      </c>
      <c r="I734" t="s">
        <v>14402</v>
      </c>
      <c r="J734" t="s">
        <v>14403</v>
      </c>
      <c r="K734" t="s">
        <v>74</v>
      </c>
      <c r="L734" t="s">
        <v>74</v>
      </c>
      <c r="M734" t="s">
        <v>78</v>
      </c>
      <c r="N734" t="s">
        <v>79</v>
      </c>
      <c r="O734" t="s">
        <v>74</v>
      </c>
      <c r="P734" t="s">
        <v>74</v>
      </c>
      <c r="Q734" t="s">
        <v>74</v>
      </c>
      <c r="R734" t="s">
        <v>74</v>
      </c>
      <c r="S734" t="s">
        <v>74</v>
      </c>
      <c r="T734" t="s">
        <v>14404</v>
      </c>
      <c r="U734" t="s">
        <v>14405</v>
      </c>
      <c r="V734" t="s">
        <v>14406</v>
      </c>
      <c r="W734" t="s">
        <v>14407</v>
      </c>
      <c r="X734" t="s">
        <v>14408</v>
      </c>
      <c r="Y734" t="s">
        <v>14409</v>
      </c>
      <c r="Z734" t="s">
        <v>14410</v>
      </c>
      <c r="AA734" t="s">
        <v>14411</v>
      </c>
      <c r="AB734" t="s">
        <v>14412</v>
      </c>
      <c r="AC734" t="s">
        <v>14413</v>
      </c>
      <c r="AD734" t="s">
        <v>14414</v>
      </c>
      <c r="AE734" t="s">
        <v>14415</v>
      </c>
      <c r="AF734" t="s">
        <v>74</v>
      </c>
      <c r="AG734">
        <v>76</v>
      </c>
      <c r="AH734">
        <v>18</v>
      </c>
      <c r="AI734">
        <v>22</v>
      </c>
      <c r="AJ734">
        <v>2</v>
      </c>
      <c r="AK734">
        <v>47</v>
      </c>
      <c r="AL734" t="s">
        <v>4270</v>
      </c>
      <c r="AM734" t="s">
        <v>4271</v>
      </c>
      <c r="AN734" t="s">
        <v>4272</v>
      </c>
      <c r="AO734" t="s">
        <v>14416</v>
      </c>
      <c r="AP734" t="s">
        <v>14417</v>
      </c>
      <c r="AQ734" t="s">
        <v>74</v>
      </c>
      <c r="AR734" t="s">
        <v>14418</v>
      </c>
      <c r="AS734" t="s">
        <v>14419</v>
      </c>
      <c r="AT734" t="s">
        <v>12461</v>
      </c>
      <c r="AU734">
        <v>2017</v>
      </c>
      <c r="AV734">
        <v>57</v>
      </c>
      <c r="AW734">
        <v>12</v>
      </c>
      <c r="AX734" t="s">
        <v>74</v>
      </c>
      <c r="AY734" t="s">
        <v>74</v>
      </c>
      <c r="AZ734" t="s">
        <v>74</v>
      </c>
      <c r="BA734" t="s">
        <v>74</v>
      </c>
      <c r="BB734">
        <v>1018</v>
      </c>
      <c r="BC734">
        <v>1036</v>
      </c>
      <c r="BD734" t="s">
        <v>74</v>
      </c>
      <c r="BE734" t="s">
        <v>14420</v>
      </c>
      <c r="BF734" t="str">
        <f>HYPERLINK("http://dx.doi.org/10.1002/jobm.201700061","http://dx.doi.org/10.1002/jobm.201700061")</f>
        <v>http://dx.doi.org/10.1002/jobm.201700061</v>
      </c>
      <c r="BG734" t="s">
        <v>74</v>
      </c>
      <c r="BH734" t="s">
        <v>74</v>
      </c>
      <c r="BI734">
        <v>19</v>
      </c>
      <c r="BJ734" t="s">
        <v>3806</v>
      </c>
      <c r="BK734" t="s">
        <v>101</v>
      </c>
      <c r="BL734" t="s">
        <v>3806</v>
      </c>
      <c r="BM734" t="s">
        <v>14421</v>
      </c>
      <c r="BN734">
        <v>28940222</v>
      </c>
      <c r="BO734" t="s">
        <v>74</v>
      </c>
      <c r="BP734" t="s">
        <v>74</v>
      </c>
      <c r="BQ734" t="s">
        <v>74</v>
      </c>
      <c r="BR734" t="s">
        <v>105</v>
      </c>
      <c r="BS734" t="s">
        <v>14422</v>
      </c>
      <c r="BT734" t="str">
        <f>HYPERLINK("https%3A%2F%2Fwww.webofscience.com%2Fwos%2Fwoscc%2Ffull-record%2FWOS:000417185200004","View Full Record in Web of Science")</f>
        <v>View Full Record in Web of Science</v>
      </c>
    </row>
    <row r="735" spans="1:72" x14ac:dyDescent="0.15">
      <c r="A735" t="s">
        <v>72</v>
      </c>
      <c r="B735" t="s">
        <v>14423</v>
      </c>
      <c r="C735" t="s">
        <v>74</v>
      </c>
      <c r="D735" t="s">
        <v>74</v>
      </c>
      <c r="E735" t="s">
        <v>74</v>
      </c>
      <c r="F735" t="s">
        <v>14424</v>
      </c>
      <c r="G735" t="s">
        <v>74</v>
      </c>
      <c r="H735" t="s">
        <v>74</v>
      </c>
      <c r="I735" t="s">
        <v>14425</v>
      </c>
      <c r="J735" t="s">
        <v>14426</v>
      </c>
      <c r="K735" t="s">
        <v>74</v>
      </c>
      <c r="L735" t="s">
        <v>74</v>
      </c>
      <c r="M735" t="s">
        <v>78</v>
      </c>
      <c r="N735" t="s">
        <v>79</v>
      </c>
      <c r="O735" t="s">
        <v>74</v>
      </c>
      <c r="P735" t="s">
        <v>74</v>
      </c>
      <c r="Q735" t="s">
        <v>74</v>
      </c>
      <c r="R735" t="s">
        <v>74</v>
      </c>
      <c r="S735" t="s">
        <v>74</v>
      </c>
      <c r="T735" t="s">
        <v>14427</v>
      </c>
      <c r="U735" t="s">
        <v>14428</v>
      </c>
      <c r="V735" t="s">
        <v>14429</v>
      </c>
      <c r="W735" t="s">
        <v>14430</v>
      </c>
      <c r="X735" t="s">
        <v>14431</v>
      </c>
      <c r="Y735" t="s">
        <v>14432</v>
      </c>
      <c r="Z735" t="s">
        <v>14433</v>
      </c>
      <c r="AA735" t="s">
        <v>14434</v>
      </c>
      <c r="AB735" t="s">
        <v>14435</v>
      </c>
      <c r="AC735" t="s">
        <v>14436</v>
      </c>
      <c r="AD735" t="s">
        <v>14437</v>
      </c>
      <c r="AE735" t="s">
        <v>14438</v>
      </c>
      <c r="AF735" t="s">
        <v>74</v>
      </c>
      <c r="AG735">
        <v>42</v>
      </c>
      <c r="AH735">
        <v>40</v>
      </c>
      <c r="AI735">
        <v>42</v>
      </c>
      <c r="AJ735">
        <v>2</v>
      </c>
      <c r="AK735">
        <v>30</v>
      </c>
      <c r="AL735" t="s">
        <v>4270</v>
      </c>
      <c r="AM735" t="s">
        <v>4271</v>
      </c>
      <c r="AN735" t="s">
        <v>4272</v>
      </c>
      <c r="AO735" t="s">
        <v>14439</v>
      </c>
      <c r="AP735" t="s">
        <v>14440</v>
      </c>
      <c r="AQ735" t="s">
        <v>74</v>
      </c>
      <c r="AR735" t="s">
        <v>14441</v>
      </c>
      <c r="AS735" t="s">
        <v>14442</v>
      </c>
      <c r="AT735" t="s">
        <v>12461</v>
      </c>
      <c r="AU735">
        <v>2017</v>
      </c>
      <c r="AV735">
        <v>44</v>
      </c>
      <c r="AW735">
        <v>12</v>
      </c>
      <c r="AX735" t="s">
        <v>74</v>
      </c>
      <c r="AY735" t="s">
        <v>74</v>
      </c>
      <c r="AZ735" t="s">
        <v>74</v>
      </c>
      <c r="BA735" t="s">
        <v>74</v>
      </c>
      <c r="BB735">
        <v>2849</v>
      </c>
      <c r="BC735">
        <v>2861</v>
      </c>
      <c r="BD735" t="s">
        <v>74</v>
      </c>
      <c r="BE735" t="s">
        <v>14443</v>
      </c>
      <c r="BF735" t="str">
        <f>HYPERLINK("http://dx.doi.org/10.1111/jbi.13089","http://dx.doi.org/10.1111/jbi.13089")</f>
        <v>http://dx.doi.org/10.1111/jbi.13089</v>
      </c>
      <c r="BG735" t="s">
        <v>74</v>
      </c>
      <c r="BH735" t="s">
        <v>74</v>
      </c>
      <c r="BI735">
        <v>13</v>
      </c>
      <c r="BJ735" t="s">
        <v>14444</v>
      </c>
      <c r="BK735" t="s">
        <v>101</v>
      </c>
      <c r="BL735" t="s">
        <v>1658</v>
      </c>
      <c r="BM735" t="s">
        <v>14445</v>
      </c>
      <c r="BN735" t="s">
        <v>74</v>
      </c>
      <c r="BO735" t="s">
        <v>432</v>
      </c>
      <c r="BP735" t="s">
        <v>74</v>
      </c>
      <c r="BQ735" t="s">
        <v>74</v>
      </c>
      <c r="BR735" t="s">
        <v>105</v>
      </c>
      <c r="BS735" t="s">
        <v>14446</v>
      </c>
      <c r="BT735" t="str">
        <f>HYPERLINK("https%3A%2F%2Fwww.webofscience.com%2Fwos%2Fwoscc%2Ffull-record%2FWOS:000416164500016","View Full Record in Web of Science")</f>
        <v>View Full Record in Web of Science</v>
      </c>
    </row>
    <row r="736" spans="1:72" x14ac:dyDescent="0.15">
      <c r="A736" t="s">
        <v>72</v>
      </c>
      <c r="B736" t="s">
        <v>14447</v>
      </c>
      <c r="C736" t="s">
        <v>74</v>
      </c>
      <c r="D736" t="s">
        <v>74</v>
      </c>
      <c r="E736" t="s">
        <v>74</v>
      </c>
      <c r="F736" t="s">
        <v>14448</v>
      </c>
      <c r="G736" t="s">
        <v>74</v>
      </c>
      <c r="H736" t="s">
        <v>74</v>
      </c>
      <c r="I736" t="s">
        <v>14449</v>
      </c>
      <c r="J736" t="s">
        <v>9417</v>
      </c>
      <c r="K736" t="s">
        <v>74</v>
      </c>
      <c r="L736" t="s">
        <v>74</v>
      </c>
      <c r="M736" t="s">
        <v>78</v>
      </c>
      <c r="N736" t="s">
        <v>79</v>
      </c>
      <c r="O736" t="s">
        <v>74</v>
      </c>
      <c r="P736" t="s">
        <v>74</v>
      </c>
      <c r="Q736" t="s">
        <v>74</v>
      </c>
      <c r="R736" t="s">
        <v>74</v>
      </c>
      <c r="S736" t="s">
        <v>74</v>
      </c>
      <c r="T736" t="s">
        <v>14450</v>
      </c>
      <c r="U736" t="s">
        <v>14451</v>
      </c>
      <c r="V736" t="s">
        <v>14452</v>
      </c>
      <c r="W736" t="s">
        <v>14453</v>
      </c>
      <c r="X736" t="s">
        <v>14454</v>
      </c>
      <c r="Y736" t="s">
        <v>14455</v>
      </c>
      <c r="Z736" t="s">
        <v>14456</v>
      </c>
      <c r="AA736" t="s">
        <v>14457</v>
      </c>
      <c r="AB736" t="s">
        <v>14458</v>
      </c>
      <c r="AC736" t="s">
        <v>14459</v>
      </c>
      <c r="AD736" t="s">
        <v>14460</v>
      </c>
      <c r="AE736" t="s">
        <v>14461</v>
      </c>
      <c r="AF736" t="s">
        <v>74</v>
      </c>
      <c r="AG736">
        <v>97</v>
      </c>
      <c r="AH736">
        <v>48</v>
      </c>
      <c r="AI736">
        <v>52</v>
      </c>
      <c r="AJ736">
        <v>2</v>
      </c>
      <c r="AK736">
        <v>27</v>
      </c>
      <c r="AL736" t="s">
        <v>3906</v>
      </c>
      <c r="AM736" t="s">
        <v>3907</v>
      </c>
      <c r="AN736" t="s">
        <v>3908</v>
      </c>
      <c r="AO736" t="s">
        <v>9430</v>
      </c>
      <c r="AP736" t="s">
        <v>9431</v>
      </c>
      <c r="AQ736" t="s">
        <v>74</v>
      </c>
      <c r="AR736" t="s">
        <v>9432</v>
      </c>
      <c r="AS736" t="s">
        <v>9433</v>
      </c>
      <c r="AT736" t="s">
        <v>12461</v>
      </c>
      <c r="AU736">
        <v>2017</v>
      </c>
      <c r="AV736">
        <v>187</v>
      </c>
      <c r="AW736">
        <v>8</v>
      </c>
      <c r="AX736" t="s">
        <v>74</v>
      </c>
      <c r="AY736" t="s">
        <v>74</v>
      </c>
      <c r="AZ736" t="s">
        <v>74</v>
      </c>
      <c r="BA736" t="s">
        <v>74</v>
      </c>
      <c r="BB736">
        <v>1137</v>
      </c>
      <c r="BC736">
        <v>1154</v>
      </c>
      <c r="BD736" t="s">
        <v>74</v>
      </c>
      <c r="BE736" t="s">
        <v>14462</v>
      </c>
      <c r="BF736" t="str">
        <f>HYPERLINK("http://dx.doi.org/10.1007/s00360-017-1088-3","http://dx.doi.org/10.1007/s00360-017-1088-3")</f>
        <v>http://dx.doi.org/10.1007/s00360-017-1088-3</v>
      </c>
      <c r="BG736" t="s">
        <v>74</v>
      </c>
      <c r="BH736" t="s">
        <v>74</v>
      </c>
      <c r="BI736">
        <v>18</v>
      </c>
      <c r="BJ736" t="s">
        <v>9435</v>
      </c>
      <c r="BK736" t="s">
        <v>101</v>
      </c>
      <c r="BL736" t="s">
        <v>9435</v>
      </c>
      <c r="BM736" t="s">
        <v>14463</v>
      </c>
      <c r="BN736">
        <v>28391590</v>
      </c>
      <c r="BO736" t="s">
        <v>74</v>
      </c>
      <c r="BP736" t="s">
        <v>74</v>
      </c>
      <c r="BQ736" t="s">
        <v>74</v>
      </c>
      <c r="BR736" t="s">
        <v>105</v>
      </c>
      <c r="BS736" t="s">
        <v>14464</v>
      </c>
      <c r="BT736" t="str">
        <f>HYPERLINK("https%3A%2F%2Fwww.webofscience.com%2Fwos%2Fwoscc%2Ffull-record%2FWOS:000414946400007","View Full Record in Web of Science")</f>
        <v>View Full Record in Web of Science</v>
      </c>
    </row>
    <row r="737" spans="1:72" x14ac:dyDescent="0.15">
      <c r="A737" t="s">
        <v>72</v>
      </c>
      <c r="B737" t="s">
        <v>14465</v>
      </c>
      <c r="C737" t="s">
        <v>74</v>
      </c>
      <c r="D737" t="s">
        <v>74</v>
      </c>
      <c r="E737" t="s">
        <v>74</v>
      </c>
      <c r="F737" t="s">
        <v>14466</v>
      </c>
      <c r="G737" t="s">
        <v>74</v>
      </c>
      <c r="H737" t="s">
        <v>74</v>
      </c>
      <c r="I737" t="s">
        <v>14467</v>
      </c>
      <c r="J737" t="s">
        <v>8360</v>
      </c>
      <c r="K737" t="s">
        <v>74</v>
      </c>
      <c r="L737" t="s">
        <v>74</v>
      </c>
      <c r="M737" t="s">
        <v>78</v>
      </c>
      <c r="N737" t="s">
        <v>79</v>
      </c>
      <c r="O737" t="s">
        <v>74</v>
      </c>
      <c r="P737" t="s">
        <v>74</v>
      </c>
      <c r="Q737" t="s">
        <v>74</v>
      </c>
      <c r="R737" t="s">
        <v>74</v>
      </c>
      <c r="S737" t="s">
        <v>74</v>
      </c>
      <c r="T737" t="s">
        <v>14468</v>
      </c>
      <c r="U737" t="s">
        <v>14469</v>
      </c>
      <c r="V737" t="s">
        <v>14470</v>
      </c>
      <c r="W737" t="s">
        <v>14471</v>
      </c>
      <c r="X737" t="s">
        <v>14472</v>
      </c>
      <c r="Y737" t="s">
        <v>14473</v>
      </c>
      <c r="Z737" t="s">
        <v>14474</v>
      </c>
      <c r="AA737" t="s">
        <v>14475</v>
      </c>
      <c r="AB737" t="s">
        <v>14476</v>
      </c>
      <c r="AC737" t="s">
        <v>14477</v>
      </c>
      <c r="AD737" t="s">
        <v>14478</v>
      </c>
      <c r="AE737" t="s">
        <v>14479</v>
      </c>
      <c r="AF737" t="s">
        <v>74</v>
      </c>
      <c r="AG737">
        <v>77</v>
      </c>
      <c r="AH737">
        <v>38</v>
      </c>
      <c r="AI737">
        <v>45</v>
      </c>
      <c r="AJ737">
        <v>2</v>
      </c>
      <c r="AK737">
        <v>38</v>
      </c>
      <c r="AL737" t="s">
        <v>271</v>
      </c>
      <c r="AM737" t="s">
        <v>272</v>
      </c>
      <c r="AN737" t="s">
        <v>273</v>
      </c>
      <c r="AO737" t="s">
        <v>8373</v>
      </c>
      <c r="AP737" t="s">
        <v>8374</v>
      </c>
      <c r="AQ737" t="s">
        <v>74</v>
      </c>
      <c r="AR737" t="s">
        <v>8375</v>
      </c>
      <c r="AS737" t="s">
        <v>8376</v>
      </c>
      <c r="AT737" t="s">
        <v>12461</v>
      </c>
      <c r="AU737">
        <v>2017</v>
      </c>
      <c r="AV737">
        <v>122</v>
      </c>
      <c r="AW737">
        <v>12</v>
      </c>
      <c r="AX737" t="s">
        <v>74</v>
      </c>
      <c r="AY737" t="s">
        <v>74</v>
      </c>
      <c r="AZ737" t="s">
        <v>74</v>
      </c>
      <c r="BA737" t="s">
        <v>74</v>
      </c>
      <c r="BB737">
        <v>9350</v>
      </c>
      <c r="BC737">
        <v>9369</v>
      </c>
      <c r="BD737" t="s">
        <v>74</v>
      </c>
      <c r="BE737" t="s">
        <v>14480</v>
      </c>
      <c r="BF737" t="str">
        <f>HYPERLINK("http://dx.doi.org/10.1002/2017JC013281","http://dx.doi.org/10.1002/2017JC013281")</f>
        <v>http://dx.doi.org/10.1002/2017JC013281</v>
      </c>
      <c r="BG737" t="s">
        <v>74</v>
      </c>
      <c r="BH737" t="s">
        <v>74</v>
      </c>
      <c r="BI737">
        <v>20</v>
      </c>
      <c r="BJ737" t="s">
        <v>1907</v>
      </c>
      <c r="BK737" t="s">
        <v>101</v>
      </c>
      <c r="BL737" t="s">
        <v>1907</v>
      </c>
      <c r="BM737" t="s">
        <v>12731</v>
      </c>
      <c r="BN737" t="s">
        <v>74</v>
      </c>
      <c r="BO737" t="s">
        <v>354</v>
      </c>
      <c r="BP737" t="s">
        <v>74</v>
      </c>
      <c r="BQ737" t="s">
        <v>74</v>
      </c>
      <c r="BR737" t="s">
        <v>105</v>
      </c>
      <c r="BS737" t="s">
        <v>14481</v>
      </c>
      <c r="BT737" t="str">
        <f>HYPERLINK("https%3A%2F%2Fwww.webofscience.com%2Fwos%2Fwoscc%2Ffull-record%2FWOS:000422732100003","View Full Record in Web of Science")</f>
        <v>View Full Record in Web of Science</v>
      </c>
    </row>
    <row r="738" spans="1:72" x14ac:dyDescent="0.15">
      <c r="A738" t="s">
        <v>72</v>
      </c>
      <c r="B738" t="s">
        <v>14482</v>
      </c>
      <c r="C738" t="s">
        <v>74</v>
      </c>
      <c r="D738" t="s">
        <v>74</v>
      </c>
      <c r="E738" t="s">
        <v>74</v>
      </c>
      <c r="F738" t="s">
        <v>14483</v>
      </c>
      <c r="G738" t="s">
        <v>74</v>
      </c>
      <c r="H738" t="s">
        <v>74</v>
      </c>
      <c r="I738" t="s">
        <v>14484</v>
      </c>
      <c r="J738" t="s">
        <v>4805</v>
      </c>
      <c r="K738" t="s">
        <v>74</v>
      </c>
      <c r="L738" t="s">
        <v>74</v>
      </c>
      <c r="M738" t="s">
        <v>78</v>
      </c>
      <c r="N738" t="s">
        <v>79</v>
      </c>
      <c r="O738" t="s">
        <v>74</v>
      </c>
      <c r="P738" t="s">
        <v>74</v>
      </c>
      <c r="Q738" t="s">
        <v>74</v>
      </c>
      <c r="R738" t="s">
        <v>74</v>
      </c>
      <c r="S738" t="s">
        <v>74</v>
      </c>
      <c r="T738" t="s">
        <v>74</v>
      </c>
      <c r="U738" t="s">
        <v>14485</v>
      </c>
      <c r="V738" t="s">
        <v>14486</v>
      </c>
      <c r="W738" t="s">
        <v>14487</v>
      </c>
      <c r="X738" t="s">
        <v>14488</v>
      </c>
      <c r="Y738" t="s">
        <v>14489</v>
      </c>
      <c r="Z738" t="s">
        <v>14490</v>
      </c>
      <c r="AA738" t="s">
        <v>74</v>
      </c>
      <c r="AB738" t="s">
        <v>14491</v>
      </c>
      <c r="AC738" t="s">
        <v>14492</v>
      </c>
      <c r="AD738" t="s">
        <v>14493</v>
      </c>
      <c r="AE738" t="s">
        <v>14494</v>
      </c>
      <c r="AF738" t="s">
        <v>74</v>
      </c>
      <c r="AG738">
        <v>28</v>
      </c>
      <c r="AH738">
        <v>10</v>
      </c>
      <c r="AI738">
        <v>11</v>
      </c>
      <c r="AJ738">
        <v>2</v>
      </c>
      <c r="AK738">
        <v>13</v>
      </c>
      <c r="AL738" t="s">
        <v>271</v>
      </c>
      <c r="AM738" t="s">
        <v>272</v>
      </c>
      <c r="AN738" t="s">
        <v>273</v>
      </c>
      <c r="AO738" t="s">
        <v>4818</v>
      </c>
      <c r="AP738" t="s">
        <v>4819</v>
      </c>
      <c r="AQ738" t="s">
        <v>74</v>
      </c>
      <c r="AR738" t="s">
        <v>4820</v>
      </c>
      <c r="AS738" t="s">
        <v>4821</v>
      </c>
      <c r="AT738" t="s">
        <v>12461</v>
      </c>
      <c r="AU738">
        <v>2017</v>
      </c>
      <c r="AV738">
        <v>122</v>
      </c>
      <c r="AW738">
        <v>12</v>
      </c>
      <c r="AX738" t="s">
        <v>74</v>
      </c>
      <c r="AY738" t="s">
        <v>74</v>
      </c>
      <c r="AZ738" t="s">
        <v>74</v>
      </c>
      <c r="BA738" t="s">
        <v>74</v>
      </c>
      <c r="BB738">
        <v>10440</v>
      </c>
      <c r="BC738">
        <v>10458</v>
      </c>
      <c r="BD738" t="s">
        <v>74</v>
      </c>
      <c r="BE738" t="s">
        <v>14495</v>
      </c>
      <c r="BF738" t="str">
        <f>HYPERLINK("http://dx.doi.org/10.1002/2017JB014556","http://dx.doi.org/10.1002/2017JB014556")</f>
        <v>http://dx.doi.org/10.1002/2017JB014556</v>
      </c>
      <c r="BG738" t="s">
        <v>74</v>
      </c>
      <c r="BH738" t="s">
        <v>74</v>
      </c>
      <c r="BI738">
        <v>19</v>
      </c>
      <c r="BJ738" t="s">
        <v>1148</v>
      </c>
      <c r="BK738" t="s">
        <v>101</v>
      </c>
      <c r="BL738" t="s">
        <v>1148</v>
      </c>
      <c r="BM738" t="s">
        <v>14496</v>
      </c>
      <c r="BN738" t="s">
        <v>74</v>
      </c>
      <c r="BO738" t="s">
        <v>306</v>
      </c>
      <c r="BP738" t="s">
        <v>74</v>
      </c>
      <c r="BQ738" t="s">
        <v>74</v>
      </c>
      <c r="BR738" t="s">
        <v>105</v>
      </c>
      <c r="BS738" t="s">
        <v>14497</v>
      </c>
      <c r="BT738" t="str">
        <f>HYPERLINK("https%3A%2F%2Fwww.webofscience.com%2Fwos%2Fwoscc%2Ffull-record%2FWOS:000423129200004","View Full Record in Web of Science")</f>
        <v>View Full Record in Web of Science</v>
      </c>
    </row>
    <row r="739" spans="1:72" x14ac:dyDescent="0.15">
      <c r="A739" t="s">
        <v>72</v>
      </c>
      <c r="B739" t="s">
        <v>14498</v>
      </c>
      <c r="C739" t="s">
        <v>74</v>
      </c>
      <c r="D739" t="s">
        <v>74</v>
      </c>
      <c r="E739" t="s">
        <v>74</v>
      </c>
      <c r="F739" t="s">
        <v>14499</v>
      </c>
      <c r="G739" t="s">
        <v>74</v>
      </c>
      <c r="H739" t="s">
        <v>74</v>
      </c>
      <c r="I739" t="s">
        <v>14500</v>
      </c>
      <c r="J739" t="s">
        <v>8513</v>
      </c>
      <c r="K739" t="s">
        <v>74</v>
      </c>
      <c r="L739" t="s">
        <v>74</v>
      </c>
      <c r="M739" t="s">
        <v>78</v>
      </c>
      <c r="N739" t="s">
        <v>1644</v>
      </c>
      <c r="O739" t="s">
        <v>74</v>
      </c>
      <c r="P739" t="s">
        <v>74</v>
      </c>
      <c r="Q739" t="s">
        <v>74</v>
      </c>
      <c r="R739" t="s">
        <v>74</v>
      </c>
      <c r="S739" t="s">
        <v>74</v>
      </c>
      <c r="T739" t="s">
        <v>74</v>
      </c>
      <c r="U739" t="s">
        <v>14501</v>
      </c>
      <c r="V739" t="s">
        <v>14502</v>
      </c>
      <c r="W739" t="s">
        <v>14503</v>
      </c>
      <c r="X739" t="s">
        <v>4146</v>
      </c>
      <c r="Y739" t="s">
        <v>14504</v>
      </c>
      <c r="Z739" t="s">
        <v>4148</v>
      </c>
      <c r="AA739" t="s">
        <v>4149</v>
      </c>
      <c r="AB739" t="s">
        <v>14505</v>
      </c>
      <c r="AC739" t="s">
        <v>14506</v>
      </c>
      <c r="AD739" t="s">
        <v>14507</v>
      </c>
      <c r="AE739" t="s">
        <v>14508</v>
      </c>
      <c r="AF739" t="s">
        <v>74</v>
      </c>
      <c r="AG739">
        <v>27</v>
      </c>
      <c r="AH739">
        <v>7</v>
      </c>
      <c r="AI739">
        <v>7</v>
      </c>
      <c r="AJ739">
        <v>0</v>
      </c>
      <c r="AK739">
        <v>8</v>
      </c>
      <c r="AL739" t="s">
        <v>271</v>
      </c>
      <c r="AM739" t="s">
        <v>272</v>
      </c>
      <c r="AN739" t="s">
        <v>273</v>
      </c>
      <c r="AO739" t="s">
        <v>8525</v>
      </c>
      <c r="AP739" t="s">
        <v>8526</v>
      </c>
      <c r="AQ739" t="s">
        <v>74</v>
      </c>
      <c r="AR739" t="s">
        <v>8527</v>
      </c>
      <c r="AS739" t="s">
        <v>8528</v>
      </c>
      <c r="AT739" t="s">
        <v>12461</v>
      </c>
      <c r="AU739">
        <v>2017</v>
      </c>
      <c r="AV739">
        <v>122</v>
      </c>
      <c r="AW739">
        <v>12</v>
      </c>
      <c r="AX739" t="s">
        <v>74</v>
      </c>
      <c r="AY739" t="s">
        <v>74</v>
      </c>
      <c r="AZ739" t="s">
        <v>74</v>
      </c>
      <c r="BA739" t="s">
        <v>74</v>
      </c>
      <c r="BB739">
        <v>12570</v>
      </c>
      <c r="BC739">
        <v>12585</v>
      </c>
      <c r="BD739" t="s">
        <v>74</v>
      </c>
      <c r="BE739" t="s">
        <v>14509</v>
      </c>
      <c r="BF739" t="str">
        <f>HYPERLINK("http://dx.doi.org/10.1002/2017JA023880","http://dx.doi.org/10.1002/2017JA023880")</f>
        <v>http://dx.doi.org/10.1002/2017JA023880</v>
      </c>
      <c r="BG739" t="s">
        <v>74</v>
      </c>
      <c r="BH739" t="s">
        <v>74</v>
      </c>
      <c r="BI739">
        <v>16</v>
      </c>
      <c r="BJ739" t="s">
        <v>787</v>
      </c>
      <c r="BK739" t="s">
        <v>101</v>
      </c>
      <c r="BL739" t="s">
        <v>787</v>
      </c>
      <c r="BM739" t="s">
        <v>12796</v>
      </c>
      <c r="BN739" t="s">
        <v>74</v>
      </c>
      <c r="BO739" t="s">
        <v>1434</v>
      </c>
      <c r="BP739" t="s">
        <v>74</v>
      </c>
      <c r="BQ739" t="s">
        <v>74</v>
      </c>
      <c r="BR739" t="s">
        <v>105</v>
      </c>
      <c r="BS739" t="s">
        <v>14510</v>
      </c>
      <c r="BT739" t="str">
        <f>HYPERLINK("https%3A%2F%2Fwww.webofscience.com%2Fwos%2Fwoscc%2Ffull-record%2FWOS:000422735500039","View Full Record in Web of Science")</f>
        <v>View Full Record in Web of Science</v>
      </c>
    </row>
    <row r="740" spans="1:72" x14ac:dyDescent="0.15">
      <c r="A740" t="s">
        <v>72</v>
      </c>
      <c r="B740" t="s">
        <v>14511</v>
      </c>
      <c r="C740" t="s">
        <v>74</v>
      </c>
      <c r="D740" t="s">
        <v>74</v>
      </c>
      <c r="E740" t="s">
        <v>74</v>
      </c>
      <c r="F740" t="s">
        <v>14512</v>
      </c>
      <c r="G740" t="s">
        <v>74</v>
      </c>
      <c r="H740" t="s">
        <v>74</v>
      </c>
      <c r="I740" t="s">
        <v>14513</v>
      </c>
      <c r="J740" t="s">
        <v>14514</v>
      </c>
      <c r="K740" t="s">
        <v>74</v>
      </c>
      <c r="L740" t="s">
        <v>74</v>
      </c>
      <c r="M740" t="s">
        <v>78</v>
      </c>
      <c r="N740" t="s">
        <v>79</v>
      </c>
      <c r="O740" t="s">
        <v>74</v>
      </c>
      <c r="P740" t="s">
        <v>74</v>
      </c>
      <c r="Q740" t="s">
        <v>74</v>
      </c>
      <c r="R740" t="s">
        <v>74</v>
      </c>
      <c r="S740" t="s">
        <v>74</v>
      </c>
      <c r="T740" t="s">
        <v>14515</v>
      </c>
      <c r="U740" t="s">
        <v>14516</v>
      </c>
      <c r="V740" t="s">
        <v>14517</v>
      </c>
      <c r="W740" t="s">
        <v>14518</v>
      </c>
      <c r="X740" t="s">
        <v>14519</v>
      </c>
      <c r="Y740" t="s">
        <v>14520</v>
      </c>
      <c r="Z740" t="s">
        <v>14521</v>
      </c>
      <c r="AA740" t="s">
        <v>14522</v>
      </c>
      <c r="AB740" t="s">
        <v>14523</v>
      </c>
      <c r="AC740" t="s">
        <v>14524</v>
      </c>
      <c r="AD740" t="s">
        <v>14525</v>
      </c>
      <c r="AE740" t="s">
        <v>14526</v>
      </c>
      <c r="AF740" t="s">
        <v>74</v>
      </c>
      <c r="AG740">
        <v>50</v>
      </c>
      <c r="AH740">
        <v>42</v>
      </c>
      <c r="AI740">
        <v>45</v>
      </c>
      <c r="AJ740">
        <v>9</v>
      </c>
      <c r="AK740">
        <v>87</v>
      </c>
      <c r="AL740" t="s">
        <v>4270</v>
      </c>
      <c r="AM740" t="s">
        <v>4271</v>
      </c>
      <c r="AN740" t="s">
        <v>4272</v>
      </c>
      <c r="AO740" t="s">
        <v>14527</v>
      </c>
      <c r="AP740" t="s">
        <v>14528</v>
      </c>
      <c r="AQ740" t="s">
        <v>74</v>
      </c>
      <c r="AR740" t="s">
        <v>14529</v>
      </c>
      <c r="AS740" t="s">
        <v>14530</v>
      </c>
      <c r="AT740" t="s">
        <v>12461</v>
      </c>
      <c r="AU740">
        <v>2017</v>
      </c>
      <c r="AV740">
        <v>61</v>
      </c>
      <c r="AW740">
        <v>12</v>
      </c>
      <c r="AX740" t="s">
        <v>74</v>
      </c>
      <c r="AY740" t="s">
        <v>74</v>
      </c>
      <c r="AZ740" t="s">
        <v>74</v>
      </c>
      <c r="BA740" t="s">
        <v>74</v>
      </c>
      <c r="BB740" t="s">
        <v>74</v>
      </c>
      <c r="BC740" t="s">
        <v>74</v>
      </c>
      <c r="BD740">
        <v>1700098</v>
      </c>
      <c r="BE740" t="s">
        <v>14531</v>
      </c>
      <c r="BF740" t="str">
        <f>HYPERLINK("http://dx.doi.org/10.1002/mnfr.201700098","http://dx.doi.org/10.1002/mnfr.201700098")</f>
        <v>http://dx.doi.org/10.1002/mnfr.201700098</v>
      </c>
      <c r="BG740" t="s">
        <v>74</v>
      </c>
      <c r="BH740" t="s">
        <v>74</v>
      </c>
      <c r="BI740">
        <v>10</v>
      </c>
      <c r="BJ740" t="s">
        <v>4481</v>
      </c>
      <c r="BK740" t="s">
        <v>101</v>
      </c>
      <c r="BL740" t="s">
        <v>4481</v>
      </c>
      <c r="BM740" t="s">
        <v>14532</v>
      </c>
      <c r="BN740">
        <v>28812326</v>
      </c>
      <c r="BO740" t="s">
        <v>74</v>
      </c>
      <c r="BP740" t="s">
        <v>74</v>
      </c>
      <c r="BQ740" t="s">
        <v>74</v>
      </c>
      <c r="BR740" t="s">
        <v>105</v>
      </c>
      <c r="BS740" t="s">
        <v>14533</v>
      </c>
      <c r="BT740" t="str">
        <f>HYPERLINK("https%3A%2F%2Fwww.webofscience.com%2Fwos%2Fwoscc%2Ffull-record%2FWOS:000417459400009","View Full Record in Web of Science")</f>
        <v>View Full Record in Web of Science</v>
      </c>
    </row>
    <row r="741" spans="1:72" x14ac:dyDescent="0.15">
      <c r="A741" t="s">
        <v>72</v>
      </c>
      <c r="B741" t="s">
        <v>14534</v>
      </c>
      <c r="C741" t="s">
        <v>74</v>
      </c>
      <c r="D741" t="s">
        <v>74</v>
      </c>
      <c r="E741" t="s">
        <v>74</v>
      </c>
      <c r="F741" t="s">
        <v>14535</v>
      </c>
      <c r="G741" t="s">
        <v>74</v>
      </c>
      <c r="H741" t="s">
        <v>74</v>
      </c>
      <c r="I741" t="s">
        <v>14536</v>
      </c>
      <c r="J741" t="s">
        <v>5418</v>
      </c>
      <c r="K741" t="s">
        <v>74</v>
      </c>
      <c r="L741" t="s">
        <v>74</v>
      </c>
      <c r="M741" t="s">
        <v>78</v>
      </c>
      <c r="N741" t="s">
        <v>79</v>
      </c>
      <c r="O741" t="s">
        <v>74</v>
      </c>
      <c r="P741" t="s">
        <v>74</v>
      </c>
      <c r="Q741" t="s">
        <v>74</v>
      </c>
      <c r="R741" t="s">
        <v>74</v>
      </c>
      <c r="S741" t="s">
        <v>74</v>
      </c>
      <c r="T741" t="s">
        <v>74</v>
      </c>
      <c r="U741" t="s">
        <v>14537</v>
      </c>
      <c r="V741" t="s">
        <v>14538</v>
      </c>
      <c r="W741" t="s">
        <v>14539</v>
      </c>
      <c r="X741" t="s">
        <v>14540</v>
      </c>
      <c r="Y741" t="s">
        <v>14541</v>
      </c>
      <c r="Z741" t="s">
        <v>14542</v>
      </c>
      <c r="AA741" t="s">
        <v>14543</v>
      </c>
      <c r="AB741" t="s">
        <v>14544</v>
      </c>
      <c r="AC741" t="s">
        <v>14545</v>
      </c>
      <c r="AD741" t="s">
        <v>14546</v>
      </c>
      <c r="AE741" t="s">
        <v>14547</v>
      </c>
      <c r="AF741" t="s">
        <v>74</v>
      </c>
      <c r="AG741">
        <v>54</v>
      </c>
      <c r="AH741">
        <v>111</v>
      </c>
      <c r="AI741">
        <v>115</v>
      </c>
      <c r="AJ741">
        <v>3</v>
      </c>
      <c r="AK741">
        <v>73</v>
      </c>
      <c r="AL741" t="s">
        <v>697</v>
      </c>
      <c r="AM741" t="s">
        <v>698</v>
      </c>
      <c r="AN741" t="s">
        <v>699</v>
      </c>
      <c r="AO741" t="s">
        <v>5430</v>
      </c>
      <c r="AP741" t="s">
        <v>74</v>
      </c>
      <c r="AQ741" t="s">
        <v>74</v>
      </c>
      <c r="AR741" t="s">
        <v>5431</v>
      </c>
      <c r="AS741" t="s">
        <v>5432</v>
      </c>
      <c r="AT741" t="s">
        <v>12461</v>
      </c>
      <c r="AU741">
        <v>2017</v>
      </c>
      <c r="AV741">
        <v>1</v>
      </c>
      <c r="AW741">
        <v>12</v>
      </c>
      <c r="AX741" t="s">
        <v>74</v>
      </c>
      <c r="AY741" t="s">
        <v>74</v>
      </c>
      <c r="AZ741" t="s">
        <v>74</v>
      </c>
      <c r="BA741" t="s">
        <v>74</v>
      </c>
      <c r="BB741">
        <v>1846</v>
      </c>
      <c r="BC741" t="s">
        <v>1565</v>
      </c>
      <c r="BD741" t="s">
        <v>74</v>
      </c>
      <c r="BE741" t="s">
        <v>14548</v>
      </c>
      <c r="BF741" t="str">
        <f>HYPERLINK("http://dx.doi.org/10.1038/s41559-017-0353-x","http://dx.doi.org/10.1038/s41559-017-0353-x")</f>
        <v>http://dx.doi.org/10.1038/s41559-017-0353-x</v>
      </c>
      <c r="BG741" t="s">
        <v>74</v>
      </c>
      <c r="BH741" t="s">
        <v>74</v>
      </c>
      <c r="BI741">
        <v>9</v>
      </c>
      <c r="BJ741" t="s">
        <v>3858</v>
      </c>
      <c r="BK741" t="s">
        <v>101</v>
      </c>
      <c r="BL741" t="s">
        <v>3860</v>
      </c>
      <c r="BM741" t="s">
        <v>14549</v>
      </c>
      <c r="BN741">
        <v>29062125</v>
      </c>
      <c r="BO741" t="s">
        <v>74</v>
      </c>
      <c r="BP741" t="s">
        <v>74</v>
      </c>
      <c r="BQ741" t="s">
        <v>74</v>
      </c>
      <c r="BR741" t="s">
        <v>105</v>
      </c>
      <c r="BS741" t="s">
        <v>14550</v>
      </c>
      <c r="BT741" t="str">
        <f>HYPERLINK("https%3A%2F%2Fwww.webofscience.com%2Fwos%2Fwoscc%2Ffull-record%2FWOS:000417194600012","View Full Record in Web of Science")</f>
        <v>View Full Record in Web of Science</v>
      </c>
    </row>
    <row r="742" spans="1:72" x14ac:dyDescent="0.15">
      <c r="A742" t="s">
        <v>72</v>
      </c>
      <c r="B742" t="s">
        <v>14551</v>
      </c>
      <c r="C742" t="s">
        <v>74</v>
      </c>
      <c r="D742" t="s">
        <v>74</v>
      </c>
      <c r="E742" t="s">
        <v>74</v>
      </c>
      <c r="F742" t="s">
        <v>14552</v>
      </c>
      <c r="G742" t="s">
        <v>74</v>
      </c>
      <c r="H742" t="s">
        <v>74</v>
      </c>
      <c r="I742" t="s">
        <v>14553</v>
      </c>
      <c r="J742" t="s">
        <v>5418</v>
      </c>
      <c r="K742" t="s">
        <v>74</v>
      </c>
      <c r="L742" t="s">
        <v>74</v>
      </c>
      <c r="M742" t="s">
        <v>78</v>
      </c>
      <c r="N742" t="s">
        <v>79</v>
      </c>
      <c r="O742" t="s">
        <v>74</v>
      </c>
      <c r="P742" t="s">
        <v>74</v>
      </c>
      <c r="Q742" t="s">
        <v>74</v>
      </c>
      <c r="R742" t="s">
        <v>74</v>
      </c>
      <c r="S742" t="s">
        <v>74</v>
      </c>
      <c r="T742" t="s">
        <v>74</v>
      </c>
      <c r="U742" t="s">
        <v>14554</v>
      </c>
      <c r="V742" t="s">
        <v>14555</v>
      </c>
      <c r="W742" t="s">
        <v>14556</v>
      </c>
      <c r="X742" t="s">
        <v>14557</v>
      </c>
      <c r="Y742" t="s">
        <v>14558</v>
      </c>
      <c r="Z742" t="s">
        <v>14559</v>
      </c>
      <c r="AA742" t="s">
        <v>14560</v>
      </c>
      <c r="AB742" t="s">
        <v>14561</v>
      </c>
      <c r="AC742" t="s">
        <v>14562</v>
      </c>
      <c r="AD742" t="s">
        <v>14563</v>
      </c>
      <c r="AE742" t="s">
        <v>14564</v>
      </c>
      <c r="AF742" t="s">
        <v>74</v>
      </c>
      <c r="AG742">
        <v>60</v>
      </c>
      <c r="AH742">
        <v>86</v>
      </c>
      <c r="AI742">
        <v>93</v>
      </c>
      <c r="AJ742">
        <v>2</v>
      </c>
      <c r="AK742">
        <v>69</v>
      </c>
      <c r="AL742" t="s">
        <v>892</v>
      </c>
      <c r="AM742" t="s">
        <v>698</v>
      </c>
      <c r="AN742" t="s">
        <v>699</v>
      </c>
      <c r="AO742" t="s">
        <v>5430</v>
      </c>
      <c r="AP742" t="s">
        <v>74</v>
      </c>
      <c r="AQ742" t="s">
        <v>74</v>
      </c>
      <c r="AR742" t="s">
        <v>5431</v>
      </c>
      <c r="AS742" t="s">
        <v>5432</v>
      </c>
      <c r="AT742" t="s">
        <v>12461</v>
      </c>
      <c r="AU742">
        <v>2017</v>
      </c>
      <c r="AV742">
        <v>1</v>
      </c>
      <c r="AW742">
        <v>12</v>
      </c>
      <c r="AX742" t="s">
        <v>74</v>
      </c>
      <c r="AY742" t="s">
        <v>74</v>
      </c>
      <c r="AZ742" t="s">
        <v>74</v>
      </c>
      <c r="BA742" t="s">
        <v>74</v>
      </c>
      <c r="BB742">
        <v>1853</v>
      </c>
      <c r="BC742" t="s">
        <v>1565</v>
      </c>
      <c r="BD742" t="s">
        <v>74</v>
      </c>
      <c r="BE742" t="s">
        <v>14565</v>
      </c>
      <c r="BF742" t="str">
        <f>HYPERLINK("http://dx.doi.org/10.1038/s41559-017-0368-3","http://dx.doi.org/10.1038/s41559-017-0368-3")</f>
        <v>http://dx.doi.org/10.1038/s41559-017-0368-3</v>
      </c>
      <c r="BG742" t="s">
        <v>74</v>
      </c>
      <c r="BH742" t="s">
        <v>74</v>
      </c>
      <c r="BI742">
        <v>11</v>
      </c>
      <c r="BJ742" t="s">
        <v>3858</v>
      </c>
      <c r="BK742" t="s">
        <v>101</v>
      </c>
      <c r="BL742" t="s">
        <v>3860</v>
      </c>
      <c r="BM742" t="s">
        <v>14549</v>
      </c>
      <c r="BN742">
        <v>29133903</v>
      </c>
      <c r="BO742" t="s">
        <v>5571</v>
      </c>
      <c r="BP742" t="s">
        <v>74</v>
      </c>
      <c r="BQ742" t="s">
        <v>74</v>
      </c>
      <c r="BR742" t="s">
        <v>105</v>
      </c>
      <c r="BS742" t="s">
        <v>14566</v>
      </c>
      <c r="BT742" t="str">
        <f>HYPERLINK("https%3A%2F%2Fwww.webofscience.com%2Fwos%2Fwoscc%2Ffull-record%2FWOS:000417194600013","View Full Record in Web of Science")</f>
        <v>View Full Record in Web of Science</v>
      </c>
    </row>
    <row r="743" spans="1:72" x14ac:dyDescent="0.15">
      <c r="A743" t="s">
        <v>72</v>
      </c>
      <c r="B743" t="s">
        <v>14567</v>
      </c>
      <c r="C743" t="s">
        <v>74</v>
      </c>
      <c r="D743" t="s">
        <v>74</v>
      </c>
      <c r="E743" t="s">
        <v>74</v>
      </c>
      <c r="F743" t="s">
        <v>14568</v>
      </c>
      <c r="G743" t="s">
        <v>74</v>
      </c>
      <c r="H743" t="s">
        <v>74</v>
      </c>
      <c r="I743" t="s">
        <v>14569</v>
      </c>
      <c r="J743" t="s">
        <v>14570</v>
      </c>
      <c r="K743" t="s">
        <v>74</v>
      </c>
      <c r="L743" t="s">
        <v>74</v>
      </c>
      <c r="M743" t="s">
        <v>78</v>
      </c>
      <c r="N743" t="s">
        <v>79</v>
      </c>
      <c r="O743" t="s">
        <v>74</v>
      </c>
      <c r="P743" t="s">
        <v>74</v>
      </c>
      <c r="Q743" t="s">
        <v>74</v>
      </c>
      <c r="R743" t="s">
        <v>74</v>
      </c>
      <c r="S743" t="s">
        <v>74</v>
      </c>
      <c r="T743" t="s">
        <v>74</v>
      </c>
      <c r="U743" t="s">
        <v>14571</v>
      </c>
      <c r="V743" t="s">
        <v>14572</v>
      </c>
      <c r="W743" t="s">
        <v>14573</v>
      </c>
      <c r="X743" t="s">
        <v>14574</v>
      </c>
      <c r="Y743" t="s">
        <v>14575</v>
      </c>
      <c r="Z743" t="s">
        <v>14576</v>
      </c>
      <c r="AA743" t="s">
        <v>14577</v>
      </c>
      <c r="AB743" t="s">
        <v>14578</v>
      </c>
      <c r="AC743" t="s">
        <v>14579</v>
      </c>
      <c r="AD743" t="s">
        <v>14580</v>
      </c>
      <c r="AE743" t="s">
        <v>14581</v>
      </c>
      <c r="AF743" t="s">
        <v>74</v>
      </c>
      <c r="AG743">
        <v>72</v>
      </c>
      <c r="AH743">
        <v>124</v>
      </c>
      <c r="AI743">
        <v>139</v>
      </c>
      <c r="AJ743">
        <v>8</v>
      </c>
      <c r="AK743">
        <v>128</v>
      </c>
      <c r="AL743" t="s">
        <v>673</v>
      </c>
      <c r="AM743" t="s">
        <v>1797</v>
      </c>
      <c r="AN743" t="s">
        <v>2511</v>
      </c>
      <c r="AO743" t="s">
        <v>14582</v>
      </c>
      <c r="AP743" t="s">
        <v>14583</v>
      </c>
      <c r="AQ743" t="s">
        <v>74</v>
      </c>
      <c r="AR743" t="s">
        <v>14584</v>
      </c>
      <c r="AS743" t="s">
        <v>14585</v>
      </c>
      <c r="AT743" t="s">
        <v>12461</v>
      </c>
      <c r="AU743">
        <v>2017</v>
      </c>
      <c r="AV743">
        <v>10</v>
      </c>
      <c r="AW743">
        <v>12</v>
      </c>
      <c r="AX743" t="s">
        <v>74</v>
      </c>
      <c r="AY743" t="s">
        <v>74</v>
      </c>
      <c r="AZ743" t="s">
        <v>74</v>
      </c>
      <c r="BA743" t="s">
        <v>74</v>
      </c>
      <c r="BB743">
        <v>941</v>
      </c>
      <c r="BC743" t="s">
        <v>1565</v>
      </c>
      <c r="BD743" t="s">
        <v>74</v>
      </c>
      <c r="BE743" t="s">
        <v>14586</v>
      </c>
      <c r="BF743" t="str">
        <f>HYPERLINK("http://dx.doi.org/10.1038/s41561-017-0003-6","http://dx.doi.org/10.1038/s41561-017-0003-6")</f>
        <v>http://dx.doi.org/10.1038/s41561-017-0003-6</v>
      </c>
      <c r="BG743" t="s">
        <v>74</v>
      </c>
      <c r="BH743" t="s">
        <v>74</v>
      </c>
      <c r="BI743">
        <v>8</v>
      </c>
      <c r="BJ743" t="s">
        <v>280</v>
      </c>
      <c r="BK743" t="s">
        <v>101</v>
      </c>
      <c r="BL743" t="s">
        <v>281</v>
      </c>
      <c r="BM743" t="s">
        <v>14587</v>
      </c>
      <c r="BN743" t="s">
        <v>74</v>
      </c>
      <c r="BO743" t="s">
        <v>74</v>
      </c>
      <c r="BP743" t="s">
        <v>74</v>
      </c>
      <c r="BQ743" t="s">
        <v>74</v>
      </c>
      <c r="BR743" t="s">
        <v>105</v>
      </c>
      <c r="BS743" t="s">
        <v>14588</v>
      </c>
      <c r="BT743" t="str">
        <f>HYPERLINK("https%3A%2F%2Fwww.webofscience.com%2Fwos%2Fwoscc%2Ffull-record%2FWOS:000416858000017","View Full Record in Web of Science")</f>
        <v>View Full Record in Web of Science</v>
      </c>
    </row>
    <row r="744" spans="1:72" x14ac:dyDescent="0.15">
      <c r="A744" t="s">
        <v>72</v>
      </c>
      <c r="B744" t="s">
        <v>14589</v>
      </c>
      <c r="C744" t="s">
        <v>74</v>
      </c>
      <c r="D744" t="s">
        <v>74</v>
      </c>
      <c r="E744" t="s">
        <v>74</v>
      </c>
      <c r="F744" t="s">
        <v>14590</v>
      </c>
      <c r="G744" t="s">
        <v>74</v>
      </c>
      <c r="H744" t="s">
        <v>74</v>
      </c>
      <c r="I744" t="s">
        <v>14591</v>
      </c>
      <c r="J744" t="s">
        <v>5552</v>
      </c>
      <c r="K744" t="s">
        <v>74</v>
      </c>
      <c r="L744" t="s">
        <v>74</v>
      </c>
      <c r="M744" t="s">
        <v>78</v>
      </c>
      <c r="N744" t="s">
        <v>79</v>
      </c>
      <c r="O744" t="s">
        <v>74</v>
      </c>
      <c r="P744" t="s">
        <v>74</v>
      </c>
      <c r="Q744" t="s">
        <v>74</v>
      </c>
      <c r="R744" t="s">
        <v>74</v>
      </c>
      <c r="S744" t="s">
        <v>74</v>
      </c>
      <c r="T744" t="s">
        <v>14592</v>
      </c>
      <c r="U744" t="s">
        <v>14593</v>
      </c>
      <c r="V744" t="s">
        <v>14594</v>
      </c>
      <c r="W744" t="s">
        <v>14595</v>
      </c>
      <c r="X744" t="s">
        <v>14596</v>
      </c>
      <c r="Y744" t="s">
        <v>14597</v>
      </c>
      <c r="Z744" t="s">
        <v>14598</v>
      </c>
      <c r="AA744" t="s">
        <v>74</v>
      </c>
      <c r="AB744" t="s">
        <v>14599</v>
      </c>
      <c r="AC744" t="s">
        <v>14600</v>
      </c>
      <c r="AD744" t="s">
        <v>1226</v>
      </c>
      <c r="AE744" t="s">
        <v>14601</v>
      </c>
      <c r="AF744" t="s">
        <v>74</v>
      </c>
      <c r="AG744">
        <v>52</v>
      </c>
      <c r="AH744">
        <v>7</v>
      </c>
      <c r="AI744">
        <v>7</v>
      </c>
      <c r="AJ744">
        <v>1</v>
      </c>
      <c r="AK744">
        <v>29</v>
      </c>
      <c r="AL744" t="s">
        <v>1973</v>
      </c>
      <c r="AM744" t="s">
        <v>1797</v>
      </c>
      <c r="AN744" t="s">
        <v>5588</v>
      </c>
      <c r="AO744" t="s">
        <v>5565</v>
      </c>
      <c r="AP744" t="s">
        <v>5566</v>
      </c>
      <c r="AQ744" t="s">
        <v>74</v>
      </c>
      <c r="AR744" t="s">
        <v>5567</v>
      </c>
      <c r="AS744" t="s">
        <v>5568</v>
      </c>
      <c r="AT744" t="s">
        <v>12461</v>
      </c>
      <c r="AU744">
        <v>2017</v>
      </c>
      <c r="AV744">
        <v>40</v>
      </c>
      <c r="AW744">
        <v>12</v>
      </c>
      <c r="AX744" t="s">
        <v>74</v>
      </c>
      <c r="AY744" t="s">
        <v>74</v>
      </c>
      <c r="AZ744" t="s">
        <v>74</v>
      </c>
      <c r="BA744" t="s">
        <v>74</v>
      </c>
      <c r="BB744">
        <v>2351</v>
      </c>
      <c r="BC744">
        <v>2361</v>
      </c>
      <c r="BD744" t="s">
        <v>74</v>
      </c>
      <c r="BE744" t="s">
        <v>14602</v>
      </c>
      <c r="BF744" t="str">
        <f>HYPERLINK("http://dx.doi.org/10.1007/s00300-017-2149-5","http://dx.doi.org/10.1007/s00300-017-2149-5")</f>
        <v>http://dx.doi.org/10.1007/s00300-017-2149-5</v>
      </c>
      <c r="BG744" t="s">
        <v>74</v>
      </c>
      <c r="BH744" t="s">
        <v>74</v>
      </c>
      <c r="BI744">
        <v>11</v>
      </c>
      <c r="BJ744" t="s">
        <v>4277</v>
      </c>
      <c r="BK744" t="s">
        <v>101</v>
      </c>
      <c r="BL744" t="s">
        <v>4278</v>
      </c>
      <c r="BM744" t="s">
        <v>13050</v>
      </c>
      <c r="BN744" t="s">
        <v>74</v>
      </c>
      <c r="BO744" t="s">
        <v>74</v>
      </c>
      <c r="BP744" t="s">
        <v>74</v>
      </c>
      <c r="BQ744" t="s">
        <v>74</v>
      </c>
      <c r="BR744" t="s">
        <v>105</v>
      </c>
      <c r="BS744" t="s">
        <v>14603</v>
      </c>
      <c r="BT744" t="str">
        <f>HYPERLINK("https%3A%2F%2Fwww.webofscience.com%2Fwos%2Fwoscc%2Ffull-record%2FWOS:000418386500003","View Full Record in Web of Science")</f>
        <v>View Full Record in Web of Science</v>
      </c>
    </row>
    <row r="745" spans="1:72" x14ac:dyDescent="0.15">
      <c r="A745" t="s">
        <v>72</v>
      </c>
      <c r="B745" t="s">
        <v>14604</v>
      </c>
      <c r="C745" t="s">
        <v>74</v>
      </c>
      <c r="D745" t="s">
        <v>74</v>
      </c>
      <c r="E745" t="s">
        <v>74</v>
      </c>
      <c r="F745" t="s">
        <v>14605</v>
      </c>
      <c r="G745" t="s">
        <v>74</v>
      </c>
      <c r="H745" t="s">
        <v>74</v>
      </c>
      <c r="I745" t="s">
        <v>14606</v>
      </c>
      <c r="J745" t="s">
        <v>5552</v>
      </c>
      <c r="K745" t="s">
        <v>74</v>
      </c>
      <c r="L745" t="s">
        <v>74</v>
      </c>
      <c r="M745" t="s">
        <v>78</v>
      </c>
      <c r="N745" t="s">
        <v>79</v>
      </c>
      <c r="O745" t="s">
        <v>74</v>
      </c>
      <c r="P745" t="s">
        <v>74</v>
      </c>
      <c r="Q745" t="s">
        <v>74</v>
      </c>
      <c r="R745" t="s">
        <v>74</v>
      </c>
      <c r="S745" t="s">
        <v>74</v>
      </c>
      <c r="T745" t="s">
        <v>14607</v>
      </c>
      <c r="U745" t="s">
        <v>14608</v>
      </c>
      <c r="V745" t="s">
        <v>14609</v>
      </c>
      <c r="W745" t="s">
        <v>14610</v>
      </c>
      <c r="X745" t="s">
        <v>14611</v>
      </c>
      <c r="Y745" t="s">
        <v>14612</v>
      </c>
      <c r="Z745" t="s">
        <v>14613</v>
      </c>
      <c r="AA745" t="s">
        <v>14614</v>
      </c>
      <c r="AB745" t="s">
        <v>74</v>
      </c>
      <c r="AC745" t="s">
        <v>14615</v>
      </c>
      <c r="AD745" t="s">
        <v>14616</v>
      </c>
      <c r="AE745" t="s">
        <v>14617</v>
      </c>
      <c r="AF745" t="s">
        <v>74</v>
      </c>
      <c r="AG745">
        <v>56</v>
      </c>
      <c r="AH745">
        <v>8</v>
      </c>
      <c r="AI745">
        <v>10</v>
      </c>
      <c r="AJ745">
        <v>1</v>
      </c>
      <c r="AK745">
        <v>22</v>
      </c>
      <c r="AL745" t="s">
        <v>1973</v>
      </c>
      <c r="AM745" t="s">
        <v>1797</v>
      </c>
      <c r="AN745" t="s">
        <v>4066</v>
      </c>
      <c r="AO745" t="s">
        <v>5565</v>
      </c>
      <c r="AP745" t="s">
        <v>5566</v>
      </c>
      <c r="AQ745" t="s">
        <v>74</v>
      </c>
      <c r="AR745" t="s">
        <v>5567</v>
      </c>
      <c r="AS745" t="s">
        <v>5568</v>
      </c>
      <c r="AT745" t="s">
        <v>12461</v>
      </c>
      <c r="AU745">
        <v>2017</v>
      </c>
      <c r="AV745">
        <v>40</v>
      </c>
      <c r="AW745">
        <v>12</v>
      </c>
      <c r="AX745" t="s">
        <v>74</v>
      </c>
      <c r="AY745" t="s">
        <v>74</v>
      </c>
      <c r="AZ745" t="s">
        <v>74</v>
      </c>
      <c r="BA745" t="s">
        <v>74</v>
      </c>
      <c r="BB745">
        <v>2457</v>
      </c>
      <c r="BC745">
        <v>2468</v>
      </c>
      <c r="BD745" t="s">
        <v>74</v>
      </c>
      <c r="BE745" t="s">
        <v>14618</v>
      </c>
      <c r="BF745" t="str">
        <f>HYPERLINK("http://dx.doi.org/10.1007/s00300-017-2157-5","http://dx.doi.org/10.1007/s00300-017-2157-5")</f>
        <v>http://dx.doi.org/10.1007/s00300-017-2157-5</v>
      </c>
      <c r="BG745" t="s">
        <v>74</v>
      </c>
      <c r="BH745" t="s">
        <v>74</v>
      </c>
      <c r="BI745">
        <v>12</v>
      </c>
      <c r="BJ745" t="s">
        <v>4277</v>
      </c>
      <c r="BK745" t="s">
        <v>101</v>
      </c>
      <c r="BL745" t="s">
        <v>4278</v>
      </c>
      <c r="BM745" t="s">
        <v>13050</v>
      </c>
      <c r="BN745" t="s">
        <v>74</v>
      </c>
      <c r="BO745" t="s">
        <v>432</v>
      </c>
      <c r="BP745" t="s">
        <v>74</v>
      </c>
      <c r="BQ745" t="s">
        <v>74</v>
      </c>
      <c r="BR745" t="s">
        <v>105</v>
      </c>
      <c r="BS745" t="s">
        <v>14619</v>
      </c>
      <c r="BT745" t="str">
        <f>HYPERLINK("https%3A%2F%2Fwww.webofscience.com%2Fwos%2Fwoscc%2Ffull-record%2FWOS:000418386500011","View Full Record in Web of Science")</f>
        <v>View Full Record in Web of Science</v>
      </c>
    </row>
    <row r="746" spans="1:72" x14ac:dyDescent="0.15">
      <c r="A746" t="s">
        <v>72</v>
      </c>
      <c r="B746" t="s">
        <v>14620</v>
      </c>
      <c r="C746" t="s">
        <v>74</v>
      </c>
      <c r="D746" t="s">
        <v>74</v>
      </c>
      <c r="E746" t="s">
        <v>74</v>
      </c>
      <c r="F746" t="s">
        <v>14621</v>
      </c>
      <c r="G746" t="s">
        <v>74</v>
      </c>
      <c r="H746" t="s">
        <v>74</v>
      </c>
      <c r="I746" t="s">
        <v>14622</v>
      </c>
      <c r="J746" t="s">
        <v>13686</v>
      </c>
      <c r="K746" t="s">
        <v>74</v>
      </c>
      <c r="L746" t="s">
        <v>74</v>
      </c>
      <c r="M746" t="s">
        <v>78</v>
      </c>
      <c r="N746" t="s">
        <v>79</v>
      </c>
      <c r="O746" t="s">
        <v>74</v>
      </c>
      <c r="P746" t="s">
        <v>74</v>
      </c>
      <c r="Q746" t="s">
        <v>74</v>
      </c>
      <c r="R746" t="s">
        <v>74</v>
      </c>
      <c r="S746" t="s">
        <v>74</v>
      </c>
      <c r="T746" t="s">
        <v>14623</v>
      </c>
      <c r="U746" t="s">
        <v>14624</v>
      </c>
      <c r="V746" t="s">
        <v>14625</v>
      </c>
      <c r="W746" t="s">
        <v>14626</v>
      </c>
      <c r="X746" t="s">
        <v>14627</v>
      </c>
      <c r="Y746" t="s">
        <v>14628</v>
      </c>
      <c r="Z746" t="s">
        <v>14629</v>
      </c>
      <c r="AA746" t="s">
        <v>74</v>
      </c>
      <c r="AB746" t="s">
        <v>74</v>
      </c>
      <c r="AC746" t="s">
        <v>14630</v>
      </c>
      <c r="AD746" t="s">
        <v>14631</v>
      </c>
      <c r="AE746" t="s">
        <v>14632</v>
      </c>
      <c r="AF746" t="s">
        <v>74</v>
      </c>
      <c r="AG746">
        <v>15</v>
      </c>
      <c r="AH746">
        <v>3</v>
      </c>
      <c r="AI746">
        <v>3</v>
      </c>
      <c r="AJ746">
        <v>1</v>
      </c>
      <c r="AK746">
        <v>22</v>
      </c>
      <c r="AL746" t="s">
        <v>807</v>
      </c>
      <c r="AM746" t="s">
        <v>808</v>
      </c>
      <c r="AN746" t="s">
        <v>809</v>
      </c>
      <c r="AO746" t="s">
        <v>13699</v>
      </c>
      <c r="AP746" t="s">
        <v>13700</v>
      </c>
      <c r="AQ746" t="s">
        <v>74</v>
      </c>
      <c r="AR746" t="s">
        <v>13701</v>
      </c>
      <c r="AS746" t="s">
        <v>13702</v>
      </c>
      <c r="AT746" t="s">
        <v>12461</v>
      </c>
      <c r="AU746">
        <v>2017</v>
      </c>
      <c r="AV746">
        <v>14</v>
      </c>
      <c r="AW746" t="s">
        <v>74</v>
      </c>
      <c r="AX746" t="s">
        <v>74</v>
      </c>
      <c r="AY746" t="s">
        <v>74</v>
      </c>
      <c r="AZ746" t="s">
        <v>74</v>
      </c>
      <c r="BA746" t="s">
        <v>74</v>
      </c>
      <c r="BB746">
        <v>30</v>
      </c>
      <c r="BC746">
        <v>38</v>
      </c>
      <c r="BD746" t="s">
        <v>74</v>
      </c>
      <c r="BE746" t="s">
        <v>14633</v>
      </c>
      <c r="BF746" t="str">
        <f>HYPERLINK("http://dx.doi.org/10.1016/j.polar.2017.10.002","http://dx.doi.org/10.1016/j.polar.2017.10.002")</f>
        <v>http://dx.doi.org/10.1016/j.polar.2017.10.002</v>
      </c>
      <c r="BG746" t="s">
        <v>74</v>
      </c>
      <c r="BH746" t="s">
        <v>74</v>
      </c>
      <c r="BI746">
        <v>9</v>
      </c>
      <c r="BJ746" t="s">
        <v>157</v>
      </c>
      <c r="BK746" t="s">
        <v>101</v>
      </c>
      <c r="BL746" t="s">
        <v>158</v>
      </c>
      <c r="BM746" t="s">
        <v>13704</v>
      </c>
      <c r="BN746" t="s">
        <v>74</v>
      </c>
      <c r="BO746" t="s">
        <v>74</v>
      </c>
      <c r="BP746" t="s">
        <v>74</v>
      </c>
      <c r="BQ746" t="s">
        <v>74</v>
      </c>
      <c r="BR746" t="s">
        <v>105</v>
      </c>
      <c r="BS746" t="s">
        <v>14634</v>
      </c>
      <c r="BT746" t="str">
        <f>HYPERLINK("https%3A%2F%2Fwww.webofscience.com%2Fwos%2Fwoscc%2Ffull-record%2FWOS:000417043600004","View Full Record in Web of Science")</f>
        <v>View Full Record in Web of Science</v>
      </c>
    </row>
    <row r="747" spans="1:72" x14ac:dyDescent="0.15">
      <c r="A747" t="s">
        <v>72</v>
      </c>
      <c r="B747" t="s">
        <v>14635</v>
      </c>
      <c r="C747" t="s">
        <v>74</v>
      </c>
      <c r="D747" t="s">
        <v>74</v>
      </c>
      <c r="E747" t="s">
        <v>74</v>
      </c>
      <c r="F747" t="s">
        <v>14636</v>
      </c>
      <c r="G747" t="s">
        <v>74</v>
      </c>
      <c r="H747" t="s">
        <v>74</v>
      </c>
      <c r="I747" t="s">
        <v>14637</v>
      </c>
      <c r="J747" t="s">
        <v>13686</v>
      </c>
      <c r="K747" t="s">
        <v>74</v>
      </c>
      <c r="L747" t="s">
        <v>74</v>
      </c>
      <c r="M747" t="s">
        <v>78</v>
      </c>
      <c r="N747" t="s">
        <v>79</v>
      </c>
      <c r="O747" t="s">
        <v>74</v>
      </c>
      <c r="P747" t="s">
        <v>74</v>
      </c>
      <c r="Q747" t="s">
        <v>74</v>
      </c>
      <c r="R747" t="s">
        <v>74</v>
      </c>
      <c r="S747" t="s">
        <v>74</v>
      </c>
      <c r="T747" t="s">
        <v>14638</v>
      </c>
      <c r="U747" t="s">
        <v>14639</v>
      </c>
      <c r="V747" t="s">
        <v>14640</v>
      </c>
      <c r="W747" t="s">
        <v>14641</v>
      </c>
      <c r="X747" t="s">
        <v>14642</v>
      </c>
      <c r="Y747" t="s">
        <v>14643</v>
      </c>
      <c r="Z747" t="s">
        <v>14644</v>
      </c>
      <c r="AA747" t="s">
        <v>14645</v>
      </c>
      <c r="AB747" t="s">
        <v>14646</v>
      </c>
      <c r="AC747" t="s">
        <v>14647</v>
      </c>
      <c r="AD747" t="s">
        <v>14648</v>
      </c>
      <c r="AE747" t="s">
        <v>14649</v>
      </c>
      <c r="AF747" t="s">
        <v>74</v>
      </c>
      <c r="AG747">
        <v>64</v>
      </c>
      <c r="AH747">
        <v>19</v>
      </c>
      <c r="AI747">
        <v>21</v>
      </c>
      <c r="AJ747">
        <v>4</v>
      </c>
      <c r="AK747">
        <v>53</v>
      </c>
      <c r="AL747" t="s">
        <v>1186</v>
      </c>
      <c r="AM747" t="s">
        <v>808</v>
      </c>
      <c r="AN747" t="s">
        <v>1187</v>
      </c>
      <c r="AO747" t="s">
        <v>13699</v>
      </c>
      <c r="AP747" t="s">
        <v>13700</v>
      </c>
      <c r="AQ747" t="s">
        <v>74</v>
      </c>
      <c r="AR747" t="s">
        <v>13701</v>
      </c>
      <c r="AS747" t="s">
        <v>13702</v>
      </c>
      <c r="AT747" t="s">
        <v>12461</v>
      </c>
      <c r="AU747">
        <v>2017</v>
      </c>
      <c r="AV747">
        <v>14</v>
      </c>
      <c r="AW747" t="s">
        <v>74</v>
      </c>
      <c r="AX747" t="s">
        <v>74</v>
      </c>
      <c r="AY747" t="s">
        <v>74</v>
      </c>
      <c r="AZ747" t="s">
        <v>74</v>
      </c>
      <c r="BA747" t="s">
        <v>74</v>
      </c>
      <c r="BB747">
        <v>60</v>
      </c>
      <c r="BC747">
        <v>67</v>
      </c>
      <c r="BD747" t="s">
        <v>74</v>
      </c>
      <c r="BE747" t="s">
        <v>14650</v>
      </c>
      <c r="BF747" t="str">
        <f>HYPERLINK("http://dx.doi.org/10.1016/j.polar.2017.09.005","http://dx.doi.org/10.1016/j.polar.2017.09.005")</f>
        <v>http://dx.doi.org/10.1016/j.polar.2017.09.005</v>
      </c>
      <c r="BG747" t="s">
        <v>74</v>
      </c>
      <c r="BH747" t="s">
        <v>74</v>
      </c>
      <c r="BI747">
        <v>8</v>
      </c>
      <c r="BJ747" t="s">
        <v>157</v>
      </c>
      <c r="BK747" t="s">
        <v>101</v>
      </c>
      <c r="BL747" t="s">
        <v>158</v>
      </c>
      <c r="BM747" t="s">
        <v>13704</v>
      </c>
      <c r="BN747" t="s">
        <v>74</v>
      </c>
      <c r="BO747" t="s">
        <v>1168</v>
      </c>
      <c r="BP747" t="s">
        <v>74</v>
      </c>
      <c r="BQ747" t="s">
        <v>74</v>
      </c>
      <c r="BR747" t="s">
        <v>105</v>
      </c>
      <c r="BS747" t="s">
        <v>14651</v>
      </c>
      <c r="BT747" t="str">
        <f>HYPERLINK("https%3A%2F%2Fwww.webofscience.com%2Fwos%2Fwoscc%2Ffull-record%2FWOS:000417043600007","View Full Record in Web of Science")</f>
        <v>View Full Record in Web of Science</v>
      </c>
    </row>
    <row r="748" spans="1:72" x14ac:dyDescent="0.15">
      <c r="A748" t="s">
        <v>72</v>
      </c>
      <c r="B748" t="s">
        <v>14652</v>
      </c>
      <c r="C748" t="s">
        <v>74</v>
      </c>
      <c r="D748" t="s">
        <v>74</v>
      </c>
      <c r="E748" t="s">
        <v>74</v>
      </c>
      <c r="F748" t="s">
        <v>14653</v>
      </c>
      <c r="G748" t="s">
        <v>74</v>
      </c>
      <c r="H748" t="s">
        <v>74</v>
      </c>
      <c r="I748" t="s">
        <v>14654</v>
      </c>
      <c r="J748" t="s">
        <v>9156</v>
      </c>
      <c r="K748" t="s">
        <v>74</v>
      </c>
      <c r="L748" t="s">
        <v>74</v>
      </c>
      <c r="M748" t="s">
        <v>78</v>
      </c>
      <c r="N748" t="s">
        <v>79</v>
      </c>
      <c r="O748" t="s">
        <v>74</v>
      </c>
      <c r="P748" t="s">
        <v>74</v>
      </c>
      <c r="Q748" t="s">
        <v>74</v>
      </c>
      <c r="R748" t="s">
        <v>74</v>
      </c>
      <c r="S748" t="s">
        <v>74</v>
      </c>
      <c r="T748" t="s">
        <v>14655</v>
      </c>
      <c r="U748" t="s">
        <v>14656</v>
      </c>
      <c r="V748" t="s">
        <v>14657</v>
      </c>
      <c r="W748" t="s">
        <v>14658</v>
      </c>
      <c r="X748" t="s">
        <v>14659</v>
      </c>
      <c r="Y748" t="s">
        <v>14660</v>
      </c>
      <c r="Z748" t="s">
        <v>14661</v>
      </c>
      <c r="AA748" t="s">
        <v>14662</v>
      </c>
      <c r="AB748" t="s">
        <v>14663</v>
      </c>
      <c r="AC748" t="s">
        <v>14664</v>
      </c>
      <c r="AD748" t="s">
        <v>14665</v>
      </c>
      <c r="AE748" t="s">
        <v>14666</v>
      </c>
      <c r="AF748" t="s">
        <v>74</v>
      </c>
      <c r="AG748">
        <v>123</v>
      </c>
      <c r="AH748">
        <v>8</v>
      </c>
      <c r="AI748">
        <v>8</v>
      </c>
      <c r="AJ748">
        <v>1</v>
      </c>
      <c r="AK748">
        <v>6</v>
      </c>
      <c r="AL748" t="s">
        <v>1139</v>
      </c>
      <c r="AM748" t="s">
        <v>1140</v>
      </c>
      <c r="AN748" t="s">
        <v>1141</v>
      </c>
      <c r="AO748" t="s">
        <v>9169</v>
      </c>
      <c r="AP748" t="s">
        <v>74</v>
      </c>
      <c r="AQ748" t="s">
        <v>74</v>
      </c>
      <c r="AR748" t="s">
        <v>9171</v>
      </c>
      <c r="AS748" t="s">
        <v>9172</v>
      </c>
      <c r="AT748" t="s">
        <v>12906</v>
      </c>
      <c r="AU748">
        <v>2017</v>
      </c>
      <c r="AV748">
        <v>177</v>
      </c>
      <c r="AW748" t="s">
        <v>74</v>
      </c>
      <c r="AX748" t="s">
        <v>74</v>
      </c>
      <c r="AY748" t="s">
        <v>74</v>
      </c>
      <c r="AZ748" t="s">
        <v>74</v>
      </c>
      <c r="BA748" t="s">
        <v>74</v>
      </c>
      <c r="BB748">
        <v>189</v>
      </c>
      <c r="BC748">
        <v>219</v>
      </c>
      <c r="BD748" t="s">
        <v>74</v>
      </c>
      <c r="BE748" t="s">
        <v>14667</v>
      </c>
      <c r="BF748" t="str">
        <f>HYPERLINK("http://dx.doi.org/10.1016/j.quascirev.2017.10.016","http://dx.doi.org/10.1016/j.quascirev.2017.10.016")</f>
        <v>http://dx.doi.org/10.1016/j.quascirev.2017.10.016</v>
      </c>
      <c r="BG748" t="s">
        <v>74</v>
      </c>
      <c r="BH748" t="s">
        <v>74</v>
      </c>
      <c r="BI748">
        <v>31</v>
      </c>
      <c r="BJ748" t="s">
        <v>233</v>
      </c>
      <c r="BK748" t="s">
        <v>101</v>
      </c>
      <c r="BL748" t="s">
        <v>234</v>
      </c>
      <c r="BM748" t="s">
        <v>13312</v>
      </c>
      <c r="BN748" t="s">
        <v>74</v>
      </c>
      <c r="BO748" t="s">
        <v>1751</v>
      </c>
      <c r="BP748" t="s">
        <v>74</v>
      </c>
      <c r="BQ748" t="s">
        <v>74</v>
      </c>
      <c r="BR748" t="s">
        <v>105</v>
      </c>
      <c r="BS748" t="s">
        <v>14668</v>
      </c>
      <c r="BT748" t="str">
        <f>HYPERLINK("https%3A%2F%2Fwww.webofscience.com%2Fwos%2Fwoscc%2Ffull-record%2FWOS:000418203900013","View Full Record in Web of Science")</f>
        <v>View Full Record in Web of Science</v>
      </c>
    </row>
    <row r="749" spans="1:72" x14ac:dyDescent="0.15">
      <c r="A749" t="s">
        <v>72</v>
      </c>
      <c r="B749" t="s">
        <v>14669</v>
      </c>
      <c r="C749" t="s">
        <v>74</v>
      </c>
      <c r="D749" t="s">
        <v>74</v>
      </c>
      <c r="E749" t="s">
        <v>74</v>
      </c>
      <c r="F749" t="s">
        <v>14670</v>
      </c>
      <c r="G749" t="s">
        <v>74</v>
      </c>
      <c r="H749" t="s">
        <v>74</v>
      </c>
      <c r="I749" t="s">
        <v>14671</v>
      </c>
      <c r="J749" t="s">
        <v>1100</v>
      </c>
      <c r="K749" t="s">
        <v>74</v>
      </c>
      <c r="L749" t="s">
        <v>74</v>
      </c>
      <c r="M749" t="s">
        <v>78</v>
      </c>
      <c r="N749" t="s">
        <v>79</v>
      </c>
      <c r="O749" t="s">
        <v>74</v>
      </c>
      <c r="P749" t="s">
        <v>74</v>
      </c>
      <c r="Q749" t="s">
        <v>74</v>
      </c>
      <c r="R749" t="s">
        <v>74</v>
      </c>
      <c r="S749" t="s">
        <v>74</v>
      </c>
      <c r="T749" t="s">
        <v>14672</v>
      </c>
      <c r="U749" t="s">
        <v>14673</v>
      </c>
      <c r="V749" t="s">
        <v>14674</v>
      </c>
      <c r="W749" t="s">
        <v>14675</v>
      </c>
      <c r="X749" t="s">
        <v>14676</v>
      </c>
      <c r="Y749" t="s">
        <v>14677</v>
      </c>
      <c r="Z749" t="s">
        <v>14678</v>
      </c>
      <c r="AA749" t="s">
        <v>14679</v>
      </c>
      <c r="AB749" t="s">
        <v>14680</v>
      </c>
      <c r="AC749" t="s">
        <v>14681</v>
      </c>
      <c r="AD749" t="s">
        <v>14682</v>
      </c>
      <c r="AE749" t="s">
        <v>14683</v>
      </c>
      <c r="AF749" t="s">
        <v>74</v>
      </c>
      <c r="AG749">
        <v>60</v>
      </c>
      <c r="AH749">
        <v>31</v>
      </c>
      <c r="AI749">
        <v>33</v>
      </c>
      <c r="AJ749">
        <v>0</v>
      </c>
      <c r="AK749">
        <v>40</v>
      </c>
      <c r="AL749" t="s">
        <v>807</v>
      </c>
      <c r="AM749" t="s">
        <v>808</v>
      </c>
      <c r="AN749" t="s">
        <v>809</v>
      </c>
      <c r="AO749" t="s">
        <v>1113</v>
      </c>
      <c r="AP749" t="s">
        <v>1114</v>
      </c>
      <c r="AQ749" t="s">
        <v>74</v>
      </c>
      <c r="AR749" t="s">
        <v>1115</v>
      </c>
      <c r="AS749" t="s">
        <v>1116</v>
      </c>
      <c r="AT749" t="s">
        <v>12906</v>
      </c>
      <c r="AU749">
        <v>2017</v>
      </c>
      <c r="AV749">
        <v>601</v>
      </c>
      <c r="AW749" t="s">
        <v>74</v>
      </c>
      <c r="AX749" t="s">
        <v>74</v>
      </c>
      <c r="AY749" t="s">
        <v>74</v>
      </c>
      <c r="AZ749" t="s">
        <v>74</v>
      </c>
      <c r="BA749" t="s">
        <v>74</v>
      </c>
      <c r="BB749">
        <v>987</v>
      </c>
      <c r="BC749">
        <v>997</v>
      </c>
      <c r="BD749" t="s">
        <v>74</v>
      </c>
      <c r="BE749" t="s">
        <v>14684</v>
      </c>
      <c r="BF749" t="str">
        <f>HYPERLINK("http://dx.doi.org/10.1016/j.scitotenv.2017.05.266","http://dx.doi.org/10.1016/j.scitotenv.2017.05.266")</f>
        <v>http://dx.doi.org/10.1016/j.scitotenv.2017.05.266</v>
      </c>
      <c r="BG749" t="s">
        <v>74</v>
      </c>
      <c r="BH749" t="s">
        <v>74</v>
      </c>
      <c r="BI749">
        <v>11</v>
      </c>
      <c r="BJ749" t="s">
        <v>1119</v>
      </c>
      <c r="BK749" t="s">
        <v>101</v>
      </c>
      <c r="BL749" t="s">
        <v>1120</v>
      </c>
      <c r="BM749" t="s">
        <v>14685</v>
      </c>
      <c r="BN749">
        <v>28582744</v>
      </c>
      <c r="BO749" t="s">
        <v>74</v>
      </c>
      <c r="BP749" t="s">
        <v>74</v>
      </c>
      <c r="BQ749" t="s">
        <v>74</v>
      </c>
      <c r="BR749" t="s">
        <v>105</v>
      </c>
      <c r="BS749" t="s">
        <v>14686</v>
      </c>
      <c r="BT749" t="str">
        <f>HYPERLINK("https%3A%2F%2Fwww.webofscience.com%2Fwos%2Fwoscc%2Ffull-record%2FWOS:000406294900097","View Full Record in Web of Science")</f>
        <v>View Full Record in Web of Science</v>
      </c>
    </row>
    <row r="750" spans="1:72" x14ac:dyDescent="0.15">
      <c r="A750" t="s">
        <v>72</v>
      </c>
      <c r="B750" t="s">
        <v>14687</v>
      </c>
      <c r="C750" t="s">
        <v>74</v>
      </c>
      <c r="D750" t="s">
        <v>74</v>
      </c>
      <c r="E750" t="s">
        <v>74</v>
      </c>
      <c r="F750" t="s">
        <v>14688</v>
      </c>
      <c r="G750" t="s">
        <v>74</v>
      </c>
      <c r="H750" t="s">
        <v>74</v>
      </c>
      <c r="I750" t="s">
        <v>14689</v>
      </c>
      <c r="J750" t="s">
        <v>14690</v>
      </c>
      <c r="K750" t="s">
        <v>74</v>
      </c>
      <c r="L750" t="s">
        <v>74</v>
      </c>
      <c r="M750" t="s">
        <v>78</v>
      </c>
      <c r="N750" t="s">
        <v>79</v>
      </c>
      <c r="O750" t="s">
        <v>74</v>
      </c>
      <c r="P750" t="s">
        <v>74</v>
      </c>
      <c r="Q750" t="s">
        <v>74</v>
      </c>
      <c r="R750" t="s">
        <v>74</v>
      </c>
      <c r="S750" t="s">
        <v>74</v>
      </c>
      <c r="T750" t="s">
        <v>14691</v>
      </c>
      <c r="U750" t="s">
        <v>14692</v>
      </c>
      <c r="V750" t="s">
        <v>14693</v>
      </c>
      <c r="W750" t="s">
        <v>14694</v>
      </c>
      <c r="X750" t="s">
        <v>14695</v>
      </c>
      <c r="Y750" t="s">
        <v>14696</v>
      </c>
      <c r="Z750" t="s">
        <v>14697</v>
      </c>
      <c r="AA750" t="s">
        <v>14698</v>
      </c>
      <c r="AB750" t="s">
        <v>14699</v>
      </c>
      <c r="AC750" t="s">
        <v>14700</v>
      </c>
      <c r="AD750" t="s">
        <v>4789</v>
      </c>
      <c r="AE750" t="s">
        <v>14701</v>
      </c>
      <c r="AF750" t="s">
        <v>74</v>
      </c>
      <c r="AG750">
        <v>41</v>
      </c>
      <c r="AH750">
        <v>5</v>
      </c>
      <c r="AI750">
        <v>5</v>
      </c>
      <c r="AJ750">
        <v>4</v>
      </c>
      <c r="AK750">
        <v>37</v>
      </c>
      <c r="AL750" t="s">
        <v>2072</v>
      </c>
      <c r="AM750" t="s">
        <v>14702</v>
      </c>
      <c r="AN750" t="s">
        <v>14703</v>
      </c>
      <c r="AO750" t="s">
        <v>14704</v>
      </c>
      <c r="AP750" t="s">
        <v>74</v>
      </c>
      <c r="AQ750" t="s">
        <v>74</v>
      </c>
      <c r="AR750" t="s">
        <v>14705</v>
      </c>
      <c r="AS750" t="s">
        <v>14706</v>
      </c>
      <c r="AT750" t="s">
        <v>12461</v>
      </c>
      <c r="AU750">
        <v>2017</v>
      </c>
      <c r="AV750">
        <v>9</v>
      </c>
      <c r="AW750">
        <v>6</v>
      </c>
      <c r="AX750" t="s">
        <v>74</v>
      </c>
      <c r="AY750" t="s">
        <v>74</v>
      </c>
      <c r="AZ750" t="s">
        <v>74</v>
      </c>
      <c r="BA750" t="s">
        <v>74</v>
      </c>
      <c r="BB750">
        <v>568</v>
      </c>
      <c r="BC750">
        <v>579</v>
      </c>
      <c r="BD750" t="s">
        <v>74</v>
      </c>
      <c r="BE750" t="s">
        <v>14707</v>
      </c>
      <c r="BF750" t="str">
        <f>HYPERLINK("http://dx.doi.org/10.3724/SP.J.1226.2017.00568","http://dx.doi.org/10.3724/SP.J.1226.2017.00568")</f>
        <v>http://dx.doi.org/10.3724/SP.J.1226.2017.00568</v>
      </c>
      <c r="BG750" t="s">
        <v>74</v>
      </c>
      <c r="BH750" t="s">
        <v>74</v>
      </c>
      <c r="BI750">
        <v>12</v>
      </c>
      <c r="BJ750" t="s">
        <v>6816</v>
      </c>
      <c r="BK750" t="s">
        <v>2081</v>
      </c>
      <c r="BL750" t="s">
        <v>6817</v>
      </c>
      <c r="BM750" t="s">
        <v>14708</v>
      </c>
      <c r="BN750" t="s">
        <v>74</v>
      </c>
      <c r="BO750" t="s">
        <v>74</v>
      </c>
      <c r="BP750" t="s">
        <v>74</v>
      </c>
      <c r="BQ750" t="s">
        <v>74</v>
      </c>
      <c r="BR750" t="s">
        <v>105</v>
      </c>
      <c r="BS750" t="s">
        <v>14709</v>
      </c>
      <c r="BT750" t="str">
        <f>HYPERLINK("https%3A%2F%2Fwww.webofscience.com%2Fwos%2Fwoscc%2Ffull-record%2FWOS:000428714100006","View Full Record in Web of Science")</f>
        <v>View Full Record in Web of Science</v>
      </c>
    </row>
    <row r="751" spans="1:72" x14ac:dyDescent="0.15">
      <c r="A751" t="s">
        <v>72</v>
      </c>
      <c r="B751" t="s">
        <v>14710</v>
      </c>
      <c r="C751" t="s">
        <v>74</v>
      </c>
      <c r="D751" t="s">
        <v>74</v>
      </c>
      <c r="E751" t="s">
        <v>74</v>
      </c>
      <c r="F751" t="s">
        <v>14711</v>
      </c>
      <c r="G751" t="s">
        <v>74</v>
      </c>
      <c r="H751" t="s">
        <v>74</v>
      </c>
      <c r="I751" t="s">
        <v>14712</v>
      </c>
      <c r="J751" t="s">
        <v>14713</v>
      </c>
      <c r="K751" t="s">
        <v>74</v>
      </c>
      <c r="L751" t="s">
        <v>74</v>
      </c>
      <c r="M751" t="s">
        <v>78</v>
      </c>
      <c r="N751" t="s">
        <v>79</v>
      </c>
      <c r="O751" t="s">
        <v>74</v>
      </c>
      <c r="P751" t="s">
        <v>74</v>
      </c>
      <c r="Q751" t="s">
        <v>74</v>
      </c>
      <c r="R751" t="s">
        <v>74</v>
      </c>
      <c r="S751" t="s">
        <v>74</v>
      </c>
      <c r="T751" t="s">
        <v>14714</v>
      </c>
      <c r="U751" t="s">
        <v>14715</v>
      </c>
      <c r="V751" t="s">
        <v>14716</v>
      </c>
      <c r="W751" t="s">
        <v>14717</v>
      </c>
      <c r="X751" t="s">
        <v>14718</v>
      </c>
      <c r="Y751" t="s">
        <v>14719</v>
      </c>
      <c r="Z751" t="s">
        <v>14720</v>
      </c>
      <c r="AA751" t="s">
        <v>14721</v>
      </c>
      <c r="AB751" t="s">
        <v>14722</v>
      </c>
      <c r="AC751" t="s">
        <v>14723</v>
      </c>
      <c r="AD751" t="s">
        <v>14724</v>
      </c>
      <c r="AE751" t="s">
        <v>14725</v>
      </c>
      <c r="AF751" t="s">
        <v>74</v>
      </c>
      <c r="AG751">
        <v>42</v>
      </c>
      <c r="AH751">
        <v>7</v>
      </c>
      <c r="AI751">
        <v>7</v>
      </c>
      <c r="AJ751">
        <v>1</v>
      </c>
      <c r="AK751">
        <v>42</v>
      </c>
      <c r="AL751" t="s">
        <v>14726</v>
      </c>
      <c r="AM751" t="s">
        <v>14727</v>
      </c>
      <c r="AN751" t="s">
        <v>14728</v>
      </c>
      <c r="AO751" t="s">
        <v>14729</v>
      </c>
      <c r="AP751" t="s">
        <v>14730</v>
      </c>
      <c r="AQ751" t="s">
        <v>74</v>
      </c>
      <c r="AR751" t="s">
        <v>14731</v>
      </c>
      <c r="AS751" t="s">
        <v>14732</v>
      </c>
      <c r="AT751" t="s">
        <v>12461</v>
      </c>
      <c r="AU751">
        <v>2017</v>
      </c>
      <c r="AV751">
        <v>40</v>
      </c>
      <c r="AW751" t="s">
        <v>74</v>
      </c>
      <c r="AX751" t="s">
        <v>74</v>
      </c>
      <c r="AY751" t="s">
        <v>74</v>
      </c>
      <c r="AZ751" t="s">
        <v>74</v>
      </c>
      <c r="BA751" t="s">
        <v>74</v>
      </c>
      <c r="BB751">
        <v>1</v>
      </c>
      <c r="BC751">
        <v>11</v>
      </c>
      <c r="BD751" t="s">
        <v>74</v>
      </c>
      <c r="BE751" t="s">
        <v>14733</v>
      </c>
      <c r="BF751" t="str">
        <f>HYPERLINK("http://dx.doi.org/10.1016/j.jnc.2017.08.002","http://dx.doi.org/10.1016/j.jnc.2017.08.002")</f>
        <v>http://dx.doi.org/10.1016/j.jnc.2017.08.002</v>
      </c>
      <c r="BG751" t="s">
        <v>74</v>
      </c>
      <c r="BH751" t="s">
        <v>74</v>
      </c>
      <c r="BI751">
        <v>11</v>
      </c>
      <c r="BJ751" t="s">
        <v>4277</v>
      </c>
      <c r="BK751" t="s">
        <v>2471</v>
      </c>
      <c r="BL751" t="s">
        <v>4278</v>
      </c>
      <c r="BM751" t="s">
        <v>14734</v>
      </c>
      <c r="BN751" t="s">
        <v>74</v>
      </c>
      <c r="BO751" t="s">
        <v>74</v>
      </c>
      <c r="BP751" t="s">
        <v>74</v>
      </c>
      <c r="BQ751" t="s">
        <v>74</v>
      </c>
      <c r="BR751" t="s">
        <v>105</v>
      </c>
      <c r="BS751" t="s">
        <v>14735</v>
      </c>
      <c r="BT751" t="str">
        <f>HYPERLINK("https%3A%2F%2Fwww.webofscience.com%2Fwos%2Fwoscc%2Ffull-record%2FWOS:000415271600001","View Full Record in Web of Science")</f>
        <v>View Full Record in Web of Science</v>
      </c>
    </row>
    <row r="752" spans="1:72" x14ac:dyDescent="0.15">
      <c r="A752" t="s">
        <v>72</v>
      </c>
      <c r="B752" t="s">
        <v>14736</v>
      </c>
      <c r="C752" t="s">
        <v>74</v>
      </c>
      <c r="D752" t="s">
        <v>74</v>
      </c>
      <c r="E752" t="s">
        <v>74</v>
      </c>
      <c r="F752" t="s">
        <v>14737</v>
      </c>
      <c r="G752" t="s">
        <v>74</v>
      </c>
      <c r="H752" t="s">
        <v>74</v>
      </c>
      <c r="I752" t="s">
        <v>14738</v>
      </c>
      <c r="J752" t="s">
        <v>14739</v>
      </c>
      <c r="K752" t="s">
        <v>74</v>
      </c>
      <c r="L752" t="s">
        <v>74</v>
      </c>
      <c r="M752" t="s">
        <v>78</v>
      </c>
      <c r="N752" t="s">
        <v>289</v>
      </c>
      <c r="O752" t="s">
        <v>74</v>
      </c>
      <c r="P752" t="s">
        <v>74</v>
      </c>
      <c r="Q752" t="s">
        <v>74</v>
      </c>
      <c r="R752" t="s">
        <v>74</v>
      </c>
      <c r="S752" t="s">
        <v>74</v>
      </c>
      <c r="T752" t="s">
        <v>14740</v>
      </c>
      <c r="U752" t="s">
        <v>14741</v>
      </c>
      <c r="V752" t="s">
        <v>14742</v>
      </c>
      <c r="W752" t="s">
        <v>14743</v>
      </c>
      <c r="X752" t="s">
        <v>14744</v>
      </c>
      <c r="Y752" t="s">
        <v>14745</v>
      </c>
      <c r="Z752" t="s">
        <v>14746</v>
      </c>
      <c r="AA752" t="s">
        <v>14747</v>
      </c>
      <c r="AB752" t="s">
        <v>14748</v>
      </c>
      <c r="AC752" t="s">
        <v>14749</v>
      </c>
      <c r="AD752" t="s">
        <v>14750</v>
      </c>
      <c r="AE752" t="s">
        <v>14751</v>
      </c>
      <c r="AF752" t="s">
        <v>74</v>
      </c>
      <c r="AG752">
        <v>257</v>
      </c>
      <c r="AH752">
        <v>63</v>
      </c>
      <c r="AI752">
        <v>71</v>
      </c>
      <c r="AJ752">
        <v>3</v>
      </c>
      <c r="AK752">
        <v>67</v>
      </c>
      <c r="AL752" t="s">
        <v>778</v>
      </c>
      <c r="AM752" t="s">
        <v>779</v>
      </c>
      <c r="AN752" t="s">
        <v>780</v>
      </c>
      <c r="AO752" t="s">
        <v>14752</v>
      </c>
      <c r="AP752" t="s">
        <v>14753</v>
      </c>
      <c r="AQ752" t="s">
        <v>74</v>
      </c>
      <c r="AR752" t="s">
        <v>14754</v>
      </c>
      <c r="AS752" t="s">
        <v>14755</v>
      </c>
      <c r="AT752" t="s">
        <v>12461</v>
      </c>
      <c r="AU752">
        <v>2017</v>
      </c>
      <c r="AV752">
        <v>80</v>
      </c>
      <c r="AW752">
        <v>12</v>
      </c>
      <c r="AX752" t="s">
        <v>74</v>
      </c>
      <c r="AY752" t="s">
        <v>74</v>
      </c>
      <c r="AZ752" t="s">
        <v>74</v>
      </c>
      <c r="BA752" t="s">
        <v>74</v>
      </c>
      <c r="BB752" t="s">
        <v>74</v>
      </c>
      <c r="BC752" t="s">
        <v>74</v>
      </c>
      <c r="BD752">
        <v>126801</v>
      </c>
      <c r="BE752" t="s">
        <v>14756</v>
      </c>
      <c r="BF752" t="str">
        <f>HYPERLINK("http://dx.doi.org/10.1088/1361-6633/aa8473","http://dx.doi.org/10.1088/1361-6633/aa8473")</f>
        <v>http://dx.doi.org/10.1088/1361-6633/aa8473</v>
      </c>
      <c r="BG752" t="s">
        <v>74</v>
      </c>
      <c r="BH752" t="s">
        <v>74</v>
      </c>
      <c r="BI752">
        <v>39</v>
      </c>
      <c r="BJ752" t="s">
        <v>3781</v>
      </c>
      <c r="BK752" t="s">
        <v>101</v>
      </c>
      <c r="BL752" t="s">
        <v>3782</v>
      </c>
      <c r="BM752" t="s">
        <v>14757</v>
      </c>
      <c r="BN752">
        <v>28782729</v>
      </c>
      <c r="BO752" t="s">
        <v>74</v>
      </c>
      <c r="BP752" t="s">
        <v>74</v>
      </c>
      <c r="BQ752" t="s">
        <v>74</v>
      </c>
      <c r="BR752" t="s">
        <v>105</v>
      </c>
      <c r="BS752" t="s">
        <v>14758</v>
      </c>
      <c r="BT752" t="str">
        <f>HYPERLINK("https%3A%2F%2Fwww.webofscience.com%2Fwos%2Fwoscc%2Ffull-record%2FWOS:000415303500001","View Full Record in Web of Science")</f>
        <v>View Full Record in Web of Science</v>
      </c>
    </row>
    <row r="753" spans="1:72" x14ac:dyDescent="0.15">
      <c r="A753" t="s">
        <v>72</v>
      </c>
      <c r="B753" t="s">
        <v>14759</v>
      </c>
      <c r="C753" t="s">
        <v>74</v>
      </c>
      <c r="D753" t="s">
        <v>74</v>
      </c>
      <c r="E753" t="s">
        <v>74</v>
      </c>
      <c r="F753" t="s">
        <v>14760</v>
      </c>
      <c r="G753" t="s">
        <v>74</v>
      </c>
      <c r="H753" t="s">
        <v>74</v>
      </c>
      <c r="I753" t="s">
        <v>14761</v>
      </c>
      <c r="J753" t="s">
        <v>10010</v>
      </c>
      <c r="K753" t="s">
        <v>74</v>
      </c>
      <c r="L753" t="s">
        <v>74</v>
      </c>
      <c r="M753" t="s">
        <v>78</v>
      </c>
      <c r="N753" t="s">
        <v>79</v>
      </c>
      <c r="O753" t="s">
        <v>74</v>
      </c>
      <c r="P753" t="s">
        <v>74</v>
      </c>
      <c r="Q753" t="s">
        <v>74</v>
      </c>
      <c r="R753" t="s">
        <v>74</v>
      </c>
      <c r="S753" t="s">
        <v>74</v>
      </c>
      <c r="T753" t="s">
        <v>14762</v>
      </c>
      <c r="U753" t="s">
        <v>14763</v>
      </c>
      <c r="V753" t="s">
        <v>14764</v>
      </c>
      <c r="W753" t="s">
        <v>14765</v>
      </c>
      <c r="X753" t="s">
        <v>14766</v>
      </c>
      <c r="Y753" t="s">
        <v>14767</v>
      </c>
      <c r="Z753" t="s">
        <v>14768</v>
      </c>
      <c r="AA753" t="s">
        <v>14769</v>
      </c>
      <c r="AB753" t="s">
        <v>74</v>
      </c>
      <c r="AC753" t="s">
        <v>14770</v>
      </c>
      <c r="AD753" t="s">
        <v>14771</v>
      </c>
      <c r="AE753" t="s">
        <v>14772</v>
      </c>
      <c r="AF753" t="s">
        <v>74</v>
      </c>
      <c r="AG753">
        <v>28</v>
      </c>
      <c r="AH753">
        <v>5</v>
      </c>
      <c r="AI753">
        <v>5</v>
      </c>
      <c r="AJ753">
        <v>2</v>
      </c>
      <c r="AK753">
        <v>10</v>
      </c>
      <c r="AL753" t="s">
        <v>2072</v>
      </c>
      <c r="AM753" t="s">
        <v>2073</v>
      </c>
      <c r="AN753" t="s">
        <v>2074</v>
      </c>
      <c r="AO753" t="s">
        <v>10018</v>
      </c>
      <c r="AP753" t="s">
        <v>10019</v>
      </c>
      <c r="AQ753" t="s">
        <v>74</v>
      </c>
      <c r="AR753" t="s">
        <v>10020</v>
      </c>
      <c r="AS753" t="s">
        <v>10021</v>
      </c>
      <c r="AT753" t="s">
        <v>12461</v>
      </c>
      <c r="AU753">
        <v>2017</v>
      </c>
      <c r="AV753">
        <v>34</v>
      </c>
      <c r="AW753">
        <v>12</v>
      </c>
      <c r="AX753" t="s">
        <v>74</v>
      </c>
      <c r="AY753" t="s">
        <v>74</v>
      </c>
      <c r="AZ753" t="s">
        <v>74</v>
      </c>
      <c r="BA753" t="s">
        <v>74</v>
      </c>
      <c r="BB753">
        <v>1404</v>
      </c>
      <c r="BC753">
        <v>1414</v>
      </c>
      <c r="BD753" t="s">
        <v>74</v>
      </c>
      <c r="BE753" t="s">
        <v>14773</v>
      </c>
      <c r="BF753" t="str">
        <f>HYPERLINK("http://dx.doi.org/10.1007/s00376-017-6333-x","http://dx.doi.org/10.1007/s00376-017-6333-x")</f>
        <v>http://dx.doi.org/10.1007/s00376-017-6333-x</v>
      </c>
      <c r="BG753" t="s">
        <v>74</v>
      </c>
      <c r="BH753" t="s">
        <v>74</v>
      </c>
      <c r="BI753">
        <v>11</v>
      </c>
      <c r="BJ753" t="s">
        <v>430</v>
      </c>
      <c r="BK753" t="s">
        <v>101</v>
      </c>
      <c r="BL753" t="s">
        <v>430</v>
      </c>
      <c r="BM753" t="s">
        <v>14774</v>
      </c>
      <c r="BN753" t="s">
        <v>74</v>
      </c>
      <c r="BO753" t="s">
        <v>74</v>
      </c>
      <c r="BP753" t="s">
        <v>74</v>
      </c>
      <c r="BQ753" t="s">
        <v>74</v>
      </c>
      <c r="BR753" t="s">
        <v>105</v>
      </c>
      <c r="BS753" t="s">
        <v>14775</v>
      </c>
      <c r="BT753" t="str">
        <f>HYPERLINK("https%3A%2F%2Fwww.webofscience.com%2Fwos%2Fwoscc%2Ffull-record%2FWOS:000414761600003","View Full Record in Web of Science")</f>
        <v>View Full Record in Web of Science</v>
      </c>
    </row>
    <row r="754" spans="1:72" x14ac:dyDescent="0.15">
      <c r="A754" t="s">
        <v>72</v>
      </c>
      <c r="B754" t="s">
        <v>14776</v>
      </c>
      <c r="C754" t="s">
        <v>74</v>
      </c>
      <c r="D754" t="s">
        <v>74</v>
      </c>
      <c r="E754" t="s">
        <v>74</v>
      </c>
      <c r="F754" t="s">
        <v>14777</v>
      </c>
      <c r="G754" t="s">
        <v>74</v>
      </c>
      <c r="H754" t="s">
        <v>74</v>
      </c>
      <c r="I754" t="s">
        <v>14778</v>
      </c>
      <c r="J754" t="s">
        <v>8338</v>
      </c>
      <c r="K754" t="s">
        <v>74</v>
      </c>
      <c r="L754" t="s">
        <v>74</v>
      </c>
      <c r="M754" t="s">
        <v>78</v>
      </c>
      <c r="N754" t="s">
        <v>79</v>
      </c>
      <c r="O754" t="s">
        <v>74</v>
      </c>
      <c r="P754" t="s">
        <v>74</v>
      </c>
      <c r="Q754" t="s">
        <v>74</v>
      </c>
      <c r="R754" t="s">
        <v>74</v>
      </c>
      <c r="S754" t="s">
        <v>74</v>
      </c>
      <c r="T754" t="s">
        <v>14779</v>
      </c>
      <c r="U754" t="s">
        <v>14780</v>
      </c>
      <c r="V754" t="s">
        <v>14781</v>
      </c>
      <c r="W754" t="s">
        <v>14782</v>
      </c>
      <c r="X754" t="s">
        <v>2299</v>
      </c>
      <c r="Y754" t="s">
        <v>14783</v>
      </c>
      <c r="Z754" t="s">
        <v>14784</v>
      </c>
      <c r="AA754" t="s">
        <v>74</v>
      </c>
      <c r="AB754" t="s">
        <v>14785</v>
      </c>
      <c r="AC754" t="s">
        <v>14786</v>
      </c>
      <c r="AD754" t="s">
        <v>6479</v>
      </c>
      <c r="AE754" t="s">
        <v>74</v>
      </c>
      <c r="AF754" t="s">
        <v>74</v>
      </c>
      <c r="AG754">
        <v>30</v>
      </c>
      <c r="AH754">
        <v>34</v>
      </c>
      <c r="AI754">
        <v>36</v>
      </c>
      <c r="AJ754">
        <v>4</v>
      </c>
      <c r="AK754">
        <v>87</v>
      </c>
      <c r="AL754" t="s">
        <v>4270</v>
      </c>
      <c r="AM754" t="s">
        <v>4271</v>
      </c>
      <c r="AN754" t="s">
        <v>4272</v>
      </c>
      <c r="AO754" t="s">
        <v>8349</v>
      </c>
      <c r="AP754" t="s">
        <v>8350</v>
      </c>
      <c r="AQ754" t="s">
        <v>74</v>
      </c>
      <c r="AR754" t="s">
        <v>8351</v>
      </c>
      <c r="AS754" t="s">
        <v>8352</v>
      </c>
      <c r="AT754" t="s">
        <v>12461</v>
      </c>
      <c r="AU754">
        <v>2017</v>
      </c>
      <c r="AV754">
        <v>23</v>
      </c>
      <c r="AW754">
        <v>12</v>
      </c>
      <c r="AX754" t="s">
        <v>74</v>
      </c>
      <c r="AY754" t="s">
        <v>74</v>
      </c>
      <c r="AZ754" t="s">
        <v>74</v>
      </c>
      <c r="BA754" t="s">
        <v>74</v>
      </c>
      <c r="BB754">
        <v>5083</v>
      </c>
      <c r="BC754">
        <v>5091</v>
      </c>
      <c r="BD754" t="s">
        <v>74</v>
      </c>
      <c r="BE754" t="s">
        <v>14787</v>
      </c>
      <c r="BF754" t="str">
        <f>HYPERLINK("http://dx.doi.org/10.1111/gcb.13772","http://dx.doi.org/10.1111/gcb.13772")</f>
        <v>http://dx.doi.org/10.1111/gcb.13772</v>
      </c>
      <c r="BG754" t="s">
        <v>74</v>
      </c>
      <c r="BH754" t="s">
        <v>74</v>
      </c>
      <c r="BI754">
        <v>9</v>
      </c>
      <c r="BJ754" t="s">
        <v>8354</v>
      </c>
      <c r="BK754" t="s">
        <v>101</v>
      </c>
      <c r="BL754" t="s">
        <v>4278</v>
      </c>
      <c r="BM754" t="s">
        <v>14788</v>
      </c>
      <c r="BN754">
        <v>28643454</v>
      </c>
      <c r="BO754" t="s">
        <v>389</v>
      </c>
      <c r="BP754" t="s">
        <v>74</v>
      </c>
      <c r="BQ754" t="s">
        <v>74</v>
      </c>
      <c r="BR754" t="s">
        <v>105</v>
      </c>
      <c r="BS754" t="s">
        <v>14789</v>
      </c>
      <c r="BT754" t="str">
        <f>HYPERLINK("https%3A%2F%2Fwww.webofscience.com%2Fwos%2Fwoscc%2Ffull-record%2FWOS:000414969000012","View Full Record in Web of Science")</f>
        <v>View Full Record in Web of Science</v>
      </c>
    </row>
    <row r="755" spans="1:72" x14ac:dyDescent="0.15">
      <c r="A755" t="s">
        <v>72</v>
      </c>
      <c r="B755" t="s">
        <v>14790</v>
      </c>
      <c r="C755" t="s">
        <v>74</v>
      </c>
      <c r="D755" t="s">
        <v>74</v>
      </c>
      <c r="E755" t="s">
        <v>74</v>
      </c>
      <c r="F755" t="s">
        <v>14791</v>
      </c>
      <c r="G755" t="s">
        <v>74</v>
      </c>
      <c r="H755" t="s">
        <v>74</v>
      </c>
      <c r="I755" t="s">
        <v>14792</v>
      </c>
      <c r="J755" t="s">
        <v>8338</v>
      </c>
      <c r="K755" t="s">
        <v>74</v>
      </c>
      <c r="L755" t="s">
        <v>74</v>
      </c>
      <c r="M755" t="s">
        <v>78</v>
      </c>
      <c r="N755" t="s">
        <v>79</v>
      </c>
      <c r="O755" t="s">
        <v>74</v>
      </c>
      <c r="P755" t="s">
        <v>74</v>
      </c>
      <c r="Q755" t="s">
        <v>74</v>
      </c>
      <c r="R755" t="s">
        <v>74</v>
      </c>
      <c r="S755" t="s">
        <v>74</v>
      </c>
      <c r="T755" t="s">
        <v>14793</v>
      </c>
      <c r="U755" t="s">
        <v>14794</v>
      </c>
      <c r="V755" t="s">
        <v>14795</v>
      </c>
      <c r="W755" t="s">
        <v>14796</v>
      </c>
      <c r="X755" t="s">
        <v>14797</v>
      </c>
      <c r="Y755" t="s">
        <v>14798</v>
      </c>
      <c r="Z755" t="s">
        <v>14799</v>
      </c>
      <c r="AA755" t="s">
        <v>14800</v>
      </c>
      <c r="AB755" t="s">
        <v>14801</v>
      </c>
      <c r="AC755" t="s">
        <v>14802</v>
      </c>
      <c r="AD755" t="s">
        <v>4474</v>
      </c>
      <c r="AE755" t="s">
        <v>14803</v>
      </c>
      <c r="AF755" t="s">
        <v>74</v>
      </c>
      <c r="AG755">
        <v>71</v>
      </c>
      <c r="AH755">
        <v>35</v>
      </c>
      <c r="AI755">
        <v>37</v>
      </c>
      <c r="AJ755">
        <v>3</v>
      </c>
      <c r="AK755">
        <v>48</v>
      </c>
      <c r="AL755" t="s">
        <v>4270</v>
      </c>
      <c r="AM755" t="s">
        <v>4271</v>
      </c>
      <c r="AN755" t="s">
        <v>4272</v>
      </c>
      <c r="AO755" t="s">
        <v>8349</v>
      </c>
      <c r="AP755" t="s">
        <v>8350</v>
      </c>
      <c r="AQ755" t="s">
        <v>74</v>
      </c>
      <c r="AR755" t="s">
        <v>8351</v>
      </c>
      <c r="AS755" t="s">
        <v>8352</v>
      </c>
      <c r="AT755" t="s">
        <v>12461</v>
      </c>
      <c r="AU755">
        <v>2017</v>
      </c>
      <c r="AV755">
        <v>23</v>
      </c>
      <c r="AW755">
        <v>12</v>
      </c>
      <c r="AX755" t="s">
        <v>74</v>
      </c>
      <c r="AY755" t="s">
        <v>74</v>
      </c>
      <c r="AZ755" t="s">
        <v>74</v>
      </c>
      <c r="BA755" t="s">
        <v>74</v>
      </c>
      <c r="BB755">
        <v>5136</v>
      </c>
      <c r="BC755">
        <v>5150</v>
      </c>
      <c r="BD755" t="s">
        <v>74</v>
      </c>
      <c r="BE755" t="s">
        <v>14804</v>
      </c>
      <c r="BF755" t="str">
        <f>HYPERLINK("http://dx.doi.org/10.1111/gcb.13776","http://dx.doi.org/10.1111/gcb.13776")</f>
        <v>http://dx.doi.org/10.1111/gcb.13776</v>
      </c>
      <c r="BG755" t="s">
        <v>74</v>
      </c>
      <c r="BH755" t="s">
        <v>74</v>
      </c>
      <c r="BI755">
        <v>15</v>
      </c>
      <c r="BJ755" t="s">
        <v>8354</v>
      </c>
      <c r="BK755" t="s">
        <v>101</v>
      </c>
      <c r="BL755" t="s">
        <v>4278</v>
      </c>
      <c r="BM755" t="s">
        <v>14788</v>
      </c>
      <c r="BN755">
        <v>28590592</v>
      </c>
      <c r="BO755" t="s">
        <v>74</v>
      </c>
      <c r="BP755" t="s">
        <v>74</v>
      </c>
      <c r="BQ755" t="s">
        <v>74</v>
      </c>
      <c r="BR755" t="s">
        <v>105</v>
      </c>
      <c r="BS755" t="s">
        <v>14805</v>
      </c>
      <c r="BT755" t="str">
        <f>HYPERLINK("https%3A%2F%2Fwww.webofscience.com%2Fwos%2Fwoscc%2Ffull-record%2FWOS:000414969000016","View Full Record in Web of Science")</f>
        <v>View Full Record in Web of Science</v>
      </c>
    </row>
    <row r="756" spans="1:72" x14ac:dyDescent="0.15">
      <c r="A756" t="s">
        <v>72</v>
      </c>
      <c r="B756" t="s">
        <v>14806</v>
      </c>
      <c r="C756" t="s">
        <v>74</v>
      </c>
      <c r="D756" t="s">
        <v>74</v>
      </c>
      <c r="E756" t="s">
        <v>74</v>
      </c>
      <c r="F756" t="s">
        <v>14807</v>
      </c>
      <c r="G756" t="s">
        <v>74</v>
      </c>
      <c r="H756" t="s">
        <v>74</v>
      </c>
      <c r="I756" t="s">
        <v>14808</v>
      </c>
      <c r="J756" t="s">
        <v>14809</v>
      </c>
      <c r="K756" t="s">
        <v>74</v>
      </c>
      <c r="L756" t="s">
        <v>74</v>
      </c>
      <c r="M756" t="s">
        <v>78</v>
      </c>
      <c r="N756" t="s">
        <v>79</v>
      </c>
      <c r="O756" t="s">
        <v>74</v>
      </c>
      <c r="P756" t="s">
        <v>74</v>
      </c>
      <c r="Q756" t="s">
        <v>74</v>
      </c>
      <c r="R756" t="s">
        <v>74</v>
      </c>
      <c r="S756" t="s">
        <v>74</v>
      </c>
      <c r="T756" t="s">
        <v>74</v>
      </c>
      <c r="U756" t="s">
        <v>14810</v>
      </c>
      <c r="V756" t="s">
        <v>14811</v>
      </c>
      <c r="W756" t="s">
        <v>14812</v>
      </c>
      <c r="X756" t="s">
        <v>14813</v>
      </c>
      <c r="Y756" t="s">
        <v>14814</v>
      </c>
      <c r="Z756" t="s">
        <v>10383</v>
      </c>
      <c r="AA756" t="s">
        <v>10384</v>
      </c>
      <c r="AB756" t="s">
        <v>14815</v>
      </c>
      <c r="AC756" t="s">
        <v>14816</v>
      </c>
      <c r="AD756" t="s">
        <v>14817</v>
      </c>
      <c r="AE756" t="s">
        <v>14818</v>
      </c>
      <c r="AF756" t="s">
        <v>74</v>
      </c>
      <c r="AG756">
        <v>10</v>
      </c>
      <c r="AH756">
        <v>5</v>
      </c>
      <c r="AI756">
        <v>5</v>
      </c>
      <c r="AJ756">
        <v>3</v>
      </c>
      <c r="AK756">
        <v>19</v>
      </c>
      <c r="AL756" t="s">
        <v>4270</v>
      </c>
      <c r="AM756" t="s">
        <v>4271</v>
      </c>
      <c r="AN756" t="s">
        <v>4272</v>
      </c>
      <c r="AO756" t="s">
        <v>14819</v>
      </c>
      <c r="AP756" t="s">
        <v>14820</v>
      </c>
      <c r="AQ756" t="s">
        <v>74</v>
      </c>
      <c r="AR756" t="s">
        <v>14821</v>
      </c>
      <c r="AS756" t="s">
        <v>14822</v>
      </c>
      <c r="AT756" t="s">
        <v>12461</v>
      </c>
      <c r="AU756">
        <v>2017</v>
      </c>
      <c r="AV756">
        <v>33</v>
      </c>
      <c r="AW756">
        <v>6</v>
      </c>
      <c r="AX756" t="s">
        <v>74</v>
      </c>
      <c r="AY756" t="s">
        <v>74</v>
      </c>
      <c r="AZ756" t="s">
        <v>74</v>
      </c>
      <c r="BA756" t="s">
        <v>74</v>
      </c>
      <c r="BB756">
        <v>1303</v>
      </c>
      <c r="BC756">
        <v>1305</v>
      </c>
      <c r="BD756" t="s">
        <v>74</v>
      </c>
      <c r="BE756" t="s">
        <v>14823</v>
      </c>
      <c r="BF756" t="str">
        <f>HYPERLINK("http://dx.doi.org/10.1111/jai.13478","http://dx.doi.org/10.1111/jai.13478")</f>
        <v>http://dx.doi.org/10.1111/jai.13478</v>
      </c>
      <c r="BG756" t="s">
        <v>74</v>
      </c>
      <c r="BH756" t="s">
        <v>74</v>
      </c>
      <c r="BI756">
        <v>3</v>
      </c>
      <c r="BJ756" t="s">
        <v>6707</v>
      </c>
      <c r="BK756" t="s">
        <v>101</v>
      </c>
      <c r="BL756" t="s">
        <v>6707</v>
      </c>
      <c r="BM756" t="s">
        <v>14824</v>
      </c>
      <c r="BN756" t="s">
        <v>74</v>
      </c>
      <c r="BO756" t="s">
        <v>160</v>
      </c>
      <c r="BP756" t="s">
        <v>74</v>
      </c>
      <c r="BQ756" t="s">
        <v>74</v>
      </c>
      <c r="BR756" t="s">
        <v>105</v>
      </c>
      <c r="BS756" t="s">
        <v>14825</v>
      </c>
      <c r="BT756" t="str">
        <f>HYPERLINK("https%3A%2F%2Fwww.webofscience.com%2Fwos%2Fwoscc%2Ffull-record%2FWOS:000414939700055","View Full Record in Web of Science")</f>
        <v>View Full Record in Web of Science</v>
      </c>
    </row>
    <row r="757" spans="1:72" x14ac:dyDescent="0.15">
      <c r="A757" t="s">
        <v>72</v>
      </c>
      <c r="B757" t="s">
        <v>14826</v>
      </c>
      <c r="C757" t="s">
        <v>74</v>
      </c>
      <c r="D757" t="s">
        <v>74</v>
      </c>
      <c r="E757" t="s">
        <v>74</v>
      </c>
      <c r="F757" t="s">
        <v>14827</v>
      </c>
      <c r="G757" t="s">
        <v>74</v>
      </c>
      <c r="H757" t="s">
        <v>74</v>
      </c>
      <c r="I757" t="s">
        <v>14828</v>
      </c>
      <c r="J757" t="s">
        <v>14829</v>
      </c>
      <c r="K757" t="s">
        <v>74</v>
      </c>
      <c r="L757" t="s">
        <v>74</v>
      </c>
      <c r="M757" t="s">
        <v>78</v>
      </c>
      <c r="N757" t="s">
        <v>79</v>
      </c>
      <c r="O757" t="s">
        <v>74</v>
      </c>
      <c r="P757" t="s">
        <v>74</v>
      </c>
      <c r="Q757" t="s">
        <v>74</v>
      </c>
      <c r="R757" t="s">
        <v>74</v>
      </c>
      <c r="S757" t="s">
        <v>74</v>
      </c>
      <c r="T757" t="s">
        <v>14830</v>
      </c>
      <c r="U757" t="s">
        <v>14831</v>
      </c>
      <c r="V757" t="s">
        <v>14832</v>
      </c>
      <c r="W757" t="s">
        <v>14833</v>
      </c>
      <c r="X757" t="s">
        <v>13536</v>
      </c>
      <c r="Y757" t="s">
        <v>14834</v>
      </c>
      <c r="Z757" t="s">
        <v>14835</v>
      </c>
      <c r="AA757" t="s">
        <v>14836</v>
      </c>
      <c r="AB757" t="s">
        <v>14837</v>
      </c>
      <c r="AC757" t="s">
        <v>14838</v>
      </c>
      <c r="AD757" t="s">
        <v>14839</v>
      </c>
      <c r="AE757" t="s">
        <v>14840</v>
      </c>
      <c r="AF757" t="s">
        <v>74</v>
      </c>
      <c r="AG757">
        <v>33</v>
      </c>
      <c r="AH757">
        <v>0</v>
      </c>
      <c r="AI757">
        <v>0</v>
      </c>
      <c r="AJ757">
        <v>0</v>
      </c>
      <c r="AK757">
        <v>23</v>
      </c>
      <c r="AL757" t="s">
        <v>14841</v>
      </c>
      <c r="AM757" t="s">
        <v>14842</v>
      </c>
      <c r="AN757" t="s">
        <v>14843</v>
      </c>
      <c r="AO757" t="s">
        <v>14844</v>
      </c>
      <c r="AP757" t="s">
        <v>14845</v>
      </c>
      <c r="AQ757" t="s">
        <v>74</v>
      </c>
      <c r="AR757" t="s">
        <v>14846</v>
      </c>
      <c r="AS757" t="s">
        <v>14847</v>
      </c>
      <c r="AT757" t="s">
        <v>12461</v>
      </c>
      <c r="AU757">
        <v>2017</v>
      </c>
      <c r="AV757">
        <v>16</v>
      </c>
      <c r="AW757">
        <v>6</v>
      </c>
      <c r="AX757" t="s">
        <v>74</v>
      </c>
      <c r="AY757" t="s">
        <v>74</v>
      </c>
      <c r="AZ757" t="s">
        <v>74</v>
      </c>
      <c r="BA757" t="s">
        <v>74</v>
      </c>
      <c r="BB757">
        <v>1109</v>
      </c>
      <c r="BC757">
        <v>1114</v>
      </c>
      <c r="BD757" t="s">
        <v>74</v>
      </c>
      <c r="BE757" t="s">
        <v>14848</v>
      </c>
      <c r="BF757" t="str">
        <f>HYPERLINK("http://dx.doi.org/10.1007/s11802-017-3288-6","http://dx.doi.org/10.1007/s11802-017-3288-6")</f>
        <v>http://dx.doi.org/10.1007/s11802-017-3288-6</v>
      </c>
      <c r="BG757" t="s">
        <v>74</v>
      </c>
      <c r="BH757" t="s">
        <v>74</v>
      </c>
      <c r="BI757">
        <v>6</v>
      </c>
      <c r="BJ757" t="s">
        <v>1907</v>
      </c>
      <c r="BK757" t="s">
        <v>101</v>
      </c>
      <c r="BL757" t="s">
        <v>1907</v>
      </c>
      <c r="BM757" t="s">
        <v>14849</v>
      </c>
      <c r="BN757" t="s">
        <v>74</v>
      </c>
      <c r="BO757" t="s">
        <v>74</v>
      </c>
      <c r="BP757" t="s">
        <v>74</v>
      </c>
      <c r="BQ757" t="s">
        <v>74</v>
      </c>
      <c r="BR757" t="s">
        <v>105</v>
      </c>
      <c r="BS757" t="s">
        <v>14850</v>
      </c>
      <c r="BT757" t="str">
        <f>HYPERLINK("https%3A%2F%2Fwww.webofscience.com%2Fwos%2Fwoscc%2Ffull-record%2FWOS:000414791700020","View Full Record in Web of Science")</f>
        <v>View Full Record in Web of Science</v>
      </c>
    </row>
    <row r="758" spans="1:72" x14ac:dyDescent="0.15">
      <c r="A758" t="s">
        <v>72</v>
      </c>
      <c r="B758" t="s">
        <v>14851</v>
      </c>
      <c r="C758" t="s">
        <v>74</v>
      </c>
      <c r="D758" t="s">
        <v>74</v>
      </c>
      <c r="E758" t="s">
        <v>74</v>
      </c>
      <c r="F758" t="s">
        <v>14852</v>
      </c>
      <c r="G758" t="s">
        <v>74</v>
      </c>
      <c r="H758" t="s">
        <v>74</v>
      </c>
      <c r="I758" t="s">
        <v>14853</v>
      </c>
      <c r="J758" t="s">
        <v>5794</v>
      </c>
      <c r="K758" t="s">
        <v>74</v>
      </c>
      <c r="L758" t="s">
        <v>74</v>
      </c>
      <c r="M758" t="s">
        <v>78</v>
      </c>
      <c r="N758" t="s">
        <v>79</v>
      </c>
      <c r="O758" t="s">
        <v>74</v>
      </c>
      <c r="P758" t="s">
        <v>74</v>
      </c>
      <c r="Q758" t="s">
        <v>74</v>
      </c>
      <c r="R758" t="s">
        <v>74</v>
      </c>
      <c r="S758" t="s">
        <v>74</v>
      </c>
      <c r="T758" t="s">
        <v>14854</v>
      </c>
      <c r="U758" t="s">
        <v>14855</v>
      </c>
      <c r="V758" t="s">
        <v>14856</v>
      </c>
      <c r="W758" t="s">
        <v>14857</v>
      </c>
      <c r="X758" t="s">
        <v>14858</v>
      </c>
      <c r="Y758" t="s">
        <v>14859</v>
      </c>
      <c r="Z758" t="s">
        <v>14860</v>
      </c>
      <c r="AA758" t="s">
        <v>14861</v>
      </c>
      <c r="AB758" t="s">
        <v>14862</v>
      </c>
      <c r="AC758" t="s">
        <v>14863</v>
      </c>
      <c r="AD758" t="s">
        <v>14864</v>
      </c>
      <c r="AE758" t="s">
        <v>14865</v>
      </c>
      <c r="AF758" t="s">
        <v>74</v>
      </c>
      <c r="AG758">
        <v>103</v>
      </c>
      <c r="AH758">
        <v>17</v>
      </c>
      <c r="AI758">
        <v>19</v>
      </c>
      <c r="AJ758">
        <v>0</v>
      </c>
      <c r="AK758">
        <v>43</v>
      </c>
      <c r="AL758" t="s">
        <v>1139</v>
      </c>
      <c r="AM758" t="s">
        <v>1140</v>
      </c>
      <c r="AN758" t="s">
        <v>1141</v>
      </c>
      <c r="AO758" t="s">
        <v>5805</v>
      </c>
      <c r="AP758" t="s">
        <v>5806</v>
      </c>
      <c r="AQ758" t="s">
        <v>74</v>
      </c>
      <c r="AR758" t="s">
        <v>5807</v>
      </c>
      <c r="AS758" t="s">
        <v>5808</v>
      </c>
      <c r="AT758" t="s">
        <v>12461</v>
      </c>
      <c r="AU758">
        <v>2017</v>
      </c>
      <c r="AV758">
        <v>115</v>
      </c>
      <c r="AW758" t="s">
        <v>74</v>
      </c>
      <c r="AX758" t="s">
        <v>74</v>
      </c>
      <c r="AY758" t="s">
        <v>74</v>
      </c>
      <c r="AZ758" t="s">
        <v>74</v>
      </c>
      <c r="BA758" t="s">
        <v>74</v>
      </c>
      <c r="BB758">
        <v>475</v>
      </c>
      <c r="BC758">
        <v>489</v>
      </c>
      <c r="BD758" t="s">
        <v>74</v>
      </c>
      <c r="BE758" t="s">
        <v>14866</v>
      </c>
      <c r="BF758" t="str">
        <f>HYPERLINK("http://dx.doi.org/10.1016/j.soilbio.2017.09.008","http://dx.doi.org/10.1016/j.soilbio.2017.09.008")</f>
        <v>http://dx.doi.org/10.1016/j.soilbio.2017.09.008</v>
      </c>
      <c r="BG758" t="s">
        <v>74</v>
      </c>
      <c r="BH758" t="s">
        <v>74</v>
      </c>
      <c r="BI758">
        <v>15</v>
      </c>
      <c r="BJ758" t="s">
        <v>5810</v>
      </c>
      <c r="BK758" t="s">
        <v>101</v>
      </c>
      <c r="BL758" t="s">
        <v>5811</v>
      </c>
      <c r="BM758" t="s">
        <v>14867</v>
      </c>
      <c r="BN758" t="s">
        <v>74</v>
      </c>
      <c r="BO758" t="s">
        <v>74</v>
      </c>
      <c r="BP758" t="s">
        <v>74</v>
      </c>
      <c r="BQ758" t="s">
        <v>74</v>
      </c>
      <c r="BR758" t="s">
        <v>105</v>
      </c>
      <c r="BS758" t="s">
        <v>14868</v>
      </c>
      <c r="BT758" t="str">
        <f>HYPERLINK("https%3A%2F%2Fwww.webofscience.com%2Fwos%2Fwoscc%2Ffull-record%2FWOS:000414880000051","View Full Record in Web of Science")</f>
        <v>View Full Record in Web of Science</v>
      </c>
    </row>
    <row r="759" spans="1:72" x14ac:dyDescent="0.15">
      <c r="A759" t="s">
        <v>72</v>
      </c>
      <c r="B759" t="s">
        <v>14869</v>
      </c>
      <c r="C759" t="s">
        <v>74</v>
      </c>
      <c r="D759" t="s">
        <v>74</v>
      </c>
      <c r="E759" t="s">
        <v>74</v>
      </c>
      <c r="F759" t="s">
        <v>14870</v>
      </c>
      <c r="G759" t="s">
        <v>74</v>
      </c>
      <c r="H759" t="s">
        <v>74</v>
      </c>
      <c r="I759" t="s">
        <v>14871</v>
      </c>
      <c r="J759" t="s">
        <v>14360</v>
      </c>
      <c r="K759" t="s">
        <v>74</v>
      </c>
      <c r="L759" t="s">
        <v>74</v>
      </c>
      <c r="M759" t="s">
        <v>78</v>
      </c>
      <c r="N759" t="s">
        <v>2311</v>
      </c>
      <c r="O759" t="s">
        <v>14361</v>
      </c>
      <c r="P759" t="s">
        <v>14362</v>
      </c>
      <c r="Q759" t="s">
        <v>14363</v>
      </c>
      <c r="R759" t="s">
        <v>74</v>
      </c>
      <c r="S759" t="s">
        <v>74</v>
      </c>
      <c r="T759" t="s">
        <v>14872</v>
      </c>
      <c r="U759" t="s">
        <v>14873</v>
      </c>
      <c r="V759" t="s">
        <v>14874</v>
      </c>
      <c r="W759" t="s">
        <v>14875</v>
      </c>
      <c r="X759" t="s">
        <v>14876</v>
      </c>
      <c r="Y759" t="s">
        <v>14877</v>
      </c>
      <c r="Z759" t="s">
        <v>14878</v>
      </c>
      <c r="AA759" t="s">
        <v>14879</v>
      </c>
      <c r="AB759" t="s">
        <v>14880</v>
      </c>
      <c r="AC759" t="s">
        <v>14881</v>
      </c>
      <c r="AD759" t="s">
        <v>14882</v>
      </c>
      <c r="AE759" t="s">
        <v>14883</v>
      </c>
      <c r="AF759" t="s">
        <v>74</v>
      </c>
      <c r="AG759">
        <v>36</v>
      </c>
      <c r="AH759">
        <v>14</v>
      </c>
      <c r="AI759">
        <v>14</v>
      </c>
      <c r="AJ759">
        <v>2</v>
      </c>
      <c r="AK759">
        <v>48</v>
      </c>
      <c r="AL759" t="s">
        <v>1973</v>
      </c>
      <c r="AM759" t="s">
        <v>4347</v>
      </c>
      <c r="AN759" t="s">
        <v>4348</v>
      </c>
      <c r="AO759" t="s">
        <v>14376</v>
      </c>
      <c r="AP759" t="s">
        <v>14377</v>
      </c>
      <c r="AQ759" t="s">
        <v>74</v>
      </c>
      <c r="AR759" t="s">
        <v>14378</v>
      </c>
      <c r="AS759" t="s">
        <v>14379</v>
      </c>
      <c r="AT759" t="s">
        <v>12461</v>
      </c>
      <c r="AU759">
        <v>2017</v>
      </c>
      <c r="AV759">
        <v>29</v>
      </c>
      <c r="AW759">
        <v>5</v>
      </c>
      <c r="AX759" t="s">
        <v>74</v>
      </c>
      <c r="AY759" t="s">
        <v>74</v>
      </c>
      <c r="AZ759" t="s">
        <v>74</v>
      </c>
      <c r="BA759" t="s">
        <v>74</v>
      </c>
      <c r="BB759">
        <v>2399</v>
      </c>
      <c r="BC759">
        <v>2406</v>
      </c>
      <c r="BD759" t="s">
        <v>74</v>
      </c>
      <c r="BE759" t="s">
        <v>14884</v>
      </c>
      <c r="BF759" t="str">
        <f>HYPERLINK("http://dx.doi.org/10.1007/s10811-017-1131-5","http://dx.doi.org/10.1007/s10811-017-1131-5")</f>
        <v>http://dx.doi.org/10.1007/s10811-017-1131-5</v>
      </c>
      <c r="BG759" t="s">
        <v>74</v>
      </c>
      <c r="BH759" t="s">
        <v>74</v>
      </c>
      <c r="BI759">
        <v>8</v>
      </c>
      <c r="BJ759" t="s">
        <v>2493</v>
      </c>
      <c r="BK759" t="s">
        <v>2330</v>
      </c>
      <c r="BL759" t="s">
        <v>2493</v>
      </c>
      <c r="BM759" t="s">
        <v>14381</v>
      </c>
      <c r="BN759" t="s">
        <v>74</v>
      </c>
      <c r="BO759" t="s">
        <v>74</v>
      </c>
      <c r="BP759" t="s">
        <v>74</v>
      </c>
      <c r="BQ759" t="s">
        <v>74</v>
      </c>
      <c r="BR759" t="s">
        <v>105</v>
      </c>
      <c r="BS759" t="s">
        <v>14885</v>
      </c>
      <c r="BT759" t="str">
        <f>HYPERLINK("https%3A%2F%2Fwww.webofscience.com%2Fwos%2Fwoscc%2Ffull-record%2FWOS:000413299100025","View Full Record in Web of Science")</f>
        <v>View Full Record in Web of Science</v>
      </c>
    </row>
    <row r="760" spans="1:72" x14ac:dyDescent="0.15">
      <c r="A760" t="s">
        <v>72</v>
      </c>
      <c r="B760" t="s">
        <v>14886</v>
      </c>
      <c r="C760" t="s">
        <v>74</v>
      </c>
      <c r="D760" t="s">
        <v>74</v>
      </c>
      <c r="E760" t="s">
        <v>74</v>
      </c>
      <c r="F760" t="s">
        <v>14887</v>
      </c>
      <c r="G760" t="s">
        <v>74</v>
      </c>
      <c r="H760" t="s">
        <v>74</v>
      </c>
      <c r="I760" t="s">
        <v>14888</v>
      </c>
      <c r="J760" t="s">
        <v>14360</v>
      </c>
      <c r="K760" t="s">
        <v>74</v>
      </c>
      <c r="L760" t="s">
        <v>74</v>
      </c>
      <c r="M760" t="s">
        <v>78</v>
      </c>
      <c r="N760" t="s">
        <v>2311</v>
      </c>
      <c r="O760" t="s">
        <v>14361</v>
      </c>
      <c r="P760" t="s">
        <v>14362</v>
      </c>
      <c r="Q760" t="s">
        <v>14363</v>
      </c>
      <c r="R760" t="s">
        <v>74</v>
      </c>
      <c r="S760" t="s">
        <v>74</v>
      </c>
      <c r="T760" t="s">
        <v>14889</v>
      </c>
      <c r="U760" t="s">
        <v>14890</v>
      </c>
      <c r="V760" t="s">
        <v>14891</v>
      </c>
      <c r="W760" t="s">
        <v>14892</v>
      </c>
      <c r="X760" t="s">
        <v>14893</v>
      </c>
      <c r="Y760" t="s">
        <v>14894</v>
      </c>
      <c r="Z760" t="s">
        <v>14895</v>
      </c>
      <c r="AA760" t="s">
        <v>14896</v>
      </c>
      <c r="AB760" t="s">
        <v>14897</v>
      </c>
      <c r="AC760" t="s">
        <v>14898</v>
      </c>
      <c r="AD760" t="s">
        <v>14899</v>
      </c>
      <c r="AE760" t="s">
        <v>14900</v>
      </c>
      <c r="AF760" t="s">
        <v>74</v>
      </c>
      <c r="AG760">
        <v>54</v>
      </c>
      <c r="AH760">
        <v>5</v>
      </c>
      <c r="AI760">
        <v>6</v>
      </c>
      <c r="AJ760">
        <v>1</v>
      </c>
      <c r="AK760">
        <v>27</v>
      </c>
      <c r="AL760" t="s">
        <v>1973</v>
      </c>
      <c r="AM760" t="s">
        <v>4347</v>
      </c>
      <c r="AN760" t="s">
        <v>4348</v>
      </c>
      <c r="AO760" t="s">
        <v>14376</v>
      </c>
      <c r="AP760" t="s">
        <v>14377</v>
      </c>
      <c r="AQ760" t="s">
        <v>74</v>
      </c>
      <c r="AR760" t="s">
        <v>14378</v>
      </c>
      <c r="AS760" t="s">
        <v>14379</v>
      </c>
      <c r="AT760" t="s">
        <v>12461</v>
      </c>
      <c r="AU760">
        <v>2017</v>
      </c>
      <c r="AV760">
        <v>29</v>
      </c>
      <c r="AW760">
        <v>5</v>
      </c>
      <c r="AX760" t="s">
        <v>74</v>
      </c>
      <c r="AY760" t="s">
        <v>74</v>
      </c>
      <c r="AZ760" t="s">
        <v>74</v>
      </c>
      <c r="BA760" t="s">
        <v>74</v>
      </c>
      <c r="BB760">
        <v>2557</v>
      </c>
      <c r="BC760">
        <v>2565</v>
      </c>
      <c r="BD760" t="s">
        <v>74</v>
      </c>
      <c r="BE760" t="s">
        <v>14901</v>
      </c>
      <c r="BF760" t="str">
        <f>HYPERLINK("http://dx.doi.org/10.1007/s10811-017-1135-1","http://dx.doi.org/10.1007/s10811-017-1135-1")</f>
        <v>http://dx.doi.org/10.1007/s10811-017-1135-1</v>
      </c>
      <c r="BG760" t="s">
        <v>74</v>
      </c>
      <c r="BH760" t="s">
        <v>74</v>
      </c>
      <c r="BI760">
        <v>9</v>
      </c>
      <c r="BJ760" t="s">
        <v>2493</v>
      </c>
      <c r="BK760" t="s">
        <v>2330</v>
      </c>
      <c r="BL760" t="s">
        <v>2493</v>
      </c>
      <c r="BM760" t="s">
        <v>14381</v>
      </c>
      <c r="BN760" t="s">
        <v>74</v>
      </c>
      <c r="BO760" t="s">
        <v>74</v>
      </c>
      <c r="BP760" t="s">
        <v>74</v>
      </c>
      <c r="BQ760" t="s">
        <v>74</v>
      </c>
      <c r="BR760" t="s">
        <v>105</v>
      </c>
      <c r="BS760" t="s">
        <v>14902</v>
      </c>
      <c r="BT760" t="str">
        <f>HYPERLINK("https%3A%2F%2Fwww.webofscience.com%2Fwos%2Fwoscc%2Ffull-record%2FWOS:000413299100040","View Full Record in Web of Science")</f>
        <v>View Full Record in Web of Science</v>
      </c>
    </row>
    <row r="761" spans="1:72" x14ac:dyDescent="0.15">
      <c r="A761" t="s">
        <v>72</v>
      </c>
      <c r="B761" t="s">
        <v>14903</v>
      </c>
      <c r="C761" t="s">
        <v>74</v>
      </c>
      <c r="D761" t="s">
        <v>74</v>
      </c>
      <c r="E761" t="s">
        <v>74</v>
      </c>
      <c r="F761" t="s">
        <v>14904</v>
      </c>
      <c r="G761" t="s">
        <v>74</v>
      </c>
      <c r="H761" t="s">
        <v>74</v>
      </c>
      <c r="I761" t="s">
        <v>14905</v>
      </c>
      <c r="J761" t="s">
        <v>14360</v>
      </c>
      <c r="K761" t="s">
        <v>74</v>
      </c>
      <c r="L761" t="s">
        <v>74</v>
      </c>
      <c r="M761" t="s">
        <v>78</v>
      </c>
      <c r="N761" t="s">
        <v>2311</v>
      </c>
      <c r="O761" t="s">
        <v>14361</v>
      </c>
      <c r="P761" t="s">
        <v>14362</v>
      </c>
      <c r="Q761" t="s">
        <v>14363</v>
      </c>
      <c r="R761" t="s">
        <v>74</v>
      </c>
      <c r="S761" t="s">
        <v>74</v>
      </c>
      <c r="T761" t="s">
        <v>14906</v>
      </c>
      <c r="U761" t="s">
        <v>14907</v>
      </c>
      <c r="V761" t="s">
        <v>14908</v>
      </c>
      <c r="W761" t="s">
        <v>14909</v>
      </c>
      <c r="X761" t="s">
        <v>14910</v>
      </c>
      <c r="Y761" t="s">
        <v>14911</v>
      </c>
      <c r="Z761" t="s">
        <v>14912</v>
      </c>
      <c r="AA761" t="s">
        <v>74</v>
      </c>
      <c r="AB761" t="s">
        <v>14913</v>
      </c>
      <c r="AC761" t="s">
        <v>14914</v>
      </c>
      <c r="AD761" t="s">
        <v>14915</v>
      </c>
      <c r="AE761" t="s">
        <v>14916</v>
      </c>
      <c r="AF761" t="s">
        <v>74</v>
      </c>
      <c r="AG761">
        <v>26</v>
      </c>
      <c r="AH761">
        <v>6</v>
      </c>
      <c r="AI761">
        <v>6</v>
      </c>
      <c r="AJ761">
        <v>0</v>
      </c>
      <c r="AK761">
        <v>25</v>
      </c>
      <c r="AL761" t="s">
        <v>1973</v>
      </c>
      <c r="AM761" t="s">
        <v>4347</v>
      </c>
      <c r="AN761" t="s">
        <v>4348</v>
      </c>
      <c r="AO761" t="s">
        <v>14376</v>
      </c>
      <c r="AP761" t="s">
        <v>14377</v>
      </c>
      <c r="AQ761" t="s">
        <v>74</v>
      </c>
      <c r="AR761" t="s">
        <v>14378</v>
      </c>
      <c r="AS761" t="s">
        <v>14379</v>
      </c>
      <c r="AT761" t="s">
        <v>12461</v>
      </c>
      <c r="AU761">
        <v>2017</v>
      </c>
      <c r="AV761">
        <v>29</v>
      </c>
      <c r="AW761">
        <v>5</v>
      </c>
      <c r="AX761" t="s">
        <v>74</v>
      </c>
      <c r="AY761" t="s">
        <v>74</v>
      </c>
      <c r="AZ761" t="s">
        <v>74</v>
      </c>
      <c r="BA761" t="s">
        <v>74</v>
      </c>
      <c r="BB761">
        <v>2567</v>
      </c>
      <c r="BC761">
        <v>2574</v>
      </c>
      <c r="BD761" t="s">
        <v>74</v>
      </c>
      <c r="BE761" t="s">
        <v>14917</v>
      </c>
      <c r="BF761" t="str">
        <f>HYPERLINK("http://dx.doi.org/10.1007/s10811-017-1077-7","http://dx.doi.org/10.1007/s10811-017-1077-7")</f>
        <v>http://dx.doi.org/10.1007/s10811-017-1077-7</v>
      </c>
      <c r="BG761" t="s">
        <v>74</v>
      </c>
      <c r="BH761" t="s">
        <v>74</v>
      </c>
      <c r="BI761">
        <v>8</v>
      </c>
      <c r="BJ761" t="s">
        <v>2493</v>
      </c>
      <c r="BK761" t="s">
        <v>2330</v>
      </c>
      <c r="BL761" t="s">
        <v>2493</v>
      </c>
      <c r="BM761" t="s">
        <v>14381</v>
      </c>
      <c r="BN761" t="s">
        <v>74</v>
      </c>
      <c r="BO761" t="s">
        <v>74</v>
      </c>
      <c r="BP761" t="s">
        <v>74</v>
      </c>
      <c r="BQ761" t="s">
        <v>74</v>
      </c>
      <c r="BR761" t="s">
        <v>105</v>
      </c>
      <c r="BS761" t="s">
        <v>14918</v>
      </c>
      <c r="BT761" t="str">
        <f>HYPERLINK("https%3A%2F%2Fwww.webofscience.com%2Fwos%2Fwoscc%2Ffull-record%2FWOS:000413299100041","View Full Record in Web of Science")</f>
        <v>View Full Record in Web of Science</v>
      </c>
    </row>
    <row r="762" spans="1:72" x14ac:dyDescent="0.15">
      <c r="A762" t="s">
        <v>72</v>
      </c>
      <c r="B762" t="s">
        <v>14919</v>
      </c>
      <c r="C762" t="s">
        <v>74</v>
      </c>
      <c r="D762" t="s">
        <v>74</v>
      </c>
      <c r="E762" t="s">
        <v>74</v>
      </c>
      <c r="F762" t="s">
        <v>14920</v>
      </c>
      <c r="G762" t="s">
        <v>74</v>
      </c>
      <c r="H762" t="s">
        <v>74</v>
      </c>
      <c r="I762" t="s">
        <v>14921</v>
      </c>
      <c r="J762" t="s">
        <v>14922</v>
      </c>
      <c r="K762" t="s">
        <v>74</v>
      </c>
      <c r="L762" t="s">
        <v>74</v>
      </c>
      <c r="M762" t="s">
        <v>78</v>
      </c>
      <c r="N762" t="s">
        <v>289</v>
      </c>
      <c r="O762" t="s">
        <v>74</v>
      </c>
      <c r="P762" t="s">
        <v>74</v>
      </c>
      <c r="Q762" t="s">
        <v>74</v>
      </c>
      <c r="R762" t="s">
        <v>74</v>
      </c>
      <c r="S762" t="s">
        <v>74</v>
      </c>
      <c r="T762" t="s">
        <v>14923</v>
      </c>
      <c r="U762" t="s">
        <v>14924</v>
      </c>
      <c r="V762" t="s">
        <v>14925</v>
      </c>
      <c r="W762" t="s">
        <v>14926</v>
      </c>
      <c r="X762" t="s">
        <v>14927</v>
      </c>
      <c r="Y762" t="s">
        <v>14928</v>
      </c>
      <c r="Z762" t="s">
        <v>14929</v>
      </c>
      <c r="AA762" t="s">
        <v>14930</v>
      </c>
      <c r="AB762" t="s">
        <v>14931</v>
      </c>
      <c r="AC762" t="s">
        <v>14932</v>
      </c>
      <c r="AD762" t="s">
        <v>14933</v>
      </c>
      <c r="AE762" t="s">
        <v>14934</v>
      </c>
      <c r="AF762" t="s">
        <v>74</v>
      </c>
      <c r="AG762">
        <v>110</v>
      </c>
      <c r="AH762">
        <v>18</v>
      </c>
      <c r="AI762">
        <v>20</v>
      </c>
      <c r="AJ762">
        <v>0</v>
      </c>
      <c r="AK762">
        <v>11</v>
      </c>
      <c r="AL762" t="s">
        <v>4270</v>
      </c>
      <c r="AM762" t="s">
        <v>4271</v>
      </c>
      <c r="AN762" t="s">
        <v>4272</v>
      </c>
      <c r="AO762" t="s">
        <v>14935</v>
      </c>
      <c r="AP762" t="s">
        <v>14936</v>
      </c>
      <c r="AQ762" t="s">
        <v>74</v>
      </c>
      <c r="AR762" t="s">
        <v>14937</v>
      </c>
      <c r="AS762" t="s">
        <v>14938</v>
      </c>
      <c r="AT762" t="s">
        <v>12461</v>
      </c>
      <c r="AU762">
        <v>2017</v>
      </c>
      <c r="AV762">
        <v>35</v>
      </c>
      <c r="AW762">
        <v>9</v>
      </c>
      <c r="AX762" t="s">
        <v>74</v>
      </c>
      <c r="AY762" t="s">
        <v>74</v>
      </c>
      <c r="AZ762" t="s">
        <v>74</v>
      </c>
      <c r="BA762" t="s">
        <v>74</v>
      </c>
      <c r="BB762">
        <v>1023</v>
      </c>
      <c r="BC762">
        <v>1050</v>
      </c>
      <c r="BD762" t="s">
        <v>74</v>
      </c>
      <c r="BE762" t="s">
        <v>14939</v>
      </c>
      <c r="BF762" t="str">
        <f>HYPERLINK("http://dx.doi.org/10.1111/jmg.12266","http://dx.doi.org/10.1111/jmg.12266")</f>
        <v>http://dx.doi.org/10.1111/jmg.12266</v>
      </c>
      <c r="BG762" t="s">
        <v>74</v>
      </c>
      <c r="BH762" t="s">
        <v>74</v>
      </c>
      <c r="BI762">
        <v>28</v>
      </c>
      <c r="BJ762" t="s">
        <v>281</v>
      </c>
      <c r="BK762" t="s">
        <v>101</v>
      </c>
      <c r="BL762" t="s">
        <v>281</v>
      </c>
      <c r="BM762" t="s">
        <v>14940</v>
      </c>
      <c r="BN762" t="s">
        <v>74</v>
      </c>
      <c r="BO762" t="s">
        <v>74</v>
      </c>
      <c r="BP762" t="s">
        <v>74</v>
      </c>
      <c r="BQ762" t="s">
        <v>74</v>
      </c>
      <c r="BR762" t="s">
        <v>105</v>
      </c>
      <c r="BS762" t="s">
        <v>14941</v>
      </c>
      <c r="BT762" t="str">
        <f>HYPERLINK("https%3A%2F%2Fwww.webofscience.com%2Fwos%2Fwoscc%2Ffull-record%2FWOS:000414597400005","View Full Record in Web of Science")</f>
        <v>View Full Record in Web of Science</v>
      </c>
    </row>
    <row r="763" spans="1:72" x14ac:dyDescent="0.15">
      <c r="A763" t="s">
        <v>72</v>
      </c>
      <c r="B763" t="s">
        <v>14942</v>
      </c>
      <c r="C763" t="s">
        <v>74</v>
      </c>
      <c r="D763" t="s">
        <v>74</v>
      </c>
      <c r="E763" t="s">
        <v>74</v>
      </c>
      <c r="F763" t="s">
        <v>14943</v>
      </c>
      <c r="G763" t="s">
        <v>74</v>
      </c>
      <c r="H763" t="s">
        <v>74</v>
      </c>
      <c r="I763" t="s">
        <v>14944</v>
      </c>
      <c r="J763" t="s">
        <v>14945</v>
      </c>
      <c r="K763" t="s">
        <v>74</v>
      </c>
      <c r="L763" t="s">
        <v>74</v>
      </c>
      <c r="M763" t="s">
        <v>78</v>
      </c>
      <c r="N763" t="s">
        <v>289</v>
      </c>
      <c r="O763" t="s">
        <v>74</v>
      </c>
      <c r="P763" t="s">
        <v>74</v>
      </c>
      <c r="Q763" t="s">
        <v>74</v>
      </c>
      <c r="R763" t="s">
        <v>74</v>
      </c>
      <c r="S763" t="s">
        <v>74</v>
      </c>
      <c r="T763" t="s">
        <v>14946</v>
      </c>
      <c r="U763" t="s">
        <v>14947</v>
      </c>
      <c r="V763" t="s">
        <v>14948</v>
      </c>
      <c r="W763" t="s">
        <v>14949</v>
      </c>
      <c r="X763" t="s">
        <v>14950</v>
      </c>
      <c r="Y763" t="s">
        <v>14951</v>
      </c>
      <c r="Z763" t="s">
        <v>14370</v>
      </c>
      <c r="AA763" t="s">
        <v>14952</v>
      </c>
      <c r="AB763" t="s">
        <v>14953</v>
      </c>
      <c r="AC763" t="s">
        <v>14954</v>
      </c>
      <c r="AD763" t="s">
        <v>14954</v>
      </c>
      <c r="AE763" t="s">
        <v>14955</v>
      </c>
      <c r="AF763" t="s">
        <v>74</v>
      </c>
      <c r="AG763">
        <v>53</v>
      </c>
      <c r="AH763">
        <v>5</v>
      </c>
      <c r="AI763">
        <v>7</v>
      </c>
      <c r="AJ763">
        <v>2</v>
      </c>
      <c r="AK763">
        <v>35</v>
      </c>
      <c r="AL763" t="s">
        <v>1139</v>
      </c>
      <c r="AM763" t="s">
        <v>1140</v>
      </c>
      <c r="AN763" t="s">
        <v>1141</v>
      </c>
      <c r="AO763" t="s">
        <v>14956</v>
      </c>
      <c r="AP763" t="s">
        <v>14957</v>
      </c>
      <c r="AQ763" t="s">
        <v>74</v>
      </c>
      <c r="AR763" t="s">
        <v>14945</v>
      </c>
      <c r="AS763" t="s">
        <v>14958</v>
      </c>
      <c r="AT763" t="s">
        <v>12461</v>
      </c>
      <c r="AU763">
        <v>2017</v>
      </c>
      <c r="AV763">
        <v>103</v>
      </c>
      <c r="AW763" t="s">
        <v>74</v>
      </c>
      <c r="AX763" t="s">
        <v>74</v>
      </c>
      <c r="AY763" t="s">
        <v>74</v>
      </c>
      <c r="AZ763" t="s">
        <v>74</v>
      </c>
      <c r="BA763" t="s">
        <v>74</v>
      </c>
      <c r="BB763">
        <v>45</v>
      </c>
      <c r="BC763">
        <v>52</v>
      </c>
      <c r="BD763" t="s">
        <v>74</v>
      </c>
      <c r="BE763" t="s">
        <v>14959</v>
      </c>
      <c r="BF763" t="str">
        <f>HYPERLINK("http://dx.doi.org/10.1016/j.micron.2017.09.010","http://dx.doi.org/10.1016/j.micron.2017.09.010")</f>
        <v>http://dx.doi.org/10.1016/j.micron.2017.09.010</v>
      </c>
      <c r="BG763" t="s">
        <v>74</v>
      </c>
      <c r="BH763" t="s">
        <v>74</v>
      </c>
      <c r="BI763">
        <v>8</v>
      </c>
      <c r="BJ763" t="s">
        <v>14960</v>
      </c>
      <c r="BK763" t="s">
        <v>101</v>
      </c>
      <c r="BL763" t="s">
        <v>14960</v>
      </c>
      <c r="BM763" t="s">
        <v>14961</v>
      </c>
      <c r="BN763">
        <v>28968548</v>
      </c>
      <c r="BO763" t="s">
        <v>74</v>
      </c>
      <c r="BP763" t="s">
        <v>74</v>
      </c>
      <c r="BQ763" t="s">
        <v>74</v>
      </c>
      <c r="BR763" t="s">
        <v>105</v>
      </c>
      <c r="BS763" t="s">
        <v>14962</v>
      </c>
      <c r="BT763" t="str">
        <f>HYPERLINK("https%3A%2F%2Fwww.webofscience.com%2Fwos%2Fwoscc%2Ffull-record%2FWOS:000414622100006","View Full Record in Web of Science")</f>
        <v>View Full Record in Web of Science</v>
      </c>
    </row>
    <row r="764" spans="1:72" x14ac:dyDescent="0.15">
      <c r="A764" t="s">
        <v>72</v>
      </c>
      <c r="B764" t="s">
        <v>14963</v>
      </c>
      <c r="C764" t="s">
        <v>74</v>
      </c>
      <c r="D764" t="s">
        <v>74</v>
      </c>
      <c r="E764" t="s">
        <v>74</v>
      </c>
      <c r="F764" t="s">
        <v>14964</v>
      </c>
      <c r="G764" t="s">
        <v>74</v>
      </c>
      <c r="H764" t="s">
        <v>74</v>
      </c>
      <c r="I764" t="s">
        <v>14965</v>
      </c>
      <c r="J764" t="s">
        <v>14966</v>
      </c>
      <c r="K764" t="s">
        <v>74</v>
      </c>
      <c r="L764" t="s">
        <v>74</v>
      </c>
      <c r="M764" t="s">
        <v>78</v>
      </c>
      <c r="N764" t="s">
        <v>79</v>
      </c>
      <c r="O764" t="s">
        <v>74</v>
      </c>
      <c r="P764" t="s">
        <v>74</v>
      </c>
      <c r="Q764" t="s">
        <v>74</v>
      </c>
      <c r="R764" t="s">
        <v>74</v>
      </c>
      <c r="S764" t="s">
        <v>74</v>
      </c>
      <c r="T764" t="s">
        <v>14967</v>
      </c>
      <c r="U764" t="s">
        <v>14968</v>
      </c>
      <c r="V764" t="s">
        <v>14969</v>
      </c>
      <c r="W764" t="s">
        <v>14970</v>
      </c>
      <c r="X764" t="s">
        <v>14971</v>
      </c>
      <c r="Y764" t="s">
        <v>14972</v>
      </c>
      <c r="Z764" t="s">
        <v>14973</v>
      </c>
      <c r="AA764" t="s">
        <v>14974</v>
      </c>
      <c r="AB764" t="s">
        <v>14975</v>
      </c>
      <c r="AC764" t="s">
        <v>14976</v>
      </c>
      <c r="AD764" t="s">
        <v>14977</v>
      </c>
      <c r="AE764" t="s">
        <v>14978</v>
      </c>
      <c r="AF764" t="s">
        <v>74</v>
      </c>
      <c r="AG764">
        <v>45</v>
      </c>
      <c r="AH764">
        <v>28</v>
      </c>
      <c r="AI764">
        <v>30</v>
      </c>
      <c r="AJ764">
        <v>0</v>
      </c>
      <c r="AK764">
        <v>50</v>
      </c>
      <c r="AL764" t="s">
        <v>1973</v>
      </c>
      <c r="AM764" t="s">
        <v>4347</v>
      </c>
      <c r="AN764" t="s">
        <v>4348</v>
      </c>
      <c r="AO764" t="s">
        <v>14979</v>
      </c>
      <c r="AP764" t="s">
        <v>14980</v>
      </c>
      <c r="AQ764" t="s">
        <v>74</v>
      </c>
      <c r="AR764" t="s">
        <v>14981</v>
      </c>
      <c r="AS764" t="s">
        <v>14982</v>
      </c>
      <c r="AT764" t="s">
        <v>12461</v>
      </c>
      <c r="AU764">
        <v>2017</v>
      </c>
      <c r="AV764">
        <v>83</v>
      </c>
      <c r="AW764">
        <v>3</v>
      </c>
      <c r="AX764" t="s">
        <v>74</v>
      </c>
      <c r="AY764" t="s">
        <v>74</v>
      </c>
      <c r="AZ764" t="s">
        <v>74</v>
      </c>
      <c r="BA764" t="s">
        <v>74</v>
      </c>
      <c r="BB764">
        <v>489</v>
      </c>
      <c r="BC764">
        <v>500</v>
      </c>
      <c r="BD764" t="s">
        <v>74</v>
      </c>
      <c r="BE764" t="s">
        <v>14983</v>
      </c>
      <c r="BF764" t="str">
        <f>HYPERLINK("http://dx.doi.org/10.1007/s10725-017-0314-z","http://dx.doi.org/10.1007/s10725-017-0314-z")</f>
        <v>http://dx.doi.org/10.1007/s10725-017-0314-z</v>
      </c>
      <c r="BG764" t="s">
        <v>74</v>
      </c>
      <c r="BH764" t="s">
        <v>74</v>
      </c>
      <c r="BI764">
        <v>12</v>
      </c>
      <c r="BJ764" t="s">
        <v>492</v>
      </c>
      <c r="BK764" t="s">
        <v>101</v>
      </c>
      <c r="BL764" t="s">
        <v>492</v>
      </c>
      <c r="BM764" t="s">
        <v>14984</v>
      </c>
      <c r="BN764" t="s">
        <v>74</v>
      </c>
      <c r="BO764" t="s">
        <v>74</v>
      </c>
      <c r="BP764" t="s">
        <v>74</v>
      </c>
      <c r="BQ764" t="s">
        <v>74</v>
      </c>
      <c r="BR764" t="s">
        <v>105</v>
      </c>
      <c r="BS764" t="s">
        <v>14985</v>
      </c>
      <c r="BT764" t="str">
        <f>HYPERLINK("https%3A%2F%2Fwww.webofscience.com%2Fwos%2Fwoscc%2Ffull-record%2FWOS:000414377500013","View Full Record in Web of Science")</f>
        <v>View Full Record in Web of Science</v>
      </c>
    </row>
    <row r="765" spans="1:72" x14ac:dyDescent="0.15">
      <c r="A765" t="s">
        <v>72</v>
      </c>
      <c r="B765" t="s">
        <v>14986</v>
      </c>
      <c r="C765" t="s">
        <v>74</v>
      </c>
      <c r="D765" t="s">
        <v>74</v>
      </c>
      <c r="E765" t="s">
        <v>74</v>
      </c>
      <c r="F765" t="s">
        <v>14987</v>
      </c>
      <c r="G765" t="s">
        <v>74</v>
      </c>
      <c r="H765" t="s">
        <v>74</v>
      </c>
      <c r="I765" t="s">
        <v>14988</v>
      </c>
      <c r="J765" t="s">
        <v>14989</v>
      </c>
      <c r="K765" t="s">
        <v>74</v>
      </c>
      <c r="L765" t="s">
        <v>74</v>
      </c>
      <c r="M765" t="s">
        <v>78</v>
      </c>
      <c r="N765" t="s">
        <v>79</v>
      </c>
      <c r="O765" t="s">
        <v>74</v>
      </c>
      <c r="P765" t="s">
        <v>74</v>
      </c>
      <c r="Q765" t="s">
        <v>74</v>
      </c>
      <c r="R765" t="s">
        <v>74</v>
      </c>
      <c r="S765" t="s">
        <v>74</v>
      </c>
      <c r="T765" t="s">
        <v>14990</v>
      </c>
      <c r="U765" t="s">
        <v>14991</v>
      </c>
      <c r="V765" t="s">
        <v>14992</v>
      </c>
      <c r="W765" t="s">
        <v>14993</v>
      </c>
      <c r="X765" t="s">
        <v>14994</v>
      </c>
      <c r="Y765" t="s">
        <v>14995</v>
      </c>
      <c r="Z765" t="s">
        <v>14996</v>
      </c>
      <c r="AA765" t="s">
        <v>74</v>
      </c>
      <c r="AB765" t="s">
        <v>14997</v>
      </c>
      <c r="AC765" t="s">
        <v>14998</v>
      </c>
      <c r="AD765" t="s">
        <v>14999</v>
      </c>
      <c r="AE765" t="s">
        <v>15000</v>
      </c>
      <c r="AF765" t="s">
        <v>74</v>
      </c>
      <c r="AG765">
        <v>68</v>
      </c>
      <c r="AH765">
        <v>12</v>
      </c>
      <c r="AI765">
        <v>12</v>
      </c>
      <c r="AJ765">
        <v>0</v>
      </c>
      <c r="AK765">
        <v>19</v>
      </c>
      <c r="AL765" t="s">
        <v>1139</v>
      </c>
      <c r="AM765" t="s">
        <v>1140</v>
      </c>
      <c r="AN765" t="s">
        <v>1141</v>
      </c>
      <c r="AO765" t="s">
        <v>15001</v>
      </c>
      <c r="AP765" t="s">
        <v>15002</v>
      </c>
      <c r="AQ765" t="s">
        <v>74</v>
      </c>
      <c r="AR765" t="s">
        <v>15003</v>
      </c>
      <c r="AS765" t="s">
        <v>15004</v>
      </c>
      <c r="AT765" t="s">
        <v>12461</v>
      </c>
      <c r="AU765">
        <v>2017</v>
      </c>
      <c r="AV765">
        <v>114</v>
      </c>
      <c r="AW765" t="s">
        <v>74</v>
      </c>
      <c r="AX765" t="s">
        <v>2085</v>
      </c>
      <c r="AY765" t="s">
        <v>74</v>
      </c>
      <c r="AZ765" t="s">
        <v>74</v>
      </c>
      <c r="BA765" t="s">
        <v>74</v>
      </c>
      <c r="BB765">
        <v>708</v>
      </c>
      <c r="BC765">
        <v>715</v>
      </c>
      <c r="BD765" t="s">
        <v>74</v>
      </c>
      <c r="BE765" t="s">
        <v>15005</v>
      </c>
      <c r="BF765" t="str">
        <f>HYPERLINK("http://dx.doi.org/10.1016/j.renene.2017.07.075","http://dx.doi.org/10.1016/j.renene.2017.07.075")</f>
        <v>http://dx.doi.org/10.1016/j.renene.2017.07.075</v>
      </c>
      <c r="BG765" t="s">
        <v>74</v>
      </c>
      <c r="BH765" t="s">
        <v>74</v>
      </c>
      <c r="BI765">
        <v>8</v>
      </c>
      <c r="BJ765" t="s">
        <v>15006</v>
      </c>
      <c r="BK765" t="s">
        <v>101</v>
      </c>
      <c r="BL765" t="s">
        <v>15007</v>
      </c>
      <c r="BM765" t="s">
        <v>15008</v>
      </c>
      <c r="BN765" t="s">
        <v>74</v>
      </c>
      <c r="BO765" t="s">
        <v>74</v>
      </c>
      <c r="BP765" t="s">
        <v>74</v>
      </c>
      <c r="BQ765" t="s">
        <v>74</v>
      </c>
      <c r="BR765" t="s">
        <v>105</v>
      </c>
      <c r="BS765" t="s">
        <v>15009</v>
      </c>
      <c r="BT765" t="str">
        <f>HYPERLINK("https%3A%2F%2Fwww.webofscience.com%2Fwos%2Fwoscc%2Ffull-record%2FWOS:000412607000035","View Full Record in Web of Science")</f>
        <v>View Full Record in Web of Science</v>
      </c>
    </row>
    <row r="766" spans="1:72" x14ac:dyDescent="0.15">
      <c r="A766" t="s">
        <v>72</v>
      </c>
      <c r="B766" t="s">
        <v>15010</v>
      </c>
      <c r="C766" t="s">
        <v>74</v>
      </c>
      <c r="D766" t="s">
        <v>74</v>
      </c>
      <c r="E766" t="s">
        <v>74</v>
      </c>
      <c r="F766" t="s">
        <v>15011</v>
      </c>
      <c r="G766" t="s">
        <v>74</v>
      </c>
      <c r="H766" t="s">
        <v>74</v>
      </c>
      <c r="I766" t="s">
        <v>15012</v>
      </c>
      <c r="J766" t="s">
        <v>15013</v>
      </c>
      <c r="K766" t="s">
        <v>74</v>
      </c>
      <c r="L766" t="s">
        <v>74</v>
      </c>
      <c r="M766" t="s">
        <v>78</v>
      </c>
      <c r="N766" t="s">
        <v>79</v>
      </c>
      <c r="O766" t="s">
        <v>74</v>
      </c>
      <c r="P766" t="s">
        <v>74</v>
      </c>
      <c r="Q766" t="s">
        <v>74</v>
      </c>
      <c r="R766" t="s">
        <v>74</v>
      </c>
      <c r="S766" t="s">
        <v>74</v>
      </c>
      <c r="T766" t="s">
        <v>15014</v>
      </c>
      <c r="U766" t="s">
        <v>15015</v>
      </c>
      <c r="V766" t="s">
        <v>15016</v>
      </c>
      <c r="W766" t="s">
        <v>15017</v>
      </c>
      <c r="X766" t="s">
        <v>15018</v>
      </c>
      <c r="Y766" t="s">
        <v>15019</v>
      </c>
      <c r="Z766" t="s">
        <v>15020</v>
      </c>
      <c r="AA766" t="s">
        <v>74</v>
      </c>
      <c r="AB766" t="s">
        <v>15021</v>
      </c>
      <c r="AC766" t="s">
        <v>15022</v>
      </c>
      <c r="AD766" t="s">
        <v>15023</v>
      </c>
      <c r="AE766" t="s">
        <v>15024</v>
      </c>
      <c r="AF766" t="s">
        <v>74</v>
      </c>
      <c r="AG766">
        <v>47</v>
      </c>
      <c r="AH766">
        <v>1</v>
      </c>
      <c r="AI766">
        <v>2</v>
      </c>
      <c r="AJ766">
        <v>3</v>
      </c>
      <c r="AK766">
        <v>85</v>
      </c>
      <c r="AL766" t="s">
        <v>15025</v>
      </c>
      <c r="AM766" t="s">
        <v>15026</v>
      </c>
      <c r="AN766" t="s">
        <v>15027</v>
      </c>
      <c r="AO766" t="s">
        <v>15028</v>
      </c>
      <c r="AP766" t="s">
        <v>15029</v>
      </c>
      <c r="AQ766" t="s">
        <v>74</v>
      </c>
      <c r="AR766" t="s">
        <v>15013</v>
      </c>
      <c r="AS766" t="s">
        <v>15030</v>
      </c>
      <c r="AT766" t="s">
        <v>12461</v>
      </c>
      <c r="AU766">
        <v>2017</v>
      </c>
      <c r="AV766">
        <v>55</v>
      </c>
      <c r="AW766">
        <v>4</v>
      </c>
      <c r="AX766" t="s">
        <v>74</v>
      </c>
      <c r="AY766" t="s">
        <v>74</v>
      </c>
      <c r="AZ766" t="s">
        <v>74</v>
      </c>
      <c r="BA766" t="s">
        <v>74</v>
      </c>
      <c r="BB766">
        <v>630</v>
      </c>
      <c r="BC766">
        <v>637</v>
      </c>
      <c r="BD766" t="s">
        <v>74</v>
      </c>
      <c r="BE766" t="s">
        <v>15031</v>
      </c>
      <c r="BF766" t="str">
        <f>HYPERLINK("http://dx.doi.org/10.1007/s11099-016-0682-z","http://dx.doi.org/10.1007/s11099-016-0682-z")</f>
        <v>http://dx.doi.org/10.1007/s11099-016-0682-z</v>
      </c>
      <c r="BG766" t="s">
        <v>74</v>
      </c>
      <c r="BH766" t="s">
        <v>74</v>
      </c>
      <c r="BI766">
        <v>8</v>
      </c>
      <c r="BJ766" t="s">
        <v>492</v>
      </c>
      <c r="BK766" t="s">
        <v>101</v>
      </c>
      <c r="BL766" t="s">
        <v>492</v>
      </c>
      <c r="BM766" t="s">
        <v>15032</v>
      </c>
      <c r="BN766" t="s">
        <v>74</v>
      </c>
      <c r="BO766" t="s">
        <v>74</v>
      </c>
      <c r="BP766" t="s">
        <v>74</v>
      </c>
      <c r="BQ766" t="s">
        <v>74</v>
      </c>
      <c r="BR766" t="s">
        <v>105</v>
      </c>
      <c r="BS766" t="s">
        <v>15033</v>
      </c>
      <c r="BT766" t="str">
        <f>HYPERLINK("https%3A%2F%2Fwww.webofscience.com%2Fwos%2Fwoscc%2Ffull-record%2FWOS:000406019100008","View Full Record in Web of Science")</f>
        <v>View Full Record in Web of Science</v>
      </c>
    </row>
    <row r="767" spans="1:72" x14ac:dyDescent="0.15">
      <c r="A767" t="s">
        <v>72</v>
      </c>
      <c r="B767" t="s">
        <v>15034</v>
      </c>
      <c r="C767" t="s">
        <v>74</v>
      </c>
      <c r="D767" t="s">
        <v>74</v>
      </c>
      <c r="E767" t="s">
        <v>74</v>
      </c>
      <c r="F767" t="s">
        <v>15035</v>
      </c>
      <c r="G767" t="s">
        <v>74</v>
      </c>
      <c r="H767" t="s">
        <v>74</v>
      </c>
      <c r="I767" t="s">
        <v>15036</v>
      </c>
      <c r="J767" t="s">
        <v>1100</v>
      </c>
      <c r="K767" t="s">
        <v>74</v>
      </c>
      <c r="L767" t="s">
        <v>74</v>
      </c>
      <c r="M767" t="s">
        <v>78</v>
      </c>
      <c r="N767" t="s">
        <v>79</v>
      </c>
      <c r="O767" t="s">
        <v>74</v>
      </c>
      <c r="P767" t="s">
        <v>74</v>
      </c>
      <c r="Q767" t="s">
        <v>74</v>
      </c>
      <c r="R767" t="s">
        <v>74</v>
      </c>
      <c r="S767" t="s">
        <v>74</v>
      </c>
      <c r="T767" t="s">
        <v>15037</v>
      </c>
      <c r="U767" t="s">
        <v>15038</v>
      </c>
      <c r="V767" t="s">
        <v>15039</v>
      </c>
      <c r="W767" t="s">
        <v>15040</v>
      </c>
      <c r="X767" t="s">
        <v>15041</v>
      </c>
      <c r="Y767" t="s">
        <v>15042</v>
      </c>
      <c r="Z767" t="s">
        <v>15043</v>
      </c>
      <c r="AA767" t="s">
        <v>15044</v>
      </c>
      <c r="AB767" t="s">
        <v>15045</v>
      </c>
      <c r="AC767" t="s">
        <v>15046</v>
      </c>
      <c r="AD767" t="s">
        <v>15047</v>
      </c>
      <c r="AE767" t="s">
        <v>15048</v>
      </c>
      <c r="AF767" t="s">
        <v>74</v>
      </c>
      <c r="AG767">
        <v>116</v>
      </c>
      <c r="AH767">
        <v>10</v>
      </c>
      <c r="AI767">
        <v>11</v>
      </c>
      <c r="AJ767">
        <v>0</v>
      </c>
      <c r="AK767">
        <v>153</v>
      </c>
      <c r="AL767" t="s">
        <v>1186</v>
      </c>
      <c r="AM767" t="s">
        <v>808</v>
      </c>
      <c r="AN767" t="s">
        <v>1187</v>
      </c>
      <c r="AO767" t="s">
        <v>1113</v>
      </c>
      <c r="AP767" t="s">
        <v>1114</v>
      </c>
      <c r="AQ767" t="s">
        <v>74</v>
      </c>
      <c r="AR767" t="s">
        <v>1115</v>
      </c>
      <c r="AS767" t="s">
        <v>1116</v>
      </c>
      <c r="AT767" t="s">
        <v>12906</v>
      </c>
      <c r="AU767">
        <v>2017</v>
      </c>
      <c r="AV767">
        <v>599</v>
      </c>
      <c r="AW767" t="s">
        <v>74</v>
      </c>
      <c r="AX767" t="s">
        <v>74</v>
      </c>
      <c r="AY767" t="s">
        <v>74</v>
      </c>
      <c r="AZ767" t="s">
        <v>74</v>
      </c>
      <c r="BA767" t="s">
        <v>74</v>
      </c>
      <c r="BB767">
        <v>1693</v>
      </c>
      <c r="BC767">
        <v>1704</v>
      </c>
      <c r="BD767" t="s">
        <v>74</v>
      </c>
      <c r="BE767" t="s">
        <v>15049</v>
      </c>
      <c r="BF767" t="str">
        <f>HYPERLINK("http://dx.doi.org/10.1016/j.scitotenv.2017.04.224","http://dx.doi.org/10.1016/j.scitotenv.2017.04.224")</f>
        <v>http://dx.doi.org/10.1016/j.scitotenv.2017.04.224</v>
      </c>
      <c r="BG767" t="s">
        <v>74</v>
      </c>
      <c r="BH767" t="s">
        <v>74</v>
      </c>
      <c r="BI767">
        <v>12</v>
      </c>
      <c r="BJ767" t="s">
        <v>1119</v>
      </c>
      <c r="BK767" t="s">
        <v>101</v>
      </c>
      <c r="BL767" t="s">
        <v>1120</v>
      </c>
      <c r="BM767" t="s">
        <v>15050</v>
      </c>
      <c r="BN767">
        <v>28535598</v>
      </c>
      <c r="BO767" t="s">
        <v>74</v>
      </c>
      <c r="BP767" t="s">
        <v>74</v>
      </c>
      <c r="BQ767" t="s">
        <v>74</v>
      </c>
      <c r="BR767" t="s">
        <v>105</v>
      </c>
      <c r="BS767" t="s">
        <v>15051</v>
      </c>
      <c r="BT767" t="str">
        <f>HYPERLINK("https%3A%2F%2Fwww.webofscience.com%2Fwos%2Fwoscc%2Ffull-record%2FWOS:000405253500065","View Full Record in Web of Science")</f>
        <v>View Full Record in Web of Science</v>
      </c>
    </row>
    <row r="768" spans="1:72" x14ac:dyDescent="0.15">
      <c r="A768" t="s">
        <v>72</v>
      </c>
      <c r="B768" t="s">
        <v>15052</v>
      </c>
      <c r="C768" t="s">
        <v>74</v>
      </c>
      <c r="D768" t="s">
        <v>74</v>
      </c>
      <c r="E768" t="s">
        <v>74</v>
      </c>
      <c r="F768" t="s">
        <v>15053</v>
      </c>
      <c r="G768" t="s">
        <v>74</v>
      </c>
      <c r="H768" t="s">
        <v>74</v>
      </c>
      <c r="I768" t="s">
        <v>15054</v>
      </c>
      <c r="J768" t="s">
        <v>1549</v>
      </c>
      <c r="K768" t="s">
        <v>74</v>
      </c>
      <c r="L768" t="s">
        <v>74</v>
      </c>
      <c r="M768" t="s">
        <v>78</v>
      </c>
      <c r="N768" t="s">
        <v>79</v>
      </c>
      <c r="O768" t="s">
        <v>74</v>
      </c>
      <c r="P768" t="s">
        <v>74</v>
      </c>
      <c r="Q768" t="s">
        <v>74</v>
      </c>
      <c r="R768" t="s">
        <v>74</v>
      </c>
      <c r="S768" t="s">
        <v>74</v>
      </c>
      <c r="T768" t="s">
        <v>74</v>
      </c>
      <c r="U768" t="s">
        <v>15055</v>
      </c>
      <c r="V768" t="s">
        <v>15056</v>
      </c>
      <c r="W768" t="s">
        <v>15057</v>
      </c>
      <c r="X768" t="s">
        <v>15058</v>
      </c>
      <c r="Y768" t="s">
        <v>15059</v>
      </c>
      <c r="Z768" t="s">
        <v>15060</v>
      </c>
      <c r="AA768" t="s">
        <v>15061</v>
      </c>
      <c r="AB768" t="s">
        <v>15062</v>
      </c>
      <c r="AC768" t="s">
        <v>15063</v>
      </c>
      <c r="AD768" t="s">
        <v>15064</v>
      </c>
      <c r="AE768" t="s">
        <v>15065</v>
      </c>
      <c r="AF768" t="s">
        <v>74</v>
      </c>
      <c r="AG768">
        <v>107</v>
      </c>
      <c r="AH768">
        <v>56</v>
      </c>
      <c r="AI768">
        <v>61</v>
      </c>
      <c r="AJ768">
        <v>0</v>
      </c>
      <c r="AK768">
        <v>56</v>
      </c>
      <c r="AL768" t="s">
        <v>673</v>
      </c>
      <c r="AM768" t="s">
        <v>92</v>
      </c>
      <c r="AN768" t="s">
        <v>674</v>
      </c>
      <c r="AO768" t="s">
        <v>1561</v>
      </c>
      <c r="AP768" t="s">
        <v>1562</v>
      </c>
      <c r="AQ768" t="s">
        <v>74</v>
      </c>
      <c r="AR768" t="s">
        <v>1549</v>
      </c>
      <c r="AS768" t="s">
        <v>1563</v>
      </c>
      <c r="AT768" t="s">
        <v>15066</v>
      </c>
      <c r="AU768">
        <v>2017</v>
      </c>
      <c r="AV768">
        <v>551</v>
      </c>
      <c r="AW768">
        <v>7682</v>
      </c>
      <c r="AX768" t="s">
        <v>74</v>
      </c>
      <c r="AY768" t="s">
        <v>74</v>
      </c>
      <c r="AZ768" t="s">
        <v>74</v>
      </c>
      <c r="BA768" t="s">
        <v>74</v>
      </c>
      <c r="BB768">
        <v>614</v>
      </c>
      <c r="BC768" t="s">
        <v>1565</v>
      </c>
      <c r="BD768" t="s">
        <v>74</v>
      </c>
      <c r="BE768" t="s">
        <v>15067</v>
      </c>
      <c r="BF768" t="str">
        <f>HYPERLINK("http://dx.doi.org/10.1038/nature24625","http://dx.doi.org/10.1038/nature24625")</f>
        <v>http://dx.doi.org/10.1038/nature24625</v>
      </c>
      <c r="BG768" t="s">
        <v>74</v>
      </c>
      <c r="BH768" t="s">
        <v>74</v>
      </c>
      <c r="BI768">
        <v>14</v>
      </c>
      <c r="BJ768" t="s">
        <v>129</v>
      </c>
      <c r="BK768" t="s">
        <v>101</v>
      </c>
      <c r="BL768" t="s">
        <v>130</v>
      </c>
      <c r="BM768" t="s">
        <v>15068</v>
      </c>
      <c r="BN768">
        <v>29189777</v>
      </c>
      <c r="BO768" t="s">
        <v>432</v>
      </c>
      <c r="BP768" t="s">
        <v>74</v>
      </c>
      <c r="BQ768" t="s">
        <v>74</v>
      </c>
      <c r="BR768" t="s">
        <v>105</v>
      </c>
      <c r="BS768" t="s">
        <v>15069</v>
      </c>
      <c r="BT768" t="str">
        <f>HYPERLINK("https%3A%2F%2Fwww.webofscience.com%2Fwos%2Fwoscc%2Ffull-record%2FWOS:000416520400040","View Full Record in Web of Science")</f>
        <v>View Full Record in Web of Science</v>
      </c>
    </row>
    <row r="769" spans="1:72" x14ac:dyDescent="0.15">
      <c r="A769" t="s">
        <v>72</v>
      </c>
      <c r="B769" t="s">
        <v>15070</v>
      </c>
      <c r="C769" t="s">
        <v>74</v>
      </c>
      <c r="D769" t="s">
        <v>74</v>
      </c>
      <c r="E769" t="s">
        <v>74</v>
      </c>
      <c r="F769" t="s">
        <v>15071</v>
      </c>
      <c r="G769" t="s">
        <v>74</v>
      </c>
      <c r="H769" t="s">
        <v>74</v>
      </c>
      <c r="I769" t="s">
        <v>15072</v>
      </c>
      <c r="J769" t="s">
        <v>1549</v>
      </c>
      <c r="K769" t="s">
        <v>74</v>
      </c>
      <c r="L769" t="s">
        <v>74</v>
      </c>
      <c r="M769" t="s">
        <v>78</v>
      </c>
      <c r="N769" t="s">
        <v>7681</v>
      </c>
      <c r="O769" t="s">
        <v>74</v>
      </c>
      <c r="P769" t="s">
        <v>74</v>
      </c>
      <c r="Q769" t="s">
        <v>74</v>
      </c>
      <c r="R769" t="s">
        <v>74</v>
      </c>
      <c r="S769" t="s">
        <v>74</v>
      </c>
      <c r="T769" t="s">
        <v>74</v>
      </c>
      <c r="U769" t="s">
        <v>74</v>
      </c>
      <c r="V769" t="s">
        <v>74</v>
      </c>
      <c r="W769" t="s">
        <v>74</v>
      </c>
      <c r="X769" t="s">
        <v>74</v>
      </c>
      <c r="Y769" t="s">
        <v>74</v>
      </c>
      <c r="Z769" t="s">
        <v>74</v>
      </c>
      <c r="AA769" t="s">
        <v>74</v>
      </c>
      <c r="AB769" t="s">
        <v>74</v>
      </c>
      <c r="AC769" t="s">
        <v>74</v>
      </c>
      <c r="AD769" t="s">
        <v>74</v>
      </c>
      <c r="AE769" t="s">
        <v>74</v>
      </c>
      <c r="AF769" t="s">
        <v>74</v>
      </c>
      <c r="AG769">
        <v>3</v>
      </c>
      <c r="AH769">
        <v>2</v>
      </c>
      <c r="AI769">
        <v>2</v>
      </c>
      <c r="AJ769">
        <v>2</v>
      </c>
      <c r="AK769">
        <v>7</v>
      </c>
      <c r="AL769" t="s">
        <v>673</v>
      </c>
      <c r="AM769" t="s">
        <v>92</v>
      </c>
      <c r="AN769" t="s">
        <v>674</v>
      </c>
      <c r="AO769" t="s">
        <v>1561</v>
      </c>
      <c r="AP769" t="s">
        <v>1562</v>
      </c>
      <c r="AQ769" t="s">
        <v>74</v>
      </c>
      <c r="AR769" t="s">
        <v>1549</v>
      </c>
      <c r="AS769" t="s">
        <v>1563</v>
      </c>
      <c r="AT769" t="s">
        <v>15066</v>
      </c>
      <c r="AU769">
        <v>2017</v>
      </c>
      <c r="AV769">
        <v>551</v>
      </c>
      <c r="AW769">
        <v>7682</v>
      </c>
      <c r="AX769" t="s">
        <v>74</v>
      </c>
      <c r="AY769" t="s">
        <v>74</v>
      </c>
      <c r="AZ769" t="s">
        <v>74</v>
      </c>
      <c r="BA769" t="s">
        <v>74</v>
      </c>
      <c r="BB769">
        <v>658</v>
      </c>
      <c r="BC769">
        <v>658</v>
      </c>
      <c r="BD769" t="s">
        <v>74</v>
      </c>
      <c r="BE769" t="s">
        <v>15073</v>
      </c>
      <c r="BF769" t="str">
        <f>HYPERLINK("http://dx.doi.org/10.1038/nature24478","http://dx.doi.org/10.1038/nature24478")</f>
        <v>http://dx.doi.org/10.1038/nature24478</v>
      </c>
      <c r="BG769" t="s">
        <v>74</v>
      </c>
      <c r="BH769" t="s">
        <v>74</v>
      </c>
      <c r="BI769">
        <v>1</v>
      </c>
      <c r="BJ769" t="s">
        <v>129</v>
      </c>
      <c r="BK769" t="s">
        <v>101</v>
      </c>
      <c r="BL769" t="s">
        <v>130</v>
      </c>
      <c r="BM769" t="s">
        <v>15068</v>
      </c>
      <c r="BN769">
        <v>29132147</v>
      </c>
      <c r="BO769" t="s">
        <v>306</v>
      </c>
      <c r="BP769" t="s">
        <v>74</v>
      </c>
      <c r="BQ769" t="s">
        <v>74</v>
      </c>
      <c r="BR769" t="s">
        <v>105</v>
      </c>
      <c r="BS769" t="s">
        <v>15074</v>
      </c>
      <c r="BT769" t="str">
        <f>HYPERLINK("https%3A%2F%2Fwww.webofscience.com%2Fwos%2Fwoscc%2Ffull-record%2FWOS:000416520400049","View Full Record in Web of Science")</f>
        <v>View Full Record in Web of Science</v>
      </c>
    </row>
    <row r="770" spans="1:72" x14ac:dyDescent="0.15">
      <c r="A770" t="s">
        <v>72</v>
      </c>
      <c r="B770" t="s">
        <v>15075</v>
      </c>
      <c r="C770" t="s">
        <v>74</v>
      </c>
      <c r="D770" t="s">
        <v>74</v>
      </c>
      <c r="E770" t="s">
        <v>74</v>
      </c>
      <c r="F770" t="s">
        <v>15076</v>
      </c>
      <c r="G770" t="s">
        <v>74</v>
      </c>
      <c r="H770" t="s">
        <v>74</v>
      </c>
      <c r="I770" t="s">
        <v>15077</v>
      </c>
      <c r="J770" t="s">
        <v>11642</v>
      </c>
      <c r="K770" t="s">
        <v>74</v>
      </c>
      <c r="L770" t="s">
        <v>74</v>
      </c>
      <c r="M770" t="s">
        <v>78</v>
      </c>
      <c r="N770" t="s">
        <v>79</v>
      </c>
      <c r="O770" t="s">
        <v>74</v>
      </c>
      <c r="P770" t="s">
        <v>74</v>
      </c>
      <c r="Q770" t="s">
        <v>74</v>
      </c>
      <c r="R770" t="s">
        <v>74</v>
      </c>
      <c r="S770" t="s">
        <v>74</v>
      </c>
      <c r="T770" t="s">
        <v>74</v>
      </c>
      <c r="U770" t="s">
        <v>15078</v>
      </c>
      <c r="V770" t="s">
        <v>15079</v>
      </c>
      <c r="W770" t="s">
        <v>15080</v>
      </c>
      <c r="X770" t="s">
        <v>15081</v>
      </c>
      <c r="Y770" t="s">
        <v>15082</v>
      </c>
      <c r="Z770" t="s">
        <v>15083</v>
      </c>
      <c r="AA770" t="s">
        <v>15084</v>
      </c>
      <c r="AB770" t="s">
        <v>15085</v>
      </c>
      <c r="AC770" t="s">
        <v>15086</v>
      </c>
      <c r="AD770" t="s">
        <v>15087</v>
      </c>
      <c r="AE770" t="s">
        <v>15088</v>
      </c>
      <c r="AF770" t="s">
        <v>74</v>
      </c>
      <c r="AG770">
        <v>44</v>
      </c>
      <c r="AH770">
        <v>11</v>
      </c>
      <c r="AI770">
        <v>12</v>
      </c>
      <c r="AJ770">
        <v>0</v>
      </c>
      <c r="AK770">
        <v>7</v>
      </c>
      <c r="AL770" t="s">
        <v>892</v>
      </c>
      <c r="AM770" t="s">
        <v>698</v>
      </c>
      <c r="AN770" t="s">
        <v>699</v>
      </c>
      <c r="AO770" t="s">
        <v>11654</v>
      </c>
      <c r="AP770" t="s">
        <v>74</v>
      </c>
      <c r="AQ770" t="s">
        <v>74</v>
      </c>
      <c r="AR770" t="s">
        <v>11655</v>
      </c>
      <c r="AS770" t="s">
        <v>11656</v>
      </c>
      <c r="AT770" t="s">
        <v>15066</v>
      </c>
      <c r="AU770">
        <v>2017</v>
      </c>
      <c r="AV770">
        <v>7</v>
      </c>
      <c r="AW770" t="s">
        <v>74</v>
      </c>
      <c r="AX770" t="s">
        <v>74</v>
      </c>
      <c r="AY770" t="s">
        <v>74</v>
      </c>
      <c r="AZ770" t="s">
        <v>74</v>
      </c>
      <c r="BA770" t="s">
        <v>74</v>
      </c>
      <c r="BB770" t="s">
        <v>74</v>
      </c>
      <c r="BC770" t="s">
        <v>74</v>
      </c>
      <c r="BD770">
        <v>16683</v>
      </c>
      <c r="BE770" t="s">
        <v>15089</v>
      </c>
      <c r="BF770" t="str">
        <f>HYPERLINK("http://dx.doi.org/10.1038/s41598-017-16891-4","http://dx.doi.org/10.1038/s41598-017-16891-4")</f>
        <v>http://dx.doi.org/10.1038/s41598-017-16891-4</v>
      </c>
      <c r="BG770" t="s">
        <v>74</v>
      </c>
      <c r="BH770" t="s">
        <v>74</v>
      </c>
      <c r="BI770">
        <v>8</v>
      </c>
      <c r="BJ770" t="s">
        <v>129</v>
      </c>
      <c r="BK770" t="s">
        <v>101</v>
      </c>
      <c r="BL770" t="s">
        <v>130</v>
      </c>
      <c r="BM770" t="s">
        <v>15090</v>
      </c>
      <c r="BN770">
        <v>29192174</v>
      </c>
      <c r="BO770" t="s">
        <v>703</v>
      </c>
      <c r="BP770" t="s">
        <v>74</v>
      </c>
      <c r="BQ770" t="s">
        <v>74</v>
      </c>
      <c r="BR770" t="s">
        <v>105</v>
      </c>
      <c r="BS770" t="s">
        <v>15091</v>
      </c>
      <c r="BT770" t="str">
        <f>HYPERLINK("https%3A%2F%2Fwww.webofscience.com%2Fwos%2Fwoscc%2Ffull-record%2FWOS:000416891400085","View Full Record in Web of Science")</f>
        <v>View Full Record in Web of Science</v>
      </c>
    </row>
    <row r="771" spans="1:72" x14ac:dyDescent="0.15">
      <c r="A771" t="s">
        <v>72</v>
      </c>
      <c r="B771" t="s">
        <v>15092</v>
      </c>
      <c r="C771" t="s">
        <v>74</v>
      </c>
      <c r="D771" t="s">
        <v>74</v>
      </c>
      <c r="E771" t="s">
        <v>74</v>
      </c>
      <c r="F771" t="s">
        <v>15093</v>
      </c>
      <c r="G771" t="s">
        <v>74</v>
      </c>
      <c r="H771" t="s">
        <v>74</v>
      </c>
      <c r="I771" t="s">
        <v>15094</v>
      </c>
      <c r="J771" t="s">
        <v>13468</v>
      </c>
      <c r="K771" t="s">
        <v>74</v>
      </c>
      <c r="L771" t="s">
        <v>74</v>
      </c>
      <c r="M771" t="s">
        <v>78</v>
      </c>
      <c r="N771" t="s">
        <v>79</v>
      </c>
      <c r="O771" t="s">
        <v>74</v>
      </c>
      <c r="P771" t="s">
        <v>74</v>
      </c>
      <c r="Q771" t="s">
        <v>74</v>
      </c>
      <c r="R771" t="s">
        <v>74</v>
      </c>
      <c r="S771" t="s">
        <v>74</v>
      </c>
      <c r="T771" t="s">
        <v>15095</v>
      </c>
      <c r="U771" t="s">
        <v>15096</v>
      </c>
      <c r="V771" t="s">
        <v>15097</v>
      </c>
      <c r="W771" t="s">
        <v>15098</v>
      </c>
      <c r="X771" t="s">
        <v>15099</v>
      </c>
      <c r="Y771" t="s">
        <v>15100</v>
      </c>
      <c r="Z771" t="s">
        <v>15101</v>
      </c>
      <c r="AA771" t="s">
        <v>74</v>
      </c>
      <c r="AB771" t="s">
        <v>15102</v>
      </c>
      <c r="AC771" t="s">
        <v>15103</v>
      </c>
      <c r="AD771" t="s">
        <v>15104</v>
      </c>
      <c r="AE771" t="s">
        <v>15105</v>
      </c>
      <c r="AF771" t="s">
        <v>74</v>
      </c>
      <c r="AG771">
        <v>39</v>
      </c>
      <c r="AH771">
        <v>38</v>
      </c>
      <c r="AI771">
        <v>39</v>
      </c>
      <c r="AJ771">
        <v>2</v>
      </c>
      <c r="AK771">
        <v>2</v>
      </c>
      <c r="AL771" t="s">
        <v>13481</v>
      </c>
      <c r="AM771" t="s">
        <v>13482</v>
      </c>
      <c r="AN771" t="s">
        <v>13483</v>
      </c>
      <c r="AO771" t="s">
        <v>13484</v>
      </c>
      <c r="AP771" t="s">
        <v>13485</v>
      </c>
      <c r="AQ771" t="s">
        <v>74</v>
      </c>
      <c r="AR771" t="s">
        <v>13468</v>
      </c>
      <c r="AS771" t="s">
        <v>13486</v>
      </c>
      <c r="AT771" t="s">
        <v>15106</v>
      </c>
      <c r="AU771">
        <v>2018</v>
      </c>
      <c r="AV771">
        <v>18</v>
      </c>
      <c r="AW771">
        <v>4</v>
      </c>
      <c r="AX771" t="s">
        <v>74</v>
      </c>
      <c r="AY771" t="s">
        <v>74</v>
      </c>
      <c r="AZ771" t="s">
        <v>74</v>
      </c>
      <c r="BA771" t="s">
        <v>74</v>
      </c>
      <c r="BB771">
        <v>412</v>
      </c>
      <c r="BC771">
        <v>418</v>
      </c>
      <c r="BD771" t="s">
        <v>74</v>
      </c>
      <c r="BE771" t="s">
        <v>15107</v>
      </c>
      <c r="BF771" t="str">
        <f>HYPERLINK("http://dx.doi.org/10.1089/ast.2017.1766","http://dx.doi.org/10.1089/ast.2017.1766")</f>
        <v>http://dx.doi.org/10.1089/ast.2017.1766</v>
      </c>
      <c r="BG771" t="s">
        <v>74</v>
      </c>
      <c r="BH771" t="s">
        <v>15108</v>
      </c>
      <c r="BI771">
        <v>7</v>
      </c>
      <c r="BJ771" t="s">
        <v>13488</v>
      </c>
      <c r="BK771" t="s">
        <v>101</v>
      </c>
      <c r="BL771" t="s">
        <v>13489</v>
      </c>
      <c r="BM771" t="s">
        <v>15109</v>
      </c>
      <c r="BN771">
        <v>29189043</v>
      </c>
      <c r="BO771" t="s">
        <v>789</v>
      </c>
      <c r="BP771" t="s">
        <v>74</v>
      </c>
      <c r="BQ771" t="s">
        <v>74</v>
      </c>
      <c r="BR771" t="s">
        <v>105</v>
      </c>
      <c r="BS771" t="s">
        <v>15110</v>
      </c>
      <c r="BT771" t="str">
        <f>HYPERLINK("https%3A%2F%2Fwww.webofscience.com%2Fwos%2Fwoscc%2Ffull-record%2FWOS:000417161500001","View Full Record in Web of Science")</f>
        <v>View Full Record in Web of Science</v>
      </c>
    </row>
    <row r="772" spans="1:72" x14ac:dyDescent="0.15">
      <c r="A772" t="s">
        <v>72</v>
      </c>
      <c r="B772" t="s">
        <v>15111</v>
      </c>
      <c r="C772" t="s">
        <v>74</v>
      </c>
      <c r="D772" t="s">
        <v>74</v>
      </c>
      <c r="E772" t="s">
        <v>74</v>
      </c>
      <c r="F772" t="s">
        <v>15112</v>
      </c>
      <c r="G772" t="s">
        <v>74</v>
      </c>
      <c r="H772" t="s">
        <v>74</v>
      </c>
      <c r="I772" t="s">
        <v>15113</v>
      </c>
      <c r="J772" t="s">
        <v>15114</v>
      </c>
      <c r="K772" t="s">
        <v>74</v>
      </c>
      <c r="L772" t="s">
        <v>74</v>
      </c>
      <c r="M772" t="s">
        <v>78</v>
      </c>
      <c r="N772" t="s">
        <v>79</v>
      </c>
      <c r="O772" t="s">
        <v>74</v>
      </c>
      <c r="P772" t="s">
        <v>74</v>
      </c>
      <c r="Q772" t="s">
        <v>74</v>
      </c>
      <c r="R772" t="s">
        <v>74</v>
      </c>
      <c r="S772" t="s">
        <v>74</v>
      </c>
      <c r="T772" t="s">
        <v>74</v>
      </c>
      <c r="U772" t="s">
        <v>15115</v>
      </c>
      <c r="V772" t="s">
        <v>15116</v>
      </c>
      <c r="W772" t="s">
        <v>15117</v>
      </c>
      <c r="X772" t="s">
        <v>15118</v>
      </c>
      <c r="Y772" t="s">
        <v>15119</v>
      </c>
      <c r="Z772" t="s">
        <v>15120</v>
      </c>
      <c r="AA772" t="s">
        <v>15121</v>
      </c>
      <c r="AB772" t="s">
        <v>15122</v>
      </c>
      <c r="AC772" t="s">
        <v>15123</v>
      </c>
      <c r="AD772" t="s">
        <v>15124</v>
      </c>
      <c r="AE772" t="s">
        <v>15125</v>
      </c>
      <c r="AF772" t="s">
        <v>74</v>
      </c>
      <c r="AG772">
        <v>40</v>
      </c>
      <c r="AH772">
        <v>45</v>
      </c>
      <c r="AI772">
        <v>48</v>
      </c>
      <c r="AJ772">
        <v>1</v>
      </c>
      <c r="AK772">
        <v>23</v>
      </c>
      <c r="AL772" t="s">
        <v>149</v>
      </c>
      <c r="AM772" t="s">
        <v>150</v>
      </c>
      <c r="AN772" t="s">
        <v>151</v>
      </c>
      <c r="AO772" t="s">
        <v>15126</v>
      </c>
      <c r="AP772" t="s">
        <v>15127</v>
      </c>
      <c r="AQ772" t="s">
        <v>74</v>
      </c>
      <c r="AR772" t="s">
        <v>15128</v>
      </c>
      <c r="AS772" t="s">
        <v>15129</v>
      </c>
      <c r="AT772" t="s">
        <v>15066</v>
      </c>
      <c r="AU772">
        <v>2017</v>
      </c>
      <c r="AV772">
        <v>21</v>
      </c>
      <c r="AW772">
        <v>12</v>
      </c>
      <c r="AX772" t="s">
        <v>74</v>
      </c>
      <c r="AY772" t="s">
        <v>74</v>
      </c>
      <c r="AZ772" t="s">
        <v>74</v>
      </c>
      <c r="BA772" t="s">
        <v>74</v>
      </c>
      <c r="BB772">
        <v>6007</v>
      </c>
      <c r="BC772">
        <v>6030</v>
      </c>
      <c r="BD772" t="s">
        <v>74</v>
      </c>
      <c r="BE772" t="s">
        <v>15130</v>
      </c>
      <c r="BF772" t="str">
        <f>HYPERLINK("http://dx.doi.org/10.5194/hess-21-6007-2017","http://dx.doi.org/10.5194/hess-21-6007-2017")</f>
        <v>http://dx.doi.org/10.5194/hess-21-6007-2017</v>
      </c>
      <c r="BG772" t="s">
        <v>74</v>
      </c>
      <c r="BH772" t="s">
        <v>74</v>
      </c>
      <c r="BI772">
        <v>24</v>
      </c>
      <c r="BJ772" t="s">
        <v>15131</v>
      </c>
      <c r="BK772" t="s">
        <v>101</v>
      </c>
      <c r="BL772" t="s">
        <v>15132</v>
      </c>
      <c r="BM772" t="s">
        <v>15133</v>
      </c>
      <c r="BN772" t="s">
        <v>74</v>
      </c>
      <c r="BO772" t="s">
        <v>15134</v>
      </c>
      <c r="BP772" t="s">
        <v>74</v>
      </c>
      <c r="BQ772" t="s">
        <v>74</v>
      </c>
      <c r="BR772" t="s">
        <v>105</v>
      </c>
      <c r="BS772" t="s">
        <v>15135</v>
      </c>
      <c r="BT772" t="str">
        <f>HYPERLINK("https%3A%2F%2Fwww.webofscience.com%2Fwos%2Fwoscc%2Ffull-record%2FWOS:000416563600003","View Full Record in Web of Science")</f>
        <v>View Full Record in Web of Science</v>
      </c>
    </row>
    <row r="773" spans="1:72" x14ac:dyDescent="0.15">
      <c r="A773" t="s">
        <v>72</v>
      </c>
      <c r="B773" t="s">
        <v>15136</v>
      </c>
      <c r="C773" t="s">
        <v>74</v>
      </c>
      <c r="D773" t="s">
        <v>74</v>
      </c>
      <c r="E773" t="s">
        <v>74</v>
      </c>
      <c r="F773" t="s">
        <v>15137</v>
      </c>
      <c r="G773" t="s">
        <v>74</v>
      </c>
      <c r="H773" t="s">
        <v>74</v>
      </c>
      <c r="I773" t="s">
        <v>15138</v>
      </c>
      <c r="J773" t="s">
        <v>15139</v>
      </c>
      <c r="K773" t="s">
        <v>74</v>
      </c>
      <c r="L773" t="s">
        <v>74</v>
      </c>
      <c r="M773" t="s">
        <v>78</v>
      </c>
      <c r="N773" t="s">
        <v>79</v>
      </c>
      <c r="O773" t="s">
        <v>74</v>
      </c>
      <c r="P773" t="s">
        <v>74</v>
      </c>
      <c r="Q773" t="s">
        <v>74</v>
      </c>
      <c r="R773" t="s">
        <v>74</v>
      </c>
      <c r="S773" t="s">
        <v>74</v>
      </c>
      <c r="T773" t="s">
        <v>15140</v>
      </c>
      <c r="U773" t="s">
        <v>15141</v>
      </c>
      <c r="V773" t="s">
        <v>15142</v>
      </c>
      <c r="W773" t="s">
        <v>15143</v>
      </c>
      <c r="X773" t="s">
        <v>12543</v>
      </c>
      <c r="Y773" t="s">
        <v>15144</v>
      </c>
      <c r="Z773" t="s">
        <v>15145</v>
      </c>
      <c r="AA773" t="s">
        <v>15146</v>
      </c>
      <c r="AB773" t="s">
        <v>15147</v>
      </c>
      <c r="AC773" t="s">
        <v>15148</v>
      </c>
      <c r="AD773" t="s">
        <v>15149</v>
      </c>
      <c r="AE773" t="s">
        <v>15150</v>
      </c>
      <c r="AF773" t="s">
        <v>74</v>
      </c>
      <c r="AG773">
        <v>89</v>
      </c>
      <c r="AH773">
        <v>13</v>
      </c>
      <c r="AI773">
        <v>17</v>
      </c>
      <c r="AJ773">
        <v>3</v>
      </c>
      <c r="AK773">
        <v>24</v>
      </c>
      <c r="AL773" t="s">
        <v>8694</v>
      </c>
      <c r="AM773" t="s">
        <v>1140</v>
      </c>
      <c r="AN773" t="s">
        <v>8695</v>
      </c>
      <c r="AO773" t="s">
        <v>15151</v>
      </c>
      <c r="AP773" t="s">
        <v>74</v>
      </c>
      <c r="AQ773" t="s">
        <v>74</v>
      </c>
      <c r="AR773" t="s">
        <v>15152</v>
      </c>
      <c r="AS773" t="s">
        <v>15153</v>
      </c>
      <c r="AT773" t="s">
        <v>15154</v>
      </c>
      <c r="AU773">
        <v>2017</v>
      </c>
      <c r="AV773">
        <v>5</v>
      </c>
      <c r="AW773" t="s">
        <v>74</v>
      </c>
      <c r="AX773" t="s">
        <v>74</v>
      </c>
      <c r="AY773" t="s">
        <v>74</v>
      </c>
      <c r="AZ773" t="s">
        <v>74</v>
      </c>
      <c r="BA773" t="s">
        <v>74</v>
      </c>
      <c r="BB773" t="s">
        <v>74</v>
      </c>
      <c r="BC773" t="s">
        <v>74</v>
      </c>
      <c r="BD773" t="s">
        <v>15155</v>
      </c>
      <c r="BE773" t="s">
        <v>15156</v>
      </c>
      <c r="BF773" t="str">
        <f>HYPERLINK("http://dx.doi.org/10.1093/conphys/cox064","http://dx.doi.org/10.1093/conphys/cox064")</f>
        <v>http://dx.doi.org/10.1093/conphys/cox064</v>
      </c>
      <c r="BG773" t="s">
        <v>74</v>
      </c>
      <c r="BH773" t="s">
        <v>74</v>
      </c>
      <c r="BI773">
        <v>14</v>
      </c>
      <c r="BJ773" t="s">
        <v>15157</v>
      </c>
      <c r="BK773" t="s">
        <v>101</v>
      </c>
      <c r="BL773" t="s">
        <v>15158</v>
      </c>
      <c r="BM773" t="s">
        <v>15159</v>
      </c>
      <c r="BN773">
        <v>29218223</v>
      </c>
      <c r="BO773" t="s">
        <v>920</v>
      </c>
      <c r="BP773" t="s">
        <v>74</v>
      </c>
      <c r="BQ773" t="s">
        <v>74</v>
      </c>
      <c r="BR773" t="s">
        <v>105</v>
      </c>
      <c r="BS773" t="s">
        <v>15160</v>
      </c>
      <c r="BT773" t="str">
        <f>HYPERLINK("https%3A%2F%2Fwww.webofscience.com%2Fwos%2Fwoscc%2Ffull-record%2FWOS:000417344800001","View Full Record in Web of Science")</f>
        <v>View Full Record in Web of Science</v>
      </c>
    </row>
    <row r="774" spans="1:72" x14ac:dyDescent="0.15">
      <c r="A774" t="s">
        <v>72</v>
      </c>
      <c r="B774" t="s">
        <v>15161</v>
      </c>
      <c r="C774" t="s">
        <v>74</v>
      </c>
      <c r="D774" t="s">
        <v>74</v>
      </c>
      <c r="E774" t="s">
        <v>74</v>
      </c>
      <c r="F774" t="s">
        <v>15162</v>
      </c>
      <c r="G774" t="s">
        <v>74</v>
      </c>
      <c r="H774" t="s">
        <v>74</v>
      </c>
      <c r="I774" t="s">
        <v>15163</v>
      </c>
      <c r="J774" t="s">
        <v>110</v>
      </c>
      <c r="K774" t="s">
        <v>74</v>
      </c>
      <c r="L774" t="s">
        <v>74</v>
      </c>
      <c r="M774" t="s">
        <v>78</v>
      </c>
      <c r="N774" t="s">
        <v>79</v>
      </c>
      <c r="O774" t="s">
        <v>74</v>
      </c>
      <c r="P774" t="s">
        <v>74</v>
      </c>
      <c r="Q774" t="s">
        <v>74</v>
      </c>
      <c r="R774" t="s">
        <v>74</v>
      </c>
      <c r="S774" t="s">
        <v>74</v>
      </c>
      <c r="T774" t="s">
        <v>74</v>
      </c>
      <c r="U774" t="s">
        <v>15164</v>
      </c>
      <c r="V774" t="s">
        <v>15165</v>
      </c>
      <c r="W774" t="s">
        <v>15166</v>
      </c>
      <c r="X774" t="s">
        <v>15167</v>
      </c>
      <c r="Y774" t="s">
        <v>15168</v>
      </c>
      <c r="Z774" t="s">
        <v>15169</v>
      </c>
      <c r="AA774" t="s">
        <v>15170</v>
      </c>
      <c r="AB774" t="s">
        <v>15171</v>
      </c>
      <c r="AC774" t="s">
        <v>15172</v>
      </c>
      <c r="AD774" t="s">
        <v>15173</v>
      </c>
      <c r="AE774" t="s">
        <v>15174</v>
      </c>
      <c r="AF774" t="s">
        <v>74</v>
      </c>
      <c r="AG774">
        <v>102</v>
      </c>
      <c r="AH774">
        <v>70</v>
      </c>
      <c r="AI774">
        <v>83</v>
      </c>
      <c r="AJ774">
        <v>2</v>
      </c>
      <c r="AK774">
        <v>38</v>
      </c>
      <c r="AL774" t="s">
        <v>122</v>
      </c>
      <c r="AM774" t="s">
        <v>123</v>
      </c>
      <c r="AN774" t="s">
        <v>124</v>
      </c>
      <c r="AO774" t="s">
        <v>125</v>
      </c>
      <c r="AP774" t="s">
        <v>74</v>
      </c>
      <c r="AQ774" t="s">
        <v>74</v>
      </c>
      <c r="AR774" t="s">
        <v>110</v>
      </c>
      <c r="AS774" t="s">
        <v>126</v>
      </c>
      <c r="AT774" t="s">
        <v>15154</v>
      </c>
      <c r="AU774">
        <v>2017</v>
      </c>
      <c r="AV774">
        <v>12</v>
      </c>
      <c r="AW774">
        <v>11</v>
      </c>
      <c r="AX774" t="s">
        <v>74</v>
      </c>
      <c r="AY774" t="s">
        <v>74</v>
      </c>
      <c r="AZ774" t="s">
        <v>74</v>
      </c>
      <c r="BA774" t="s">
        <v>74</v>
      </c>
      <c r="BB774" t="s">
        <v>74</v>
      </c>
      <c r="BC774" t="s">
        <v>74</v>
      </c>
      <c r="BD774" t="s">
        <v>15175</v>
      </c>
      <c r="BE774" t="s">
        <v>15176</v>
      </c>
      <c r="BF774" t="str">
        <f>HYPERLINK("http://dx.doi.org/10.1371/journal.pone.0187465","http://dx.doi.org/10.1371/journal.pone.0187465")</f>
        <v>http://dx.doi.org/10.1371/journal.pone.0187465</v>
      </c>
      <c r="BG774" t="s">
        <v>74</v>
      </c>
      <c r="BH774" t="s">
        <v>74</v>
      </c>
      <c r="BI774">
        <v>20</v>
      </c>
      <c r="BJ774" t="s">
        <v>129</v>
      </c>
      <c r="BK774" t="s">
        <v>101</v>
      </c>
      <c r="BL774" t="s">
        <v>130</v>
      </c>
      <c r="BM774" t="s">
        <v>15177</v>
      </c>
      <c r="BN774">
        <v>29186134</v>
      </c>
      <c r="BO774" t="s">
        <v>186</v>
      </c>
      <c r="BP774" t="s">
        <v>74</v>
      </c>
      <c r="BQ774" t="s">
        <v>74</v>
      </c>
      <c r="BR774" t="s">
        <v>105</v>
      </c>
      <c r="BS774" t="s">
        <v>15178</v>
      </c>
      <c r="BT774" t="str">
        <f>HYPERLINK("https%3A%2F%2Fwww.webofscience.com%2Fwos%2Fwoscc%2Ffull-record%2FWOS:000416484900006","View Full Record in Web of Science")</f>
        <v>View Full Record in Web of Science</v>
      </c>
    </row>
    <row r="775" spans="1:72" x14ac:dyDescent="0.15">
      <c r="A775" t="s">
        <v>72</v>
      </c>
      <c r="B775" t="s">
        <v>15179</v>
      </c>
      <c r="C775" t="s">
        <v>74</v>
      </c>
      <c r="D775" t="s">
        <v>74</v>
      </c>
      <c r="E775" t="s">
        <v>74</v>
      </c>
      <c r="F775" t="s">
        <v>15180</v>
      </c>
      <c r="G775" t="s">
        <v>74</v>
      </c>
      <c r="H775" t="s">
        <v>74</v>
      </c>
      <c r="I775" t="s">
        <v>15181</v>
      </c>
      <c r="J775" t="s">
        <v>259</v>
      </c>
      <c r="K775" t="s">
        <v>74</v>
      </c>
      <c r="L775" t="s">
        <v>74</v>
      </c>
      <c r="M775" t="s">
        <v>78</v>
      </c>
      <c r="N775" t="s">
        <v>79</v>
      </c>
      <c r="O775" t="s">
        <v>74</v>
      </c>
      <c r="P775" t="s">
        <v>74</v>
      </c>
      <c r="Q775" t="s">
        <v>74</v>
      </c>
      <c r="R775" t="s">
        <v>74</v>
      </c>
      <c r="S775" t="s">
        <v>74</v>
      </c>
      <c r="T775" t="s">
        <v>74</v>
      </c>
      <c r="U775" t="s">
        <v>15182</v>
      </c>
      <c r="V775" t="s">
        <v>15183</v>
      </c>
      <c r="W775" t="s">
        <v>15184</v>
      </c>
      <c r="X775" t="s">
        <v>15185</v>
      </c>
      <c r="Y775" t="s">
        <v>15186</v>
      </c>
      <c r="Z775" t="s">
        <v>15187</v>
      </c>
      <c r="AA775" t="s">
        <v>15188</v>
      </c>
      <c r="AB775" t="s">
        <v>15189</v>
      </c>
      <c r="AC775" t="s">
        <v>15190</v>
      </c>
      <c r="AD775" t="s">
        <v>15191</v>
      </c>
      <c r="AE775" t="s">
        <v>15192</v>
      </c>
      <c r="AF775" t="s">
        <v>74</v>
      </c>
      <c r="AG775">
        <v>32</v>
      </c>
      <c r="AH775">
        <v>16</v>
      </c>
      <c r="AI775">
        <v>16</v>
      </c>
      <c r="AJ775">
        <v>2</v>
      </c>
      <c r="AK775">
        <v>34</v>
      </c>
      <c r="AL775" t="s">
        <v>271</v>
      </c>
      <c r="AM775" t="s">
        <v>272</v>
      </c>
      <c r="AN775" t="s">
        <v>273</v>
      </c>
      <c r="AO775" t="s">
        <v>274</v>
      </c>
      <c r="AP775" t="s">
        <v>275</v>
      </c>
      <c r="AQ775" t="s">
        <v>74</v>
      </c>
      <c r="AR775" t="s">
        <v>276</v>
      </c>
      <c r="AS775" t="s">
        <v>277</v>
      </c>
      <c r="AT775" t="s">
        <v>15193</v>
      </c>
      <c r="AU775">
        <v>2017</v>
      </c>
      <c r="AV775">
        <v>44</v>
      </c>
      <c r="AW775">
        <v>22</v>
      </c>
      <c r="AX775" t="s">
        <v>74</v>
      </c>
      <c r="AY775" t="s">
        <v>74</v>
      </c>
      <c r="AZ775" t="s">
        <v>74</v>
      </c>
      <c r="BA775" t="s">
        <v>74</v>
      </c>
      <c r="BB775">
        <v>11482</v>
      </c>
      <c r="BC775">
        <v>11490</v>
      </c>
      <c r="BD775" t="s">
        <v>74</v>
      </c>
      <c r="BE775" t="s">
        <v>15194</v>
      </c>
      <c r="BF775" t="str">
        <f>HYPERLINK("http://dx.doi.org/10.1002/2017GL075135","http://dx.doi.org/10.1002/2017GL075135")</f>
        <v>http://dx.doi.org/10.1002/2017GL075135</v>
      </c>
      <c r="BG775" t="s">
        <v>74</v>
      </c>
      <c r="BH775" t="s">
        <v>74</v>
      </c>
      <c r="BI775">
        <v>9</v>
      </c>
      <c r="BJ775" t="s">
        <v>280</v>
      </c>
      <c r="BK775" t="s">
        <v>101</v>
      </c>
      <c r="BL775" t="s">
        <v>281</v>
      </c>
      <c r="BM775" t="s">
        <v>15195</v>
      </c>
      <c r="BN775" t="s">
        <v>74</v>
      </c>
      <c r="BO775" t="s">
        <v>1095</v>
      </c>
      <c r="BP775" t="s">
        <v>74</v>
      </c>
      <c r="BQ775" t="s">
        <v>74</v>
      </c>
      <c r="BR775" t="s">
        <v>105</v>
      </c>
      <c r="BS775" t="s">
        <v>15196</v>
      </c>
      <c r="BT775" t="str">
        <f>HYPERLINK("https%3A%2F%2Fwww.webofscience.com%2Fwos%2Fwoscc%2Ffull-record%2FWOS:000419102300030","View Full Record in Web of Science")</f>
        <v>View Full Record in Web of Science</v>
      </c>
    </row>
    <row r="776" spans="1:72" x14ac:dyDescent="0.15">
      <c r="A776" t="s">
        <v>72</v>
      </c>
      <c r="B776" t="s">
        <v>15197</v>
      </c>
      <c r="C776" t="s">
        <v>74</v>
      </c>
      <c r="D776" t="s">
        <v>74</v>
      </c>
      <c r="E776" t="s">
        <v>74</v>
      </c>
      <c r="F776" t="s">
        <v>15198</v>
      </c>
      <c r="G776" t="s">
        <v>74</v>
      </c>
      <c r="H776" t="s">
        <v>74</v>
      </c>
      <c r="I776" t="s">
        <v>15199</v>
      </c>
      <c r="J776" t="s">
        <v>259</v>
      </c>
      <c r="K776" t="s">
        <v>74</v>
      </c>
      <c r="L776" t="s">
        <v>74</v>
      </c>
      <c r="M776" t="s">
        <v>78</v>
      </c>
      <c r="N776" t="s">
        <v>79</v>
      </c>
      <c r="O776" t="s">
        <v>74</v>
      </c>
      <c r="P776" t="s">
        <v>74</v>
      </c>
      <c r="Q776" t="s">
        <v>74</v>
      </c>
      <c r="R776" t="s">
        <v>74</v>
      </c>
      <c r="S776" t="s">
        <v>74</v>
      </c>
      <c r="T776" t="s">
        <v>74</v>
      </c>
      <c r="U776" t="s">
        <v>15200</v>
      </c>
      <c r="V776" t="s">
        <v>15201</v>
      </c>
      <c r="W776" t="s">
        <v>15202</v>
      </c>
      <c r="X776" t="s">
        <v>15203</v>
      </c>
      <c r="Y776" t="s">
        <v>15204</v>
      </c>
      <c r="Z776" t="s">
        <v>15205</v>
      </c>
      <c r="AA776" t="s">
        <v>15206</v>
      </c>
      <c r="AB776" t="s">
        <v>15207</v>
      </c>
      <c r="AC776" t="s">
        <v>15208</v>
      </c>
      <c r="AD776" t="s">
        <v>15209</v>
      </c>
      <c r="AE776" t="s">
        <v>15210</v>
      </c>
      <c r="AF776" t="s">
        <v>74</v>
      </c>
      <c r="AG776">
        <v>75</v>
      </c>
      <c r="AH776">
        <v>129</v>
      </c>
      <c r="AI776">
        <v>136</v>
      </c>
      <c r="AJ776">
        <v>6</v>
      </c>
      <c r="AK776">
        <v>37</v>
      </c>
      <c r="AL776" t="s">
        <v>271</v>
      </c>
      <c r="AM776" t="s">
        <v>272</v>
      </c>
      <c r="AN776" t="s">
        <v>273</v>
      </c>
      <c r="AO776" t="s">
        <v>274</v>
      </c>
      <c r="AP776" t="s">
        <v>275</v>
      </c>
      <c r="AQ776" t="s">
        <v>74</v>
      </c>
      <c r="AR776" t="s">
        <v>276</v>
      </c>
      <c r="AS776" t="s">
        <v>277</v>
      </c>
      <c r="AT776" t="s">
        <v>15193</v>
      </c>
      <c r="AU776">
        <v>2017</v>
      </c>
      <c r="AV776">
        <v>44</v>
      </c>
      <c r="AW776">
        <v>22</v>
      </c>
      <c r="AX776" t="s">
        <v>74</v>
      </c>
      <c r="AY776" t="s">
        <v>74</v>
      </c>
      <c r="AZ776" t="s">
        <v>74</v>
      </c>
      <c r="BA776" t="s">
        <v>74</v>
      </c>
      <c r="BB776">
        <v>11417</v>
      </c>
      <c r="BC776">
        <v>11426</v>
      </c>
      <c r="BD776" t="s">
        <v>74</v>
      </c>
      <c r="BE776" t="s">
        <v>15211</v>
      </c>
      <c r="BF776" t="str">
        <f>HYPERLINK("http://dx.doi.org/10.1002/2017GL075609","http://dx.doi.org/10.1002/2017GL075609")</f>
        <v>http://dx.doi.org/10.1002/2017GL075609</v>
      </c>
      <c r="BG776" t="s">
        <v>74</v>
      </c>
      <c r="BH776" t="s">
        <v>74</v>
      </c>
      <c r="BI776">
        <v>10</v>
      </c>
      <c r="BJ776" t="s">
        <v>280</v>
      </c>
      <c r="BK776" t="s">
        <v>101</v>
      </c>
      <c r="BL776" t="s">
        <v>281</v>
      </c>
      <c r="BM776" t="s">
        <v>15195</v>
      </c>
      <c r="BN776" t="s">
        <v>74</v>
      </c>
      <c r="BO776" t="s">
        <v>12763</v>
      </c>
      <c r="BP776" t="s">
        <v>74</v>
      </c>
      <c r="BQ776" t="s">
        <v>74</v>
      </c>
      <c r="BR776" t="s">
        <v>105</v>
      </c>
      <c r="BS776" t="s">
        <v>15212</v>
      </c>
      <c r="BT776" t="str">
        <f>HYPERLINK("https%3A%2F%2Fwww.webofscience.com%2Fwos%2Fwoscc%2Ffull-record%2FWOS:000419102300023","View Full Record in Web of Science")</f>
        <v>View Full Record in Web of Science</v>
      </c>
    </row>
    <row r="777" spans="1:72" x14ac:dyDescent="0.15">
      <c r="A777" t="s">
        <v>72</v>
      </c>
      <c r="B777" t="s">
        <v>15213</v>
      </c>
      <c r="C777" t="s">
        <v>74</v>
      </c>
      <c r="D777" t="s">
        <v>74</v>
      </c>
      <c r="E777" t="s">
        <v>74</v>
      </c>
      <c r="F777" t="s">
        <v>15214</v>
      </c>
      <c r="G777" t="s">
        <v>74</v>
      </c>
      <c r="H777" t="s">
        <v>74</v>
      </c>
      <c r="I777" t="s">
        <v>15215</v>
      </c>
      <c r="J777" t="s">
        <v>259</v>
      </c>
      <c r="K777" t="s">
        <v>74</v>
      </c>
      <c r="L777" t="s">
        <v>74</v>
      </c>
      <c r="M777" t="s">
        <v>78</v>
      </c>
      <c r="N777" t="s">
        <v>79</v>
      </c>
      <c r="O777" t="s">
        <v>74</v>
      </c>
      <c r="P777" t="s">
        <v>74</v>
      </c>
      <c r="Q777" t="s">
        <v>74</v>
      </c>
      <c r="R777" t="s">
        <v>74</v>
      </c>
      <c r="S777" t="s">
        <v>74</v>
      </c>
      <c r="T777" t="s">
        <v>74</v>
      </c>
      <c r="U777" t="s">
        <v>15216</v>
      </c>
      <c r="V777" t="s">
        <v>15217</v>
      </c>
      <c r="W777" t="s">
        <v>15218</v>
      </c>
      <c r="X777" t="s">
        <v>15219</v>
      </c>
      <c r="Y777" t="s">
        <v>15220</v>
      </c>
      <c r="Z777" t="s">
        <v>15221</v>
      </c>
      <c r="AA777" t="s">
        <v>15222</v>
      </c>
      <c r="AB777" t="s">
        <v>15223</v>
      </c>
      <c r="AC777" t="s">
        <v>15224</v>
      </c>
      <c r="AD777" t="s">
        <v>15225</v>
      </c>
      <c r="AE777" t="s">
        <v>15226</v>
      </c>
      <c r="AF777" t="s">
        <v>74</v>
      </c>
      <c r="AG777">
        <v>57</v>
      </c>
      <c r="AH777">
        <v>19</v>
      </c>
      <c r="AI777">
        <v>20</v>
      </c>
      <c r="AJ777">
        <v>0</v>
      </c>
      <c r="AK777">
        <v>28</v>
      </c>
      <c r="AL777" t="s">
        <v>271</v>
      </c>
      <c r="AM777" t="s">
        <v>272</v>
      </c>
      <c r="AN777" t="s">
        <v>273</v>
      </c>
      <c r="AO777" t="s">
        <v>274</v>
      </c>
      <c r="AP777" t="s">
        <v>275</v>
      </c>
      <c r="AQ777" t="s">
        <v>74</v>
      </c>
      <c r="AR777" t="s">
        <v>276</v>
      </c>
      <c r="AS777" t="s">
        <v>277</v>
      </c>
      <c r="AT777" t="s">
        <v>15193</v>
      </c>
      <c r="AU777">
        <v>2017</v>
      </c>
      <c r="AV777">
        <v>44</v>
      </c>
      <c r="AW777">
        <v>22</v>
      </c>
      <c r="AX777" t="s">
        <v>74</v>
      </c>
      <c r="AY777" t="s">
        <v>74</v>
      </c>
      <c r="AZ777" t="s">
        <v>74</v>
      </c>
      <c r="BA777" t="s">
        <v>74</v>
      </c>
      <c r="BB777">
        <v>11519</v>
      </c>
      <c r="BC777">
        <v>11527</v>
      </c>
      <c r="BD777" t="s">
        <v>74</v>
      </c>
      <c r="BE777" t="s">
        <v>15227</v>
      </c>
      <c r="BF777" t="str">
        <f>HYPERLINK("http://dx.doi.org/10.1002/2017GL074943","http://dx.doi.org/10.1002/2017GL074943")</f>
        <v>http://dx.doi.org/10.1002/2017GL074943</v>
      </c>
      <c r="BG777" t="s">
        <v>74</v>
      </c>
      <c r="BH777" t="s">
        <v>74</v>
      </c>
      <c r="BI777">
        <v>9</v>
      </c>
      <c r="BJ777" t="s">
        <v>280</v>
      </c>
      <c r="BK777" t="s">
        <v>101</v>
      </c>
      <c r="BL777" t="s">
        <v>281</v>
      </c>
      <c r="BM777" t="s">
        <v>15195</v>
      </c>
      <c r="BN777" t="s">
        <v>74</v>
      </c>
      <c r="BO777" t="s">
        <v>12797</v>
      </c>
      <c r="BP777" t="s">
        <v>74</v>
      </c>
      <c r="BQ777" t="s">
        <v>74</v>
      </c>
      <c r="BR777" t="s">
        <v>105</v>
      </c>
      <c r="BS777" t="s">
        <v>15228</v>
      </c>
      <c r="BT777" t="str">
        <f>HYPERLINK("https%3A%2F%2Fwww.webofscience.com%2Fwos%2Fwoscc%2Ffull-record%2FWOS:000419102300034","View Full Record in Web of Science")</f>
        <v>View Full Record in Web of Science</v>
      </c>
    </row>
    <row r="778" spans="1:72" x14ac:dyDescent="0.15">
      <c r="A778" t="s">
        <v>72</v>
      </c>
      <c r="B778" t="s">
        <v>15229</v>
      </c>
      <c r="C778" t="s">
        <v>74</v>
      </c>
      <c r="D778" t="s">
        <v>74</v>
      </c>
      <c r="E778" t="s">
        <v>74</v>
      </c>
      <c r="F778" t="s">
        <v>15230</v>
      </c>
      <c r="G778" t="s">
        <v>74</v>
      </c>
      <c r="H778" t="s">
        <v>74</v>
      </c>
      <c r="I778" t="s">
        <v>15231</v>
      </c>
      <c r="J778" t="s">
        <v>259</v>
      </c>
      <c r="K778" t="s">
        <v>74</v>
      </c>
      <c r="L778" t="s">
        <v>74</v>
      </c>
      <c r="M778" t="s">
        <v>78</v>
      </c>
      <c r="N778" t="s">
        <v>79</v>
      </c>
      <c r="O778" t="s">
        <v>74</v>
      </c>
      <c r="P778" t="s">
        <v>74</v>
      </c>
      <c r="Q778" t="s">
        <v>74</v>
      </c>
      <c r="R778" t="s">
        <v>74</v>
      </c>
      <c r="S778" t="s">
        <v>74</v>
      </c>
      <c r="T778" t="s">
        <v>74</v>
      </c>
      <c r="U778" t="s">
        <v>15232</v>
      </c>
      <c r="V778" t="s">
        <v>15233</v>
      </c>
      <c r="W778" t="s">
        <v>15234</v>
      </c>
      <c r="X778" t="s">
        <v>15235</v>
      </c>
      <c r="Y778" t="s">
        <v>15236</v>
      </c>
      <c r="Z778" t="s">
        <v>15237</v>
      </c>
      <c r="AA778" t="s">
        <v>15238</v>
      </c>
      <c r="AB778" t="s">
        <v>15239</v>
      </c>
      <c r="AC778" t="s">
        <v>15240</v>
      </c>
      <c r="AD778" t="s">
        <v>15241</v>
      </c>
      <c r="AE778" t="s">
        <v>15242</v>
      </c>
      <c r="AF778" t="s">
        <v>74</v>
      </c>
      <c r="AG778">
        <v>41</v>
      </c>
      <c r="AH778">
        <v>56</v>
      </c>
      <c r="AI778">
        <v>59</v>
      </c>
      <c r="AJ778">
        <v>5</v>
      </c>
      <c r="AK778">
        <v>31</v>
      </c>
      <c r="AL778" t="s">
        <v>271</v>
      </c>
      <c r="AM778" t="s">
        <v>272</v>
      </c>
      <c r="AN778" t="s">
        <v>273</v>
      </c>
      <c r="AO778" t="s">
        <v>274</v>
      </c>
      <c r="AP778" t="s">
        <v>275</v>
      </c>
      <c r="AQ778" t="s">
        <v>74</v>
      </c>
      <c r="AR778" t="s">
        <v>276</v>
      </c>
      <c r="AS778" t="s">
        <v>277</v>
      </c>
      <c r="AT778" t="s">
        <v>15193</v>
      </c>
      <c r="AU778">
        <v>2017</v>
      </c>
      <c r="AV778">
        <v>44</v>
      </c>
      <c r="AW778">
        <v>22</v>
      </c>
      <c r="AX778" t="s">
        <v>74</v>
      </c>
      <c r="AY778" t="s">
        <v>74</v>
      </c>
      <c r="AZ778" t="s">
        <v>74</v>
      </c>
      <c r="BA778" t="s">
        <v>74</v>
      </c>
      <c r="BB778">
        <v>11580</v>
      </c>
      <c r="BC778">
        <v>11589</v>
      </c>
      <c r="BD778" t="s">
        <v>74</v>
      </c>
      <c r="BE778" t="s">
        <v>15243</v>
      </c>
      <c r="BF778" t="str">
        <f>HYPERLINK("http://dx.doi.org/10.1002/2017GL075998","http://dx.doi.org/10.1002/2017GL075998")</f>
        <v>http://dx.doi.org/10.1002/2017GL075998</v>
      </c>
      <c r="BG778" t="s">
        <v>74</v>
      </c>
      <c r="BH778" t="s">
        <v>74</v>
      </c>
      <c r="BI778">
        <v>10</v>
      </c>
      <c r="BJ778" t="s">
        <v>280</v>
      </c>
      <c r="BK778" t="s">
        <v>101</v>
      </c>
      <c r="BL778" t="s">
        <v>281</v>
      </c>
      <c r="BM778" t="s">
        <v>15195</v>
      </c>
      <c r="BN778">
        <v>29398735</v>
      </c>
      <c r="BO778" t="s">
        <v>283</v>
      </c>
      <c r="BP778" t="s">
        <v>74</v>
      </c>
      <c r="BQ778" t="s">
        <v>74</v>
      </c>
      <c r="BR778" t="s">
        <v>105</v>
      </c>
      <c r="BS778" t="s">
        <v>15244</v>
      </c>
      <c r="BT778" t="str">
        <f>HYPERLINK("https%3A%2F%2Fwww.webofscience.com%2Fwos%2Fwoscc%2Ffull-record%2FWOS:000419102300041","View Full Record in Web of Science")</f>
        <v>View Full Record in Web of Science</v>
      </c>
    </row>
    <row r="779" spans="1:72" x14ac:dyDescent="0.15">
      <c r="A779" t="s">
        <v>72</v>
      </c>
      <c r="B779" t="s">
        <v>15245</v>
      </c>
      <c r="C779" t="s">
        <v>74</v>
      </c>
      <c r="D779" t="s">
        <v>74</v>
      </c>
      <c r="E779" t="s">
        <v>74</v>
      </c>
      <c r="F779" t="s">
        <v>15246</v>
      </c>
      <c r="G779" t="s">
        <v>74</v>
      </c>
      <c r="H779" t="s">
        <v>74</v>
      </c>
      <c r="I779" t="s">
        <v>15247</v>
      </c>
      <c r="J779" t="s">
        <v>11642</v>
      </c>
      <c r="K779" t="s">
        <v>74</v>
      </c>
      <c r="L779" t="s">
        <v>74</v>
      </c>
      <c r="M779" t="s">
        <v>78</v>
      </c>
      <c r="N779" t="s">
        <v>79</v>
      </c>
      <c r="O779" t="s">
        <v>74</v>
      </c>
      <c r="P779" t="s">
        <v>74</v>
      </c>
      <c r="Q779" t="s">
        <v>74</v>
      </c>
      <c r="R779" t="s">
        <v>74</v>
      </c>
      <c r="S779" t="s">
        <v>74</v>
      </c>
      <c r="T779" t="s">
        <v>74</v>
      </c>
      <c r="U779" t="s">
        <v>15248</v>
      </c>
      <c r="V779" t="s">
        <v>15249</v>
      </c>
      <c r="W779" t="s">
        <v>15250</v>
      </c>
      <c r="X779" t="s">
        <v>15251</v>
      </c>
      <c r="Y779" t="s">
        <v>15252</v>
      </c>
      <c r="Z779" t="s">
        <v>15253</v>
      </c>
      <c r="AA779" t="s">
        <v>15254</v>
      </c>
      <c r="AB779" t="s">
        <v>15255</v>
      </c>
      <c r="AC779" t="s">
        <v>15256</v>
      </c>
      <c r="AD779" t="s">
        <v>15257</v>
      </c>
      <c r="AE779" t="s">
        <v>15258</v>
      </c>
      <c r="AF779" t="s">
        <v>74</v>
      </c>
      <c r="AG779">
        <v>39</v>
      </c>
      <c r="AH779">
        <v>22</v>
      </c>
      <c r="AI779">
        <v>22</v>
      </c>
      <c r="AJ779">
        <v>0</v>
      </c>
      <c r="AK779">
        <v>6</v>
      </c>
      <c r="AL779" t="s">
        <v>892</v>
      </c>
      <c r="AM779" t="s">
        <v>698</v>
      </c>
      <c r="AN779" t="s">
        <v>699</v>
      </c>
      <c r="AO779" t="s">
        <v>11654</v>
      </c>
      <c r="AP779" t="s">
        <v>74</v>
      </c>
      <c r="AQ779" t="s">
        <v>74</v>
      </c>
      <c r="AR779" t="s">
        <v>11655</v>
      </c>
      <c r="AS779" t="s">
        <v>11656</v>
      </c>
      <c r="AT779" t="s">
        <v>15193</v>
      </c>
      <c r="AU779">
        <v>2017</v>
      </c>
      <c r="AV779">
        <v>7</v>
      </c>
      <c r="AW779" t="s">
        <v>74</v>
      </c>
      <c r="AX779" t="s">
        <v>74</v>
      </c>
      <c r="AY779" t="s">
        <v>74</v>
      </c>
      <c r="AZ779" t="s">
        <v>74</v>
      </c>
      <c r="BA779" t="s">
        <v>74</v>
      </c>
      <c r="BB779" t="s">
        <v>74</v>
      </c>
      <c r="BC779" t="s">
        <v>74</v>
      </c>
      <c r="BD779">
        <v>16534</v>
      </c>
      <c r="BE779" t="s">
        <v>15259</v>
      </c>
      <c r="BF779" t="str">
        <f>HYPERLINK("http://dx.doi.org/10.1038/s41598-017-16630-9","http://dx.doi.org/10.1038/s41598-017-16630-9")</f>
        <v>http://dx.doi.org/10.1038/s41598-017-16630-9</v>
      </c>
      <c r="BG779" t="s">
        <v>74</v>
      </c>
      <c r="BH779" t="s">
        <v>74</v>
      </c>
      <c r="BI779">
        <v>10</v>
      </c>
      <c r="BJ779" t="s">
        <v>129</v>
      </c>
      <c r="BK779" t="s">
        <v>101</v>
      </c>
      <c r="BL779" t="s">
        <v>130</v>
      </c>
      <c r="BM779" t="s">
        <v>15260</v>
      </c>
      <c r="BN779">
        <v>29184137</v>
      </c>
      <c r="BO779" t="s">
        <v>494</v>
      </c>
      <c r="BP779" t="s">
        <v>74</v>
      </c>
      <c r="BQ779" t="s">
        <v>74</v>
      </c>
      <c r="BR779" t="s">
        <v>105</v>
      </c>
      <c r="BS779" t="s">
        <v>15261</v>
      </c>
      <c r="BT779" t="str">
        <f>HYPERLINK("https%3A%2F%2Fwww.webofscience.com%2Fwos%2Fwoscc%2Ffull-record%2FWOS:000416398300014","View Full Record in Web of Science")</f>
        <v>View Full Record in Web of Science</v>
      </c>
    </row>
    <row r="780" spans="1:72" x14ac:dyDescent="0.15">
      <c r="A780" t="s">
        <v>72</v>
      </c>
      <c r="B780" t="s">
        <v>15262</v>
      </c>
      <c r="C780" t="s">
        <v>74</v>
      </c>
      <c r="D780" t="s">
        <v>74</v>
      </c>
      <c r="E780" t="s">
        <v>74</v>
      </c>
      <c r="F780" t="s">
        <v>15263</v>
      </c>
      <c r="G780" t="s">
        <v>74</v>
      </c>
      <c r="H780" t="s">
        <v>74</v>
      </c>
      <c r="I780" t="s">
        <v>15264</v>
      </c>
      <c r="J780" t="s">
        <v>110</v>
      </c>
      <c r="K780" t="s">
        <v>74</v>
      </c>
      <c r="L780" t="s">
        <v>74</v>
      </c>
      <c r="M780" t="s">
        <v>78</v>
      </c>
      <c r="N780" t="s">
        <v>79</v>
      </c>
      <c r="O780" t="s">
        <v>74</v>
      </c>
      <c r="P780" t="s">
        <v>74</v>
      </c>
      <c r="Q780" t="s">
        <v>74</v>
      </c>
      <c r="R780" t="s">
        <v>74</v>
      </c>
      <c r="S780" t="s">
        <v>74</v>
      </c>
      <c r="T780" t="s">
        <v>74</v>
      </c>
      <c r="U780" t="s">
        <v>15265</v>
      </c>
      <c r="V780" t="s">
        <v>15266</v>
      </c>
      <c r="W780" t="s">
        <v>15267</v>
      </c>
      <c r="X780" t="s">
        <v>15268</v>
      </c>
      <c r="Y780" t="s">
        <v>15269</v>
      </c>
      <c r="Z780" t="s">
        <v>15270</v>
      </c>
      <c r="AA780" t="s">
        <v>15271</v>
      </c>
      <c r="AB780" t="s">
        <v>15272</v>
      </c>
      <c r="AC780" t="s">
        <v>15273</v>
      </c>
      <c r="AD780" t="s">
        <v>1226</v>
      </c>
      <c r="AE780" t="s">
        <v>15274</v>
      </c>
      <c r="AF780" t="s">
        <v>74</v>
      </c>
      <c r="AG780">
        <v>62</v>
      </c>
      <c r="AH780">
        <v>21</v>
      </c>
      <c r="AI780">
        <v>26</v>
      </c>
      <c r="AJ780">
        <v>5</v>
      </c>
      <c r="AK780">
        <v>28</v>
      </c>
      <c r="AL780" t="s">
        <v>122</v>
      </c>
      <c r="AM780" t="s">
        <v>123</v>
      </c>
      <c r="AN780" t="s">
        <v>124</v>
      </c>
      <c r="AO780" t="s">
        <v>125</v>
      </c>
      <c r="AP780" t="s">
        <v>74</v>
      </c>
      <c r="AQ780" t="s">
        <v>74</v>
      </c>
      <c r="AR780" t="s">
        <v>110</v>
      </c>
      <c r="AS780" t="s">
        <v>126</v>
      </c>
      <c r="AT780" t="s">
        <v>15275</v>
      </c>
      <c r="AU780">
        <v>2017</v>
      </c>
      <c r="AV780">
        <v>12</v>
      </c>
      <c r="AW780">
        <v>11</v>
      </c>
      <c r="AX780" t="s">
        <v>74</v>
      </c>
      <c r="AY780" t="s">
        <v>74</v>
      </c>
      <c r="AZ780" t="s">
        <v>74</v>
      </c>
      <c r="BA780" t="s">
        <v>74</v>
      </c>
      <c r="BB780" t="s">
        <v>74</v>
      </c>
      <c r="BC780" t="s">
        <v>74</v>
      </c>
      <c r="BD780" t="s">
        <v>15276</v>
      </c>
      <c r="BE780" t="s">
        <v>15277</v>
      </c>
      <c r="BF780" t="str">
        <f>HYPERLINK("http://dx.doi.org/10.1371/journal.pone.0188389","http://dx.doi.org/10.1371/journal.pone.0188389")</f>
        <v>http://dx.doi.org/10.1371/journal.pone.0188389</v>
      </c>
      <c r="BG780" t="s">
        <v>74</v>
      </c>
      <c r="BH780" t="s">
        <v>74</v>
      </c>
      <c r="BI780">
        <v>20</v>
      </c>
      <c r="BJ780" t="s">
        <v>129</v>
      </c>
      <c r="BK780" t="s">
        <v>101</v>
      </c>
      <c r="BL780" t="s">
        <v>130</v>
      </c>
      <c r="BM780" t="s">
        <v>15278</v>
      </c>
      <c r="BN780">
        <v>29176815</v>
      </c>
      <c r="BO780" t="s">
        <v>15279</v>
      </c>
      <c r="BP780" t="s">
        <v>74</v>
      </c>
      <c r="BQ780" t="s">
        <v>74</v>
      </c>
      <c r="BR780" t="s">
        <v>105</v>
      </c>
      <c r="BS780" t="s">
        <v>15280</v>
      </c>
      <c r="BT780" t="str">
        <f>HYPERLINK("https%3A%2F%2Fwww.webofscience.com%2Fwos%2Fwoscc%2Ffull-record%2FWOS:000416291900071","View Full Record in Web of Science")</f>
        <v>View Full Record in Web of Science</v>
      </c>
    </row>
    <row r="781" spans="1:72" x14ac:dyDescent="0.15">
      <c r="A781" t="s">
        <v>72</v>
      </c>
      <c r="B781" t="s">
        <v>15281</v>
      </c>
      <c r="C781" t="s">
        <v>74</v>
      </c>
      <c r="D781" t="s">
        <v>74</v>
      </c>
      <c r="E781" t="s">
        <v>74</v>
      </c>
      <c r="F781" t="s">
        <v>15282</v>
      </c>
      <c r="G781" t="s">
        <v>74</v>
      </c>
      <c r="H781" t="s">
        <v>74</v>
      </c>
      <c r="I781" t="s">
        <v>15283</v>
      </c>
      <c r="J781" t="s">
        <v>110</v>
      </c>
      <c r="K781" t="s">
        <v>74</v>
      </c>
      <c r="L781" t="s">
        <v>74</v>
      </c>
      <c r="M781" t="s">
        <v>78</v>
      </c>
      <c r="N781" t="s">
        <v>79</v>
      </c>
      <c r="O781" t="s">
        <v>74</v>
      </c>
      <c r="P781" t="s">
        <v>74</v>
      </c>
      <c r="Q781" t="s">
        <v>74</v>
      </c>
      <c r="R781" t="s">
        <v>74</v>
      </c>
      <c r="S781" t="s">
        <v>74</v>
      </c>
      <c r="T781" t="s">
        <v>74</v>
      </c>
      <c r="U781" t="s">
        <v>15284</v>
      </c>
      <c r="V781" t="s">
        <v>15285</v>
      </c>
      <c r="W781" t="s">
        <v>15286</v>
      </c>
      <c r="X781" t="s">
        <v>15287</v>
      </c>
      <c r="Y781" t="s">
        <v>15288</v>
      </c>
      <c r="Z781" t="s">
        <v>15289</v>
      </c>
      <c r="AA781" t="s">
        <v>15290</v>
      </c>
      <c r="AB781" t="s">
        <v>15291</v>
      </c>
      <c r="AC781" t="s">
        <v>15292</v>
      </c>
      <c r="AD781" t="s">
        <v>15293</v>
      </c>
      <c r="AE781" t="s">
        <v>15294</v>
      </c>
      <c r="AF781" t="s">
        <v>74</v>
      </c>
      <c r="AG781">
        <v>70</v>
      </c>
      <c r="AH781">
        <v>20</v>
      </c>
      <c r="AI781">
        <v>21</v>
      </c>
      <c r="AJ781">
        <v>2</v>
      </c>
      <c r="AK781">
        <v>29</v>
      </c>
      <c r="AL781" t="s">
        <v>122</v>
      </c>
      <c r="AM781" t="s">
        <v>123</v>
      </c>
      <c r="AN781" t="s">
        <v>124</v>
      </c>
      <c r="AO781" t="s">
        <v>125</v>
      </c>
      <c r="AP781" t="s">
        <v>74</v>
      </c>
      <c r="AQ781" t="s">
        <v>74</v>
      </c>
      <c r="AR781" t="s">
        <v>110</v>
      </c>
      <c r="AS781" t="s">
        <v>126</v>
      </c>
      <c r="AT781" t="s">
        <v>15275</v>
      </c>
      <c r="AU781">
        <v>2017</v>
      </c>
      <c r="AV781">
        <v>12</v>
      </c>
      <c r="AW781">
        <v>11</v>
      </c>
      <c r="AX781" t="s">
        <v>74</v>
      </c>
      <c r="AY781" t="s">
        <v>74</v>
      </c>
      <c r="AZ781" t="s">
        <v>74</v>
      </c>
      <c r="BA781" t="s">
        <v>74</v>
      </c>
      <c r="BB781" t="s">
        <v>74</v>
      </c>
      <c r="BC781" t="s">
        <v>74</v>
      </c>
      <c r="BD781" t="s">
        <v>15295</v>
      </c>
      <c r="BE781" t="s">
        <v>15296</v>
      </c>
      <c r="BF781" t="str">
        <f>HYPERLINK("http://dx.doi.org/10.1371/journal.pone.0188081","http://dx.doi.org/10.1371/journal.pone.0188081")</f>
        <v>http://dx.doi.org/10.1371/journal.pone.0188081</v>
      </c>
      <c r="BG781" t="s">
        <v>74</v>
      </c>
      <c r="BH781" t="s">
        <v>74</v>
      </c>
      <c r="BI781">
        <v>19</v>
      </c>
      <c r="BJ781" t="s">
        <v>129</v>
      </c>
      <c r="BK781" t="s">
        <v>101</v>
      </c>
      <c r="BL781" t="s">
        <v>130</v>
      </c>
      <c r="BM781" t="s">
        <v>15278</v>
      </c>
      <c r="BN781">
        <v>29176835</v>
      </c>
      <c r="BO781" t="s">
        <v>560</v>
      </c>
      <c r="BP781" t="s">
        <v>74</v>
      </c>
      <c r="BQ781" t="s">
        <v>74</v>
      </c>
      <c r="BR781" t="s">
        <v>105</v>
      </c>
      <c r="BS781" t="s">
        <v>15297</v>
      </c>
      <c r="BT781" t="str">
        <f>HYPERLINK("https%3A%2F%2Fwww.webofscience.com%2Fwos%2Fwoscc%2Ffull-record%2FWOS:000416291900034","View Full Record in Web of Science")</f>
        <v>View Full Record in Web of Science</v>
      </c>
    </row>
    <row r="782" spans="1:72" x14ac:dyDescent="0.15">
      <c r="A782" t="s">
        <v>72</v>
      </c>
      <c r="B782" t="s">
        <v>15298</v>
      </c>
      <c r="C782" t="s">
        <v>74</v>
      </c>
      <c r="D782" t="s">
        <v>74</v>
      </c>
      <c r="E782" t="s">
        <v>74</v>
      </c>
      <c r="F782" t="s">
        <v>15299</v>
      </c>
      <c r="G782" t="s">
        <v>74</v>
      </c>
      <c r="H782" t="s">
        <v>74</v>
      </c>
      <c r="I782" t="s">
        <v>15300</v>
      </c>
      <c r="J782" t="s">
        <v>165</v>
      </c>
      <c r="K782" t="s">
        <v>74</v>
      </c>
      <c r="L782" t="s">
        <v>74</v>
      </c>
      <c r="M782" t="s">
        <v>78</v>
      </c>
      <c r="N782" t="s">
        <v>79</v>
      </c>
      <c r="O782" t="s">
        <v>74</v>
      </c>
      <c r="P782" t="s">
        <v>74</v>
      </c>
      <c r="Q782" t="s">
        <v>74</v>
      </c>
      <c r="R782" t="s">
        <v>74</v>
      </c>
      <c r="S782" t="s">
        <v>74</v>
      </c>
      <c r="T782" t="s">
        <v>74</v>
      </c>
      <c r="U782" t="s">
        <v>15301</v>
      </c>
      <c r="V782" t="s">
        <v>15302</v>
      </c>
      <c r="W782" t="s">
        <v>15303</v>
      </c>
      <c r="X782" t="s">
        <v>15304</v>
      </c>
      <c r="Y782" t="s">
        <v>15305</v>
      </c>
      <c r="Z782" t="s">
        <v>15306</v>
      </c>
      <c r="AA782" t="s">
        <v>15307</v>
      </c>
      <c r="AB782" t="s">
        <v>15308</v>
      </c>
      <c r="AC782" t="s">
        <v>15309</v>
      </c>
      <c r="AD782" t="s">
        <v>15310</v>
      </c>
      <c r="AE782" t="s">
        <v>15311</v>
      </c>
      <c r="AF782" t="s">
        <v>74</v>
      </c>
      <c r="AG782">
        <v>44</v>
      </c>
      <c r="AH782">
        <v>6</v>
      </c>
      <c r="AI782">
        <v>6</v>
      </c>
      <c r="AJ782">
        <v>0</v>
      </c>
      <c r="AK782">
        <v>27</v>
      </c>
      <c r="AL782" t="s">
        <v>149</v>
      </c>
      <c r="AM782" t="s">
        <v>150</v>
      </c>
      <c r="AN782" t="s">
        <v>151</v>
      </c>
      <c r="AO782" t="s">
        <v>177</v>
      </c>
      <c r="AP782" t="s">
        <v>178</v>
      </c>
      <c r="AQ782" t="s">
        <v>74</v>
      </c>
      <c r="AR782" t="s">
        <v>179</v>
      </c>
      <c r="AS782" t="s">
        <v>180</v>
      </c>
      <c r="AT782" t="s">
        <v>15275</v>
      </c>
      <c r="AU782">
        <v>2017</v>
      </c>
      <c r="AV782">
        <v>17</v>
      </c>
      <c r="AW782">
        <v>22</v>
      </c>
      <c r="AX782" t="s">
        <v>74</v>
      </c>
      <c r="AY782" t="s">
        <v>74</v>
      </c>
      <c r="AZ782" t="s">
        <v>74</v>
      </c>
      <c r="BA782" t="s">
        <v>74</v>
      </c>
      <c r="BB782">
        <v>14075</v>
      </c>
      <c r="BC782">
        <v>14084</v>
      </c>
      <c r="BD782" t="s">
        <v>74</v>
      </c>
      <c r="BE782" t="s">
        <v>15312</v>
      </c>
      <c r="BF782" t="str">
        <f>HYPERLINK("http://dx.doi.org/10.5194/acp-17-14075-2017","http://dx.doi.org/10.5194/acp-17-14075-2017")</f>
        <v>http://dx.doi.org/10.5194/acp-17-14075-2017</v>
      </c>
      <c r="BG782" t="s">
        <v>74</v>
      </c>
      <c r="BH782" t="s">
        <v>74</v>
      </c>
      <c r="BI782">
        <v>10</v>
      </c>
      <c r="BJ782" t="s">
        <v>183</v>
      </c>
      <c r="BK782" t="s">
        <v>101</v>
      </c>
      <c r="BL782" t="s">
        <v>184</v>
      </c>
      <c r="BM782" t="s">
        <v>15313</v>
      </c>
      <c r="BN782" t="s">
        <v>74</v>
      </c>
      <c r="BO782" t="s">
        <v>236</v>
      </c>
      <c r="BP782" t="s">
        <v>74</v>
      </c>
      <c r="BQ782" t="s">
        <v>74</v>
      </c>
      <c r="BR782" t="s">
        <v>105</v>
      </c>
      <c r="BS782" t="s">
        <v>15314</v>
      </c>
      <c r="BT782" t="str">
        <f>HYPERLINK("https%3A%2F%2Fwww.webofscience.com%2Fwos%2Fwoscc%2Ffull-record%2FWOS:000416260700001","View Full Record in Web of Science")</f>
        <v>View Full Record in Web of Science</v>
      </c>
    </row>
    <row r="783" spans="1:72" x14ac:dyDescent="0.15">
      <c r="A783" t="s">
        <v>72</v>
      </c>
      <c r="B783" t="s">
        <v>15315</v>
      </c>
      <c r="C783" t="s">
        <v>74</v>
      </c>
      <c r="D783" t="s">
        <v>74</v>
      </c>
      <c r="E783" t="s">
        <v>74</v>
      </c>
      <c r="F783" t="s">
        <v>15316</v>
      </c>
      <c r="G783" t="s">
        <v>74</v>
      </c>
      <c r="H783" t="s">
        <v>74</v>
      </c>
      <c r="I783" t="s">
        <v>15317</v>
      </c>
      <c r="J783" t="s">
        <v>217</v>
      </c>
      <c r="K783" t="s">
        <v>74</v>
      </c>
      <c r="L783" t="s">
        <v>74</v>
      </c>
      <c r="M783" t="s">
        <v>78</v>
      </c>
      <c r="N783" t="s">
        <v>79</v>
      </c>
      <c r="O783" t="s">
        <v>74</v>
      </c>
      <c r="P783" t="s">
        <v>74</v>
      </c>
      <c r="Q783" t="s">
        <v>74</v>
      </c>
      <c r="R783" t="s">
        <v>74</v>
      </c>
      <c r="S783" t="s">
        <v>74</v>
      </c>
      <c r="T783" t="s">
        <v>74</v>
      </c>
      <c r="U783" t="s">
        <v>15318</v>
      </c>
      <c r="V783" t="s">
        <v>15319</v>
      </c>
      <c r="W783" t="s">
        <v>15320</v>
      </c>
      <c r="X783" t="s">
        <v>15321</v>
      </c>
      <c r="Y783" t="s">
        <v>15322</v>
      </c>
      <c r="Z783" t="s">
        <v>15323</v>
      </c>
      <c r="AA783" t="s">
        <v>15324</v>
      </c>
      <c r="AB783" t="s">
        <v>15325</v>
      </c>
      <c r="AC783" t="s">
        <v>15326</v>
      </c>
      <c r="AD783" t="s">
        <v>15327</v>
      </c>
      <c r="AE783" t="s">
        <v>15328</v>
      </c>
      <c r="AF783" t="s">
        <v>74</v>
      </c>
      <c r="AG783">
        <v>60</v>
      </c>
      <c r="AH783">
        <v>19</v>
      </c>
      <c r="AI783">
        <v>21</v>
      </c>
      <c r="AJ783">
        <v>1</v>
      </c>
      <c r="AK783">
        <v>20</v>
      </c>
      <c r="AL783" t="s">
        <v>149</v>
      </c>
      <c r="AM783" t="s">
        <v>150</v>
      </c>
      <c r="AN783" t="s">
        <v>151</v>
      </c>
      <c r="AO783" t="s">
        <v>229</v>
      </c>
      <c r="AP783" t="s">
        <v>230</v>
      </c>
      <c r="AQ783" t="s">
        <v>74</v>
      </c>
      <c r="AR783" t="s">
        <v>217</v>
      </c>
      <c r="AS783" t="s">
        <v>231</v>
      </c>
      <c r="AT783" t="s">
        <v>15275</v>
      </c>
      <c r="AU783">
        <v>2017</v>
      </c>
      <c r="AV783">
        <v>11</v>
      </c>
      <c r="AW783">
        <v>6</v>
      </c>
      <c r="AX783" t="s">
        <v>74</v>
      </c>
      <c r="AY783" t="s">
        <v>74</v>
      </c>
      <c r="AZ783" t="s">
        <v>74</v>
      </c>
      <c r="BA783" t="s">
        <v>74</v>
      </c>
      <c r="BB783">
        <v>2727</v>
      </c>
      <c r="BC783">
        <v>2741</v>
      </c>
      <c r="BD783" t="s">
        <v>74</v>
      </c>
      <c r="BE783" t="s">
        <v>15329</v>
      </c>
      <c r="BF783" t="str">
        <f>HYPERLINK("http://dx.doi.org/10.5194/tc-11-2727-2017","http://dx.doi.org/10.5194/tc-11-2727-2017")</f>
        <v>http://dx.doi.org/10.5194/tc-11-2727-2017</v>
      </c>
      <c r="BG783" t="s">
        <v>74</v>
      </c>
      <c r="BH783" t="s">
        <v>74</v>
      </c>
      <c r="BI783">
        <v>15</v>
      </c>
      <c r="BJ783" t="s">
        <v>233</v>
      </c>
      <c r="BK783" t="s">
        <v>101</v>
      </c>
      <c r="BL783" t="s">
        <v>234</v>
      </c>
      <c r="BM783" t="s">
        <v>15330</v>
      </c>
      <c r="BN783" t="s">
        <v>74</v>
      </c>
      <c r="BO783" t="s">
        <v>236</v>
      </c>
      <c r="BP783" t="s">
        <v>74</v>
      </c>
      <c r="BQ783" t="s">
        <v>74</v>
      </c>
      <c r="BR783" t="s">
        <v>105</v>
      </c>
      <c r="BS783" t="s">
        <v>15331</v>
      </c>
      <c r="BT783" t="str">
        <f>HYPERLINK("https%3A%2F%2Fwww.webofscience.com%2Fwos%2Fwoscc%2Ffull-record%2FWOS:000416266100001","View Full Record in Web of Science")</f>
        <v>View Full Record in Web of Science</v>
      </c>
    </row>
    <row r="784" spans="1:72" x14ac:dyDescent="0.15">
      <c r="A784" t="s">
        <v>72</v>
      </c>
      <c r="B784" t="s">
        <v>15332</v>
      </c>
      <c r="C784" t="s">
        <v>74</v>
      </c>
      <c r="D784" t="s">
        <v>74</v>
      </c>
      <c r="E784" t="s">
        <v>74</v>
      </c>
      <c r="F784" t="s">
        <v>15333</v>
      </c>
      <c r="G784" t="s">
        <v>74</v>
      </c>
      <c r="H784" t="s">
        <v>74</v>
      </c>
      <c r="I784" t="s">
        <v>15334</v>
      </c>
      <c r="J784" t="s">
        <v>411</v>
      </c>
      <c r="K784" t="s">
        <v>74</v>
      </c>
      <c r="L784" t="s">
        <v>74</v>
      </c>
      <c r="M784" t="s">
        <v>78</v>
      </c>
      <c r="N784" t="s">
        <v>79</v>
      </c>
      <c r="O784" t="s">
        <v>74</v>
      </c>
      <c r="P784" t="s">
        <v>74</v>
      </c>
      <c r="Q784" t="s">
        <v>74</v>
      </c>
      <c r="R784" t="s">
        <v>74</v>
      </c>
      <c r="S784" t="s">
        <v>74</v>
      </c>
      <c r="T784" t="s">
        <v>15335</v>
      </c>
      <c r="U784" t="s">
        <v>15336</v>
      </c>
      <c r="V784" t="s">
        <v>15337</v>
      </c>
      <c r="W784" t="s">
        <v>15338</v>
      </c>
      <c r="X784" t="s">
        <v>15339</v>
      </c>
      <c r="Y784" t="s">
        <v>15340</v>
      </c>
      <c r="Z784" t="s">
        <v>13340</v>
      </c>
      <c r="AA784" t="s">
        <v>15341</v>
      </c>
      <c r="AB784" t="s">
        <v>15342</v>
      </c>
      <c r="AC784" t="s">
        <v>15343</v>
      </c>
      <c r="AD784" t="s">
        <v>15344</v>
      </c>
      <c r="AE784" t="s">
        <v>15345</v>
      </c>
      <c r="AF784" t="s">
        <v>74</v>
      </c>
      <c r="AG784">
        <v>32</v>
      </c>
      <c r="AH784">
        <v>38</v>
      </c>
      <c r="AI784">
        <v>43</v>
      </c>
      <c r="AJ784">
        <v>3</v>
      </c>
      <c r="AK784">
        <v>17</v>
      </c>
      <c r="AL784" t="s">
        <v>271</v>
      </c>
      <c r="AM784" t="s">
        <v>272</v>
      </c>
      <c r="AN784" t="s">
        <v>273</v>
      </c>
      <c r="AO784" t="s">
        <v>424</v>
      </c>
      <c r="AP784" t="s">
        <v>425</v>
      </c>
      <c r="AQ784" t="s">
        <v>74</v>
      </c>
      <c r="AR784" t="s">
        <v>426</v>
      </c>
      <c r="AS784" t="s">
        <v>427</v>
      </c>
      <c r="AT784" t="s">
        <v>15275</v>
      </c>
      <c r="AU784">
        <v>2017</v>
      </c>
      <c r="AV784">
        <v>122</v>
      </c>
      <c r="AW784">
        <v>22</v>
      </c>
      <c r="AX784" t="s">
        <v>74</v>
      </c>
      <c r="AY784" t="s">
        <v>74</v>
      </c>
      <c r="AZ784" t="s">
        <v>74</v>
      </c>
      <c r="BA784" t="s">
        <v>74</v>
      </c>
      <c r="BB784">
        <v>12062</v>
      </c>
      <c r="BC784">
        <v>12076</v>
      </c>
      <c r="BD784" t="s">
        <v>74</v>
      </c>
      <c r="BE784" t="s">
        <v>15346</v>
      </c>
      <c r="BF784" t="str">
        <f>HYPERLINK("http://dx.doi.org/10.1002/2017JD026809","http://dx.doi.org/10.1002/2017JD026809")</f>
        <v>http://dx.doi.org/10.1002/2017JD026809</v>
      </c>
      <c r="BG784" t="s">
        <v>74</v>
      </c>
      <c r="BH784" t="s">
        <v>74</v>
      </c>
      <c r="BI784">
        <v>15</v>
      </c>
      <c r="BJ784" t="s">
        <v>430</v>
      </c>
      <c r="BK784" t="s">
        <v>101</v>
      </c>
      <c r="BL784" t="s">
        <v>430</v>
      </c>
      <c r="BM784" t="s">
        <v>15347</v>
      </c>
      <c r="BN784" t="s">
        <v>74</v>
      </c>
      <c r="BO784" t="s">
        <v>12763</v>
      </c>
      <c r="BP784" t="s">
        <v>74</v>
      </c>
      <c r="BQ784" t="s">
        <v>74</v>
      </c>
      <c r="BR784" t="s">
        <v>105</v>
      </c>
      <c r="BS784" t="s">
        <v>15348</v>
      </c>
      <c r="BT784" t="str">
        <f>HYPERLINK("https%3A%2F%2Fwww.webofscience.com%2Fwos%2Fwoscc%2Ffull-record%2FWOS:000418084500001","View Full Record in Web of Science")</f>
        <v>View Full Record in Web of Science</v>
      </c>
    </row>
    <row r="785" spans="1:72" x14ac:dyDescent="0.15">
      <c r="A785" t="s">
        <v>72</v>
      </c>
      <c r="B785" t="s">
        <v>15349</v>
      </c>
      <c r="C785" t="s">
        <v>74</v>
      </c>
      <c r="D785" t="s">
        <v>74</v>
      </c>
      <c r="E785" t="s">
        <v>74</v>
      </c>
      <c r="F785" t="s">
        <v>15350</v>
      </c>
      <c r="G785" t="s">
        <v>74</v>
      </c>
      <c r="H785" t="s">
        <v>74</v>
      </c>
      <c r="I785" t="s">
        <v>15351</v>
      </c>
      <c r="J785" t="s">
        <v>165</v>
      </c>
      <c r="K785" t="s">
        <v>74</v>
      </c>
      <c r="L785" t="s">
        <v>74</v>
      </c>
      <c r="M785" t="s">
        <v>78</v>
      </c>
      <c r="N785" t="s">
        <v>79</v>
      </c>
      <c r="O785" t="s">
        <v>74</v>
      </c>
      <c r="P785" t="s">
        <v>74</v>
      </c>
      <c r="Q785" t="s">
        <v>74</v>
      </c>
      <c r="R785" t="s">
        <v>74</v>
      </c>
      <c r="S785" t="s">
        <v>74</v>
      </c>
      <c r="T785" t="s">
        <v>74</v>
      </c>
      <c r="U785" t="s">
        <v>15352</v>
      </c>
      <c r="V785" t="s">
        <v>15353</v>
      </c>
      <c r="W785" t="s">
        <v>15354</v>
      </c>
      <c r="X785" t="s">
        <v>15355</v>
      </c>
      <c r="Y785" t="s">
        <v>15356</v>
      </c>
      <c r="Z785" t="s">
        <v>15357</v>
      </c>
      <c r="AA785" t="s">
        <v>15358</v>
      </c>
      <c r="AB785" t="s">
        <v>15359</v>
      </c>
      <c r="AC785" t="s">
        <v>15360</v>
      </c>
      <c r="AD785" t="s">
        <v>15361</v>
      </c>
      <c r="AE785" t="s">
        <v>15362</v>
      </c>
      <c r="AF785" t="s">
        <v>74</v>
      </c>
      <c r="AG785">
        <v>73</v>
      </c>
      <c r="AH785">
        <v>28</v>
      </c>
      <c r="AI785">
        <v>30</v>
      </c>
      <c r="AJ785">
        <v>1</v>
      </c>
      <c r="AK785">
        <v>20</v>
      </c>
      <c r="AL785" t="s">
        <v>149</v>
      </c>
      <c r="AM785" t="s">
        <v>150</v>
      </c>
      <c r="AN785" t="s">
        <v>151</v>
      </c>
      <c r="AO785" t="s">
        <v>177</v>
      </c>
      <c r="AP785" t="s">
        <v>178</v>
      </c>
      <c r="AQ785" t="s">
        <v>74</v>
      </c>
      <c r="AR785" t="s">
        <v>179</v>
      </c>
      <c r="AS785" t="s">
        <v>180</v>
      </c>
      <c r="AT785" t="s">
        <v>15363</v>
      </c>
      <c r="AU785">
        <v>2017</v>
      </c>
      <c r="AV785">
        <v>17</v>
      </c>
      <c r="AW785">
        <v>22</v>
      </c>
      <c r="AX785" t="s">
        <v>74</v>
      </c>
      <c r="AY785" t="s">
        <v>74</v>
      </c>
      <c r="AZ785" t="s">
        <v>74</v>
      </c>
      <c r="BA785" t="s">
        <v>74</v>
      </c>
      <c r="BB785">
        <v>14055</v>
      </c>
      <c r="BC785">
        <v>14073</v>
      </c>
      <c r="BD785" t="s">
        <v>74</v>
      </c>
      <c r="BE785" t="s">
        <v>15364</v>
      </c>
      <c r="BF785" t="str">
        <f>HYPERLINK("http://dx.doi.org/10.5194/acp-17-14055-2017","http://dx.doi.org/10.5194/acp-17-14055-2017")</f>
        <v>http://dx.doi.org/10.5194/acp-17-14055-2017</v>
      </c>
      <c r="BG785" t="s">
        <v>74</v>
      </c>
      <c r="BH785" t="s">
        <v>74</v>
      </c>
      <c r="BI785">
        <v>19</v>
      </c>
      <c r="BJ785" t="s">
        <v>183</v>
      </c>
      <c r="BK785" t="s">
        <v>101</v>
      </c>
      <c r="BL785" t="s">
        <v>184</v>
      </c>
      <c r="BM785" t="s">
        <v>15365</v>
      </c>
      <c r="BN785" t="s">
        <v>74</v>
      </c>
      <c r="BO785" t="s">
        <v>236</v>
      </c>
      <c r="BP785" t="s">
        <v>74</v>
      </c>
      <c r="BQ785" t="s">
        <v>74</v>
      </c>
      <c r="BR785" t="s">
        <v>105</v>
      </c>
      <c r="BS785" t="s">
        <v>15366</v>
      </c>
      <c r="BT785" t="str">
        <f>HYPERLINK("https%3A%2F%2Fwww.webofscience.com%2Fwos%2Fwoscc%2Ffull-record%2FWOS:000416151800005","View Full Record in Web of Science")</f>
        <v>View Full Record in Web of Science</v>
      </c>
    </row>
    <row r="786" spans="1:72" x14ac:dyDescent="0.15">
      <c r="A786" t="s">
        <v>72</v>
      </c>
      <c r="B786" t="s">
        <v>15367</v>
      </c>
      <c r="C786" t="s">
        <v>74</v>
      </c>
      <c r="D786" t="s">
        <v>74</v>
      </c>
      <c r="E786" t="s">
        <v>74</v>
      </c>
      <c r="F786" t="s">
        <v>15368</v>
      </c>
      <c r="G786" t="s">
        <v>74</v>
      </c>
      <c r="H786" t="s">
        <v>74</v>
      </c>
      <c r="I786" t="s">
        <v>15369</v>
      </c>
      <c r="J786" t="s">
        <v>11744</v>
      </c>
      <c r="K786" t="s">
        <v>74</v>
      </c>
      <c r="L786" t="s">
        <v>74</v>
      </c>
      <c r="M786" t="s">
        <v>78</v>
      </c>
      <c r="N786" t="s">
        <v>79</v>
      </c>
      <c r="O786" t="s">
        <v>74</v>
      </c>
      <c r="P786" t="s">
        <v>74</v>
      </c>
      <c r="Q786" t="s">
        <v>74</v>
      </c>
      <c r="R786" t="s">
        <v>74</v>
      </c>
      <c r="S786" t="s">
        <v>74</v>
      </c>
      <c r="T786" t="s">
        <v>74</v>
      </c>
      <c r="U786" t="s">
        <v>15370</v>
      </c>
      <c r="V786" t="s">
        <v>15371</v>
      </c>
      <c r="W786" t="s">
        <v>15372</v>
      </c>
      <c r="X786" t="s">
        <v>15373</v>
      </c>
      <c r="Y786" t="s">
        <v>15374</v>
      </c>
      <c r="Z786" t="s">
        <v>15375</v>
      </c>
      <c r="AA786" t="s">
        <v>15376</v>
      </c>
      <c r="AB786" t="s">
        <v>15377</v>
      </c>
      <c r="AC786" t="s">
        <v>15378</v>
      </c>
      <c r="AD786" t="s">
        <v>15379</v>
      </c>
      <c r="AE786" t="s">
        <v>15380</v>
      </c>
      <c r="AF786" t="s">
        <v>74</v>
      </c>
      <c r="AG786">
        <v>95</v>
      </c>
      <c r="AH786">
        <v>2</v>
      </c>
      <c r="AI786">
        <v>2</v>
      </c>
      <c r="AJ786">
        <v>0</v>
      </c>
      <c r="AK786">
        <v>11</v>
      </c>
      <c r="AL786" t="s">
        <v>149</v>
      </c>
      <c r="AM786" t="s">
        <v>150</v>
      </c>
      <c r="AN786" t="s">
        <v>151</v>
      </c>
      <c r="AO786" t="s">
        <v>11756</v>
      </c>
      <c r="AP786" t="s">
        <v>11757</v>
      </c>
      <c r="AQ786" t="s">
        <v>74</v>
      </c>
      <c r="AR786" t="s">
        <v>11758</v>
      </c>
      <c r="AS786" t="s">
        <v>11759</v>
      </c>
      <c r="AT786" t="s">
        <v>15363</v>
      </c>
      <c r="AU786">
        <v>2017</v>
      </c>
      <c r="AV786">
        <v>13</v>
      </c>
      <c r="AW786">
        <v>11</v>
      </c>
      <c r="AX786" t="s">
        <v>74</v>
      </c>
      <c r="AY786" t="s">
        <v>74</v>
      </c>
      <c r="AZ786" t="s">
        <v>74</v>
      </c>
      <c r="BA786" t="s">
        <v>74</v>
      </c>
      <c r="BB786">
        <v>1661</v>
      </c>
      <c r="BC786">
        <v>1684</v>
      </c>
      <c r="BD786" t="s">
        <v>74</v>
      </c>
      <c r="BE786" t="s">
        <v>15381</v>
      </c>
      <c r="BF786" t="str">
        <f>HYPERLINK("http://dx.doi.org/10.5194/cp-13-1661-2017","http://dx.doi.org/10.5194/cp-13-1661-2017")</f>
        <v>http://dx.doi.org/10.5194/cp-13-1661-2017</v>
      </c>
      <c r="BG786" t="s">
        <v>74</v>
      </c>
      <c r="BH786" t="s">
        <v>74</v>
      </c>
      <c r="BI786">
        <v>24</v>
      </c>
      <c r="BJ786" t="s">
        <v>10260</v>
      </c>
      <c r="BK786" t="s">
        <v>101</v>
      </c>
      <c r="BL786" t="s">
        <v>10261</v>
      </c>
      <c r="BM786" t="s">
        <v>15382</v>
      </c>
      <c r="BN786" t="s">
        <v>74</v>
      </c>
      <c r="BO786" t="s">
        <v>1406</v>
      </c>
      <c r="BP786" t="s">
        <v>74</v>
      </c>
      <c r="BQ786" t="s">
        <v>74</v>
      </c>
      <c r="BR786" t="s">
        <v>105</v>
      </c>
      <c r="BS786" t="s">
        <v>15383</v>
      </c>
      <c r="BT786" t="str">
        <f>HYPERLINK("https%3A%2F%2Fwww.webofscience.com%2Fwos%2Fwoscc%2Ffull-record%2FWOS:000416156000001","View Full Record in Web of Science")</f>
        <v>View Full Record in Web of Science</v>
      </c>
    </row>
    <row r="787" spans="1:72" x14ac:dyDescent="0.15">
      <c r="A787" t="s">
        <v>72</v>
      </c>
      <c r="B787" t="s">
        <v>15384</v>
      </c>
      <c r="C787" t="s">
        <v>74</v>
      </c>
      <c r="D787" t="s">
        <v>74</v>
      </c>
      <c r="E787" t="s">
        <v>74</v>
      </c>
      <c r="F787" t="s">
        <v>15385</v>
      </c>
      <c r="G787" t="s">
        <v>74</v>
      </c>
      <c r="H787" t="s">
        <v>74</v>
      </c>
      <c r="I787" t="s">
        <v>15386</v>
      </c>
      <c r="J787" t="s">
        <v>11744</v>
      </c>
      <c r="K787" t="s">
        <v>74</v>
      </c>
      <c r="L787" t="s">
        <v>74</v>
      </c>
      <c r="M787" t="s">
        <v>78</v>
      </c>
      <c r="N787" t="s">
        <v>79</v>
      </c>
      <c r="O787" t="s">
        <v>74</v>
      </c>
      <c r="P787" t="s">
        <v>74</v>
      </c>
      <c r="Q787" t="s">
        <v>74</v>
      </c>
      <c r="R787" t="s">
        <v>74</v>
      </c>
      <c r="S787" t="s">
        <v>74</v>
      </c>
      <c r="T787" t="s">
        <v>74</v>
      </c>
      <c r="U787" t="s">
        <v>15387</v>
      </c>
      <c r="V787" t="s">
        <v>15388</v>
      </c>
      <c r="W787" t="s">
        <v>15389</v>
      </c>
      <c r="X787" t="s">
        <v>15390</v>
      </c>
      <c r="Y787" t="s">
        <v>15391</v>
      </c>
      <c r="Z787" t="s">
        <v>15392</v>
      </c>
      <c r="AA787" t="s">
        <v>15393</v>
      </c>
      <c r="AB787" t="s">
        <v>15394</v>
      </c>
      <c r="AC787" t="s">
        <v>15395</v>
      </c>
      <c r="AD787" t="s">
        <v>15395</v>
      </c>
      <c r="AE787" t="s">
        <v>15396</v>
      </c>
      <c r="AF787" t="s">
        <v>74</v>
      </c>
      <c r="AG787">
        <v>47</v>
      </c>
      <c r="AH787">
        <v>13</v>
      </c>
      <c r="AI787">
        <v>14</v>
      </c>
      <c r="AJ787">
        <v>0</v>
      </c>
      <c r="AK787">
        <v>3</v>
      </c>
      <c r="AL787" t="s">
        <v>149</v>
      </c>
      <c r="AM787" t="s">
        <v>150</v>
      </c>
      <c r="AN787" t="s">
        <v>151</v>
      </c>
      <c r="AO787" t="s">
        <v>11756</v>
      </c>
      <c r="AP787" t="s">
        <v>11757</v>
      </c>
      <c r="AQ787" t="s">
        <v>74</v>
      </c>
      <c r="AR787" t="s">
        <v>11758</v>
      </c>
      <c r="AS787" t="s">
        <v>11759</v>
      </c>
      <c r="AT787" t="s">
        <v>15363</v>
      </c>
      <c r="AU787">
        <v>2017</v>
      </c>
      <c r="AV787">
        <v>13</v>
      </c>
      <c r="AW787">
        <v>11</v>
      </c>
      <c r="AX787" t="s">
        <v>74</v>
      </c>
      <c r="AY787" t="s">
        <v>74</v>
      </c>
      <c r="AZ787" t="s">
        <v>74</v>
      </c>
      <c r="BA787" t="s">
        <v>74</v>
      </c>
      <c r="BB787">
        <v>1685</v>
      </c>
      <c r="BC787">
        <v>1693</v>
      </c>
      <c r="BD787" t="s">
        <v>74</v>
      </c>
      <c r="BE787" t="s">
        <v>15397</v>
      </c>
      <c r="BF787" t="str">
        <f>HYPERLINK("http://dx.doi.org/10.5194/cp-13-1685-2017","http://dx.doi.org/10.5194/cp-13-1685-2017")</f>
        <v>http://dx.doi.org/10.5194/cp-13-1685-2017</v>
      </c>
      <c r="BG787" t="s">
        <v>74</v>
      </c>
      <c r="BH787" t="s">
        <v>74</v>
      </c>
      <c r="BI787">
        <v>9</v>
      </c>
      <c r="BJ787" t="s">
        <v>10260</v>
      </c>
      <c r="BK787" t="s">
        <v>101</v>
      </c>
      <c r="BL787" t="s">
        <v>10261</v>
      </c>
      <c r="BM787" t="s">
        <v>15382</v>
      </c>
      <c r="BN787" t="s">
        <v>74</v>
      </c>
      <c r="BO787" t="s">
        <v>236</v>
      </c>
      <c r="BP787" t="s">
        <v>74</v>
      </c>
      <c r="BQ787" t="s">
        <v>74</v>
      </c>
      <c r="BR787" t="s">
        <v>105</v>
      </c>
      <c r="BS787" t="s">
        <v>15398</v>
      </c>
      <c r="BT787" t="str">
        <f>HYPERLINK("https%3A%2F%2Fwww.webofscience.com%2Fwos%2Fwoscc%2Ffull-record%2FWOS:000416156000002","View Full Record in Web of Science")</f>
        <v>View Full Record in Web of Science</v>
      </c>
    </row>
    <row r="788" spans="1:72" x14ac:dyDescent="0.15">
      <c r="A788" t="s">
        <v>72</v>
      </c>
      <c r="B788" t="s">
        <v>15399</v>
      </c>
      <c r="C788" t="s">
        <v>74</v>
      </c>
      <c r="D788" t="s">
        <v>74</v>
      </c>
      <c r="E788" t="s">
        <v>74</v>
      </c>
      <c r="F788" t="s">
        <v>15400</v>
      </c>
      <c r="G788" t="s">
        <v>74</v>
      </c>
      <c r="H788" t="s">
        <v>74</v>
      </c>
      <c r="I788" t="s">
        <v>15401</v>
      </c>
      <c r="J788" t="s">
        <v>15402</v>
      </c>
      <c r="K788" t="s">
        <v>74</v>
      </c>
      <c r="L788" t="s">
        <v>74</v>
      </c>
      <c r="M788" t="s">
        <v>78</v>
      </c>
      <c r="N788" t="s">
        <v>79</v>
      </c>
      <c r="O788" t="s">
        <v>74</v>
      </c>
      <c r="P788" t="s">
        <v>74</v>
      </c>
      <c r="Q788" t="s">
        <v>74</v>
      </c>
      <c r="R788" t="s">
        <v>74</v>
      </c>
      <c r="S788" t="s">
        <v>74</v>
      </c>
      <c r="T788" t="s">
        <v>74</v>
      </c>
      <c r="U788" t="s">
        <v>15403</v>
      </c>
      <c r="V788" t="s">
        <v>15404</v>
      </c>
      <c r="W788" t="s">
        <v>15405</v>
      </c>
      <c r="X788" t="s">
        <v>15406</v>
      </c>
      <c r="Y788" t="s">
        <v>15407</v>
      </c>
      <c r="Z788" t="s">
        <v>15408</v>
      </c>
      <c r="AA788" t="s">
        <v>15409</v>
      </c>
      <c r="AB788" t="s">
        <v>15410</v>
      </c>
      <c r="AC788" t="s">
        <v>15411</v>
      </c>
      <c r="AD788" t="s">
        <v>15412</v>
      </c>
      <c r="AE788" t="s">
        <v>15413</v>
      </c>
      <c r="AF788" t="s">
        <v>74</v>
      </c>
      <c r="AG788">
        <v>38</v>
      </c>
      <c r="AH788">
        <v>10</v>
      </c>
      <c r="AI788">
        <v>12</v>
      </c>
      <c r="AJ788">
        <v>1</v>
      </c>
      <c r="AK788">
        <v>7</v>
      </c>
      <c r="AL788" t="s">
        <v>149</v>
      </c>
      <c r="AM788" t="s">
        <v>150</v>
      </c>
      <c r="AN788" t="s">
        <v>151</v>
      </c>
      <c r="AO788" t="s">
        <v>15414</v>
      </c>
      <c r="AP788" t="s">
        <v>15415</v>
      </c>
      <c r="AQ788" t="s">
        <v>74</v>
      </c>
      <c r="AR788" t="s">
        <v>15416</v>
      </c>
      <c r="AS788" t="s">
        <v>15417</v>
      </c>
      <c r="AT788" t="s">
        <v>15363</v>
      </c>
      <c r="AU788">
        <v>2017</v>
      </c>
      <c r="AV788">
        <v>13</v>
      </c>
      <c r="AW788">
        <v>6</v>
      </c>
      <c r="AX788" t="s">
        <v>74</v>
      </c>
      <c r="AY788" t="s">
        <v>74</v>
      </c>
      <c r="AZ788" t="s">
        <v>74</v>
      </c>
      <c r="BA788" t="s">
        <v>74</v>
      </c>
      <c r="BB788">
        <v>983</v>
      </c>
      <c r="BC788">
        <v>995</v>
      </c>
      <c r="BD788" t="s">
        <v>74</v>
      </c>
      <c r="BE788" t="s">
        <v>15418</v>
      </c>
      <c r="BF788" t="str">
        <f>HYPERLINK("http://dx.doi.org/10.5194/os-13-983-2017","http://dx.doi.org/10.5194/os-13-983-2017")</f>
        <v>http://dx.doi.org/10.5194/os-13-983-2017</v>
      </c>
      <c r="BG788" t="s">
        <v>74</v>
      </c>
      <c r="BH788" t="s">
        <v>74</v>
      </c>
      <c r="BI788">
        <v>13</v>
      </c>
      <c r="BJ788" t="s">
        <v>4750</v>
      </c>
      <c r="BK788" t="s">
        <v>101</v>
      </c>
      <c r="BL788" t="s">
        <v>4750</v>
      </c>
      <c r="BM788" t="s">
        <v>15419</v>
      </c>
      <c r="BN788" t="s">
        <v>74</v>
      </c>
      <c r="BO788" t="s">
        <v>236</v>
      </c>
      <c r="BP788" t="s">
        <v>74</v>
      </c>
      <c r="BQ788" t="s">
        <v>74</v>
      </c>
      <c r="BR788" t="s">
        <v>105</v>
      </c>
      <c r="BS788" t="s">
        <v>15420</v>
      </c>
      <c r="BT788" t="str">
        <f>HYPERLINK("https%3A%2F%2Fwww.webofscience.com%2Fwos%2Fwoscc%2Ffull-record%2FWOS:000416158300001","View Full Record in Web of Science")</f>
        <v>View Full Record in Web of Science</v>
      </c>
    </row>
    <row r="789" spans="1:72" x14ac:dyDescent="0.15">
      <c r="A789" t="s">
        <v>72</v>
      </c>
      <c r="B789" t="s">
        <v>15421</v>
      </c>
      <c r="C789" t="s">
        <v>74</v>
      </c>
      <c r="D789" t="s">
        <v>74</v>
      </c>
      <c r="E789" t="s">
        <v>74</v>
      </c>
      <c r="F789" t="s">
        <v>15422</v>
      </c>
      <c r="G789" t="s">
        <v>74</v>
      </c>
      <c r="H789" t="s">
        <v>74</v>
      </c>
      <c r="I789" t="s">
        <v>15423</v>
      </c>
      <c r="J789" t="s">
        <v>165</v>
      </c>
      <c r="K789" t="s">
        <v>74</v>
      </c>
      <c r="L789" t="s">
        <v>74</v>
      </c>
      <c r="M789" t="s">
        <v>78</v>
      </c>
      <c r="N789" t="s">
        <v>79</v>
      </c>
      <c r="O789" t="s">
        <v>74</v>
      </c>
      <c r="P789" t="s">
        <v>74</v>
      </c>
      <c r="Q789" t="s">
        <v>74</v>
      </c>
      <c r="R789" t="s">
        <v>74</v>
      </c>
      <c r="S789" t="s">
        <v>74</v>
      </c>
      <c r="T789" t="s">
        <v>74</v>
      </c>
      <c r="U789" t="s">
        <v>15424</v>
      </c>
      <c r="V789" t="s">
        <v>15425</v>
      </c>
      <c r="W789" t="s">
        <v>15426</v>
      </c>
      <c r="X789" t="s">
        <v>15427</v>
      </c>
      <c r="Y789" t="s">
        <v>15428</v>
      </c>
      <c r="Z789" t="s">
        <v>15357</v>
      </c>
      <c r="AA789" t="s">
        <v>15429</v>
      </c>
      <c r="AB789" t="s">
        <v>15430</v>
      </c>
      <c r="AC789" t="s">
        <v>15360</v>
      </c>
      <c r="AD789" t="s">
        <v>15361</v>
      </c>
      <c r="AE789" t="s">
        <v>15431</v>
      </c>
      <c r="AF789" t="s">
        <v>74</v>
      </c>
      <c r="AG789">
        <v>39</v>
      </c>
      <c r="AH789">
        <v>38</v>
      </c>
      <c r="AI789">
        <v>42</v>
      </c>
      <c r="AJ789">
        <v>0</v>
      </c>
      <c r="AK789">
        <v>27</v>
      </c>
      <c r="AL789" t="s">
        <v>149</v>
      </c>
      <c r="AM789" t="s">
        <v>150</v>
      </c>
      <c r="AN789" t="s">
        <v>151</v>
      </c>
      <c r="AO789" t="s">
        <v>177</v>
      </c>
      <c r="AP789" t="s">
        <v>178</v>
      </c>
      <c r="AQ789" t="s">
        <v>74</v>
      </c>
      <c r="AR789" t="s">
        <v>179</v>
      </c>
      <c r="AS789" t="s">
        <v>180</v>
      </c>
      <c r="AT789" t="s">
        <v>15363</v>
      </c>
      <c r="AU789">
        <v>2017</v>
      </c>
      <c r="AV789">
        <v>17</v>
      </c>
      <c r="AW789">
        <v>22</v>
      </c>
      <c r="AX789" t="s">
        <v>74</v>
      </c>
      <c r="AY789" t="s">
        <v>74</v>
      </c>
      <c r="AZ789" t="s">
        <v>74</v>
      </c>
      <c r="BA789" t="s">
        <v>74</v>
      </c>
      <c r="BB789">
        <v>14039</v>
      </c>
      <c r="BC789">
        <v>14054</v>
      </c>
      <c r="BD789" t="s">
        <v>74</v>
      </c>
      <c r="BE789" t="s">
        <v>15432</v>
      </c>
      <c r="BF789" t="str">
        <f>HYPERLINK("http://dx.doi.org/10.5194/acp-17-14039-2017","http://dx.doi.org/10.5194/acp-17-14039-2017")</f>
        <v>http://dx.doi.org/10.5194/acp-17-14039-2017</v>
      </c>
      <c r="BG789" t="s">
        <v>74</v>
      </c>
      <c r="BH789" t="s">
        <v>74</v>
      </c>
      <c r="BI789">
        <v>16</v>
      </c>
      <c r="BJ789" t="s">
        <v>183</v>
      </c>
      <c r="BK789" t="s">
        <v>101</v>
      </c>
      <c r="BL789" t="s">
        <v>184</v>
      </c>
      <c r="BM789" t="s">
        <v>15365</v>
      </c>
      <c r="BN789" t="s">
        <v>74</v>
      </c>
      <c r="BO789" t="s">
        <v>236</v>
      </c>
      <c r="BP789" t="s">
        <v>74</v>
      </c>
      <c r="BQ789" t="s">
        <v>74</v>
      </c>
      <c r="BR789" t="s">
        <v>105</v>
      </c>
      <c r="BS789" t="s">
        <v>15433</v>
      </c>
      <c r="BT789" t="str">
        <f>HYPERLINK("https%3A%2F%2Fwww.webofscience.com%2Fwos%2Fwoscc%2Ffull-record%2FWOS:000416151800004","View Full Record in Web of Science")</f>
        <v>View Full Record in Web of Science</v>
      </c>
    </row>
    <row r="790" spans="1:72" x14ac:dyDescent="0.15">
      <c r="A790" t="s">
        <v>72</v>
      </c>
      <c r="B790" t="s">
        <v>15434</v>
      </c>
      <c r="C790" t="s">
        <v>74</v>
      </c>
      <c r="D790" t="s">
        <v>74</v>
      </c>
      <c r="E790" t="s">
        <v>74</v>
      </c>
      <c r="F790" t="s">
        <v>15435</v>
      </c>
      <c r="G790" t="s">
        <v>74</v>
      </c>
      <c r="H790" t="s">
        <v>74</v>
      </c>
      <c r="I790" t="s">
        <v>15436</v>
      </c>
      <c r="J790" t="s">
        <v>11642</v>
      </c>
      <c r="K790" t="s">
        <v>74</v>
      </c>
      <c r="L790" t="s">
        <v>74</v>
      </c>
      <c r="M790" t="s">
        <v>78</v>
      </c>
      <c r="N790" t="s">
        <v>79</v>
      </c>
      <c r="O790" t="s">
        <v>74</v>
      </c>
      <c r="P790" t="s">
        <v>74</v>
      </c>
      <c r="Q790" t="s">
        <v>74</v>
      </c>
      <c r="R790" t="s">
        <v>74</v>
      </c>
      <c r="S790" t="s">
        <v>74</v>
      </c>
      <c r="T790" t="s">
        <v>74</v>
      </c>
      <c r="U790" t="s">
        <v>15437</v>
      </c>
      <c r="V790" t="s">
        <v>15438</v>
      </c>
      <c r="W790" t="s">
        <v>15439</v>
      </c>
      <c r="X790" t="s">
        <v>15440</v>
      </c>
      <c r="Y790" t="s">
        <v>15441</v>
      </c>
      <c r="Z790" t="s">
        <v>15442</v>
      </c>
      <c r="AA790" t="s">
        <v>74</v>
      </c>
      <c r="AB790" t="s">
        <v>74</v>
      </c>
      <c r="AC790" t="s">
        <v>15443</v>
      </c>
      <c r="AD790" t="s">
        <v>15444</v>
      </c>
      <c r="AE790" t="s">
        <v>15445</v>
      </c>
      <c r="AF790" t="s">
        <v>74</v>
      </c>
      <c r="AG790">
        <v>66</v>
      </c>
      <c r="AH790">
        <v>14</v>
      </c>
      <c r="AI790">
        <v>16</v>
      </c>
      <c r="AJ790">
        <v>0</v>
      </c>
      <c r="AK790">
        <v>14</v>
      </c>
      <c r="AL790" t="s">
        <v>892</v>
      </c>
      <c r="AM790" t="s">
        <v>698</v>
      </c>
      <c r="AN790" t="s">
        <v>699</v>
      </c>
      <c r="AO790" t="s">
        <v>11654</v>
      </c>
      <c r="AP790" t="s">
        <v>74</v>
      </c>
      <c r="AQ790" t="s">
        <v>74</v>
      </c>
      <c r="AR790" t="s">
        <v>11655</v>
      </c>
      <c r="AS790" t="s">
        <v>11656</v>
      </c>
      <c r="AT790" t="s">
        <v>15446</v>
      </c>
      <c r="AU790">
        <v>2017</v>
      </c>
      <c r="AV790">
        <v>7</v>
      </c>
      <c r="AW790" t="s">
        <v>74</v>
      </c>
      <c r="AX790" t="s">
        <v>74</v>
      </c>
      <c r="AY790" t="s">
        <v>74</v>
      </c>
      <c r="AZ790" t="s">
        <v>74</v>
      </c>
      <c r="BA790" t="s">
        <v>74</v>
      </c>
      <c r="BB790" t="s">
        <v>74</v>
      </c>
      <c r="BC790" t="s">
        <v>74</v>
      </c>
      <c r="BD790">
        <v>16027</v>
      </c>
      <c r="BE790" t="s">
        <v>15447</v>
      </c>
      <c r="BF790" t="str">
        <f>HYPERLINK("http://dx.doi.org/10.1038/s41598-017-16266-9","http://dx.doi.org/10.1038/s41598-017-16266-9")</f>
        <v>http://dx.doi.org/10.1038/s41598-017-16266-9</v>
      </c>
      <c r="BG790" t="s">
        <v>74</v>
      </c>
      <c r="BH790" t="s">
        <v>74</v>
      </c>
      <c r="BI790">
        <v>12</v>
      </c>
      <c r="BJ790" t="s">
        <v>129</v>
      </c>
      <c r="BK790" t="s">
        <v>101</v>
      </c>
      <c r="BL790" t="s">
        <v>130</v>
      </c>
      <c r="BM790" t="s">
        <v>15448</v>
      </c>
      <c r="BN790">
        <v>29167503</v>
      </c>
      <c r="BO790" t="s">
        <v>681</v>
      </c>
      <c r="BP790" t="s">
        <v>74</v>
      </c>
      <c r="BQ790" t="s">
        <v>74</v>
      </c>
      <c r="BR790" t="s">
        <v>105</v>
      </c>
      <c r="BS790" t="s">
        <v>15449</v>
      </c>
      <c r="BT790" t="str">
        <f>HYPERLINK("https%3A%2F%2Fwww.webofscience.com%2Fwos%2Fwoscc%2Ffull-record%2FWOS:000416118300051","View Full Record in Web of Science")</f>
        <v>View Full Record in Web of Science</v>
      </c>
    </row>
    <row r="791" spans="1:72" x14ac:dyDescent="0.15">
      <c r="A791" t="s">
        <v>72</v>
      </c>
      <c r="B791" t="s">
        <v>15450</v>
      </c>
      <c r="C791" t="s">
        <v>74</v>
      </c>
      <c r="D791" t="s">
        <v>74</v>
      </c>
      <c r="E791" t="s">
        <v>74</v>
      </c>
      <c r="F791" t="s">
        <v>15451</v>
      </c>
      <c r="G791" t="s">
        <v>74</v>
      </c>
      <c r="H791" t="s">
        <v>74</v>
      </c>
      <c r="I791" t="s">
        <v>15452</v>
      </c>
      <c r="J791" t="s">
        <v>635</v>
      </c>
      <c r="K791" t="s">
        <v>74</v>
      </c>
      <c r="L791" t="s">
        <v>74</v>
      </c>
      <c r="M791" t="s">
        <v>78</v>
      </c>
      <c r="N791" t="s">
        <v>79</v>
      </c>
      <c r="O791" t="s">
        <v>74</v>
      </c>
      <c r="P791" t="s">
        <v>74</v>
      </c>
      <c r="Q791" t="s">
        <v>74</v>
      </c>
      <c r="R791" t="s">
        <v>74</v>
      </c>
      <c r="S791" t="s">
        <v>74</v>
      </c>
      <c r="T791" t="s">
        <v>15453</v>
      </c>
      <c r="U791" t="s">
        <v>15454</v>
      </c>
      <c r="V791" t="s">
        <v>15455</v>
      </c>
      <c r="W791" t="s">
        <v>15456</v>
      </c>
      <c r="X791" t="s">
        <v>15457</v>
      </c>
      <c r="Y791" t="s">
        <v>15458</v>
      </c>
      <c r="Z791" t="s">
        <v>15459</v>
      </c>
      <c r="AA791" t="s">
        <v>15460</v>
      </c>
      <c r="AB791" t="s">
        <v>15461</v>
      </c>
      <c r="AC791" t="s">
        <v>15462</v>
      </c>
      <c r="AD791" t="s">
        <v>15463</v>
      </c>
      <c r="AE791" t="s">
        <v>15464</v>
      </c>
      <c r="AF791" t="s">
        <v>74</v>
      </c>
      <c r="AG791">
        <v>45</v>
      </c>
      <c r="AH791">
        <v>9</v>
      </c>
      <c r="AI791">
        <v>10</v>
      </c>
      <c r="AJ791">
        <v>0</v>
      </c>
      <c r="AK791">
        <v>2</v>
      </c>
      <c r="AL791" t="s">
        <v>648</v>
      </c>
      <c r="AM791" t="s">
        <v>649</v>
      </c>
      <c r="AN791" t="s">
        <v>15465</v>
      </c>
      <c r="AO791" t="s">
        <v>651</v>
      </c>
      <c r="AP791" t="s">
        <v>652</v>
      </c>
      <c r="AQ791" t="s">
        <v>74</v>
      </c>
      <c r="AR791" t="s">
        <v>635</v>
      </c>
      <c r="AS791" t="s">
        <v>653</v>
      </c>
      <c r="AT791" t="s">
        <v>15446</v>
      </c>
      <c r="AU791">
        <v>2017</v>
      </c>
      <c r="AV791">
        <v>4353</v>
      </c>
      <c r="AW791">
        <v>1</v>
      </c>
      <c r="AX791" t="s">
        <v>74</v>
      </c>
      <c r="AY791" t="s">
        <v>74</v>
      </c>
      <c r="AZ791" t="s">
        <v>74</v>
      </c>
      <c r="BA791" t="s">
        <v>74</v>
      </c>
      <c r="BB791">
        <v>51</v>
      </c>
      <c r="BC791">
        <v>68</v>
      </c>
      <c r="BD791" t="s">
        <v>74</v>
      </c>
      <c r="BE791" t="s">
        <v>15466</v>
      </c>
      <c r="BF791" t="str">
        <f>HYPERLINK("http://dx.doi.org/10.11646/zootaxa.4353.1.3","http://dx.doi.org/10.11646/zootaxa.4353.1.3")</f>
        <v>http://dx.doi.org/10.11646/zootaxa.4353.1.3</v>
      </c>
      <c r="BG791" t="s">
        <v>74</v>
      </c>
      <c r="BH791" t="s">
        <v>74</v>
      </c>
      <c r="BI791">
        <v>18</v>
      </c>
      <c r="BJ791" t="s">
        <v>655</v>
      </c>
      <c r="BK791" t="s">
        <v>101</v>
      </c>
      <c r="BL791" t="s">
        <v>655</v>
      </c>
      <c r="BM791" t="s">
        <v>15467</v>
      </c>
      <c r="BN791">
        <v>29245523</v>
      </c>
      <c r="BO791" t="s">
        <v>74</v>
      </c>
      <c r="BP791" t="s">
        <v>74</v>
      </c>
      <c r="BQ791" t="s">
        <v>74</v>
      </c>
      <c r="BR791" t="s">
        <v>105</v>
      </c>
      <c r="BS791" t="s">
        <v>15468</v>
      </c>
      <c r="BT791" t="str">
        <f>HYPERLINK("https%3A%2F%2Fwww.webofscience.com%2Fwos%2Fwoscc%2Ffull-record%2FWOS:000415904700003","View Full Record in Web of Science")</f>
        <v>View Full Record in Web of Science</v>
      </c>
    </row>
    <row r="792" spans="1:72" x14ac:dyDescent="0.15">
      <c r="A792" t="s">
        <v>72</v>
      </c>
      <c r="B792" t="s">
        <v>15469</v>
      </c>
      <c r="C792" t="s">
        <v>74</v>
      </c>
      <c r="D792" t="s">
        <v>74</v>
      </c>
      <c r="E792" t="s">
        <v>74</v>
      </c>
      <c r="F792" t="s">
        <v>15470</v>
      </c>
      <c r="G792" t="s">
        <v>74</v>
      </c>
      <c r="H792" t="s">
        <v>74</v>
      </c>
      <c r="I792" t="s">
        <v>15471</v>
      </c>
      <c r="J792" t="s">
        <v>1730</v>
      </c>
      <c r="K792" t="s">
        <v>74</v>
      </c>
      <c r="L792" t="s">
        <v>74</v>
      </c>
      <c r="M792" t="s">
        <v>78</v>
      </c>
      <c r="N792" t="s">
        <v>79</v>
      </c>
      <c r="O792" t="s">
        <v>74</v>
      </c>
      <c r="P792" t="s">
        <v>74</v>
      </c>
      <c r="Q792" t="s">
        <v>74</v>
      </c>
      <c r="R792" t="s">
        <v>74</v>
      </c>
      <c r="S792" t="s">
        <v>74</v>
      </c>
      <c r="T792" t="s">
        <v>15472</v>
      </c>
      <c r="U792" t="s">
        <v>15473</v>
      </c>
      <c r="V792" t="s">
        <v>15474</v>
      </c>
      <c r="W792" t="s">
        <v>15475</v>
      </c>
      <c r="X792" t="s">
        <v>15099</v>
      </c>
      <c r="Y792" t="s">
        <v>15476</v>
      </c>
      <c r="Z792" t="s">
        <v>15101</v>
      </c>
      <c r="AA792" t="s">
        <v>74</v>
      </c>
      <c r="AB792" t="s">
        <v>15102</v>
      </c>
      <c r="AC792" t="s">
        <v>15103</v>
      </c>
      <c r="AD792" t="s">
        <v>15104</v>
      </c>
      <c r="AE792" t="s">
        <v>15477</v>
      </c>
      <c r="AF792" t="s">
        <v>74</v>
      </c>
      <c r="AG792">
        <v>28</v>
      </c>
      <c r="AH792">
        <v>23</v>
      </c>
      <c r="AI792">
        <v>27</v>
      </c>
      <c r="AJ792">
        <v>2</v>
      </c>
      <c r="AK792">
        <v>44</v>
      </c>
      <c r="AL792" t="s">
        <v>1743</v>
      </c>
      <c r="AM792" t="s">
        <v>272</v>
      </c>
      <c r="AN792" t="s">
        <v>1744</v>
      </c>
      <c r="AO792" t="s">
        <v>1745</v>
      </c>
      <c r="AP792" t="s">
        <v>74</v>
      </c>
      <c r="AQ792" t="s">
        <v>74</v>
      </c>
      <c r="AR792" t="s">
        <v>1747</v>
      </c>
      <c r="AS792" t="s">
        <v>1748</v>
      </c>
      <c r="AT792" t="s">
        <v>15478</v>
      </c>
      <c r="AU792">
        <v>2017</v>
      </c>
      <c r="AV792">
        <v>114</v>
      </c>
      <c r="AW792">
        <v>47</v>
      </c>
      <c r="AX792" t="s">
        <v>74</v>
      </c>
      <c r="AY792" t="s">
        <v>74</v>
      </c>
      <c r="AZ792" t="s">
        <v>74</v>
      </c>
      <c r="BA792" t="s">
        <v>74</v>
      </c>
      <c r="BB792">
        <v>12530</v>
      </c>
      <c r="BC792">
        <v>12535</v>
      </c>
      <c r="BD792" t="s">
        <v>74</v>
      </c>
      <c r="BE792" t="s">
        <v>15479</v>
      </c>
      <c r="BF792" t="str">
        <f>HYPERLINK("http://dx.doi.org/10.1073/pnas.1711542114","http://dx.doi.org/10.1073/pnas.1711542114")</f>
        <v>http://dx.doi.org/10.1073/pnas.1711542114</v>
      </c>
      <c r="BG792" t="s">
        <v>74</v>
      </c>
      <c r="BH792" t="s">
        <v>74</v>
      </c>
      <c r="BI792">
        <v>6</v>
      </c>
      <c r="BJ792" t="s">
        <v>129</v>
      </c>
      <c r="BK792" t="s">
        <v>101</v>
      </c>
      <c r="BL792" t="s">
        <v>130</v>
      </c>
      <c r="BM792" t="s">
        <v>15480</v>
      </c>
      <c r="BN792">
        <v>29109294</v>
      </c>
      <c r="BO792" t="s">
        <v>789</v>
      </c>
      <c r="BP792" t="s">
        <v>74</v>
      </c>
      <c r="BQ792" t="s">
        <v>74</v>
      </c>
      <c r="BR792" t="s">
        <v>105</v>
      </c>
      <c r="BS792" t="s">
        <v>15481</v>
      </c>
      <c r="BT792" t="str">
        <f>HYPERLINK("https%3A%2F%2Fwww.webofscience.com%2Fwos%2Fwoscc%2Ffull-record%2FWOS:000416503700064","View Full Record in Web of Science")</f>
        <v>View Full Record in Web of Science</v>
      </c>
    </row>
    <row r="793" spans="1:72" x14ac:dyDescent="0.15">
      <c r="A793" t="s">
        <v>72</v>
      </c>
      <c r="B793" t="s">
        <v>15482</v>
      </c>
      <c r="C793" t="s">
        <v>74</v>
      </c>
      <c r="D793" t="s">
        <v>74</v>
      </c>
      <c r="E793" t="s">
        <v>74</v>
      </c>
      <c r="F793" t="s">
        <v>15483</v>
      </c>
      <c r="G793" t="s">
        <v>74</v>
      </c>
      <c r="H793" t="s">
        <v>74</v>
      </c>
      <c r="I793" t="s">
        <v>15484</v>
      </c>
      <c r="J793" t="s">
        <v>137</v>
      </c>
      <c r="K793" t="s">
        <v>74</v>
      </c>
      <c r="L793" t="s">
        <v>74</v>
      </c>
      <c r="M793" t="s">
        <v>78</v>
      </c>
      <c r="N793" t="s">
        <v>79</v>
      </c>
      <c r="O793" t="s">
        <v>74</v>
      </c>
      <c r="P793" t="s">
        <v>74</v>
      </c>
      <c r="Q793" t="s">
        <v>74</v>
      </c>
      <c r="R793" t="s">
        <v>74</v>
      </c>
      <c r="S793" t="s">
        <v>74</v>
      </c>
      <c r="T793" t="s">
        <v>74</v>
      </c>
      <c r="U793" t="s">
        <v>15485</v>
      </c>
      <c r="V793" t="s">
        <v>15486</v>
      </c>
      <c r="W793" t="s">
        <v>15487</v>
      </c>
      <c r="X793" t="s">
        <v>15488</v>
      </c>
      <c r="Y793" t="s">
        <v>15489</v>
      </c>
      <c r="Z793" t="s">
        <v>15490</v>
      </c>
      <c r="AA793" t="s">
        <v>15491</v>
      </c>
      <c r="AB793" t="s">
        <v>15492</v>
      </c>
      <c r="AC793" t="s">
        <v>15493</v>
      </c>
      <c r="AD793" t="s">
        <v>15493</v>
      </c>
      <c r="AE793" t="s">
        <v>15494</v>
      </c>
      <c r="AF793" t="s">
        <v>74</v>
      </c>
      <c r="AG793">
        <v>144</v>
      </c>
      <c r="AH793">
        <v>23</v>
      </c>
      <c r="AI793">
        <v>24</v>
      </c>
      <c r="AJ793">
        <v>0</v>
      </c>
      <c r="AK793">
        <v>26</v>
      </c>
      <c r="AL793" t="s">
        <v>149</v>
      </c>
      <c r="AM793" t="s">
        <v>150</v>
      </c>
      <c r="AN793" t="s">
        <v>151</v>
      </c>
      <c r="AO793" t="s">
        <v>152</v>
      </c>
      <c r="AP793" t="s">
        <v>153</v>
      </c>
      <c r="AQ793" t="s">
        <v>74</v>
      </c>
      <c r="AR793" t="s">
        <v>137</v>
      </c>
      <c r="AS793" t="s">
        <v>154</v>
      </c>
      <c r="AT793" t="s">
        <v>15478</v>
      </c>
      <c r="AU793">
        <v>2017</v>
      </c>
      <c r="AV793">
        <v>14</v>
      </c>
      <c r="AW793">
        <v>22</v>
      </c>
      <c r="AX793" t="s">
        <v>74</v>
      </c>
      <c r="AY793" t="s">
        <v>74</v>
      </c>
      <c r="AZ793" t="s">
        <v>74</v>
      </c>
      <c r="BA793" t="s">
        <v>74</v>
      </c>
      <c r="BB793">
        <v>5217</v>
      </c>
      <c r="BC793">
        <v>5237</v>
      </c>
      <c r="BD793" t="s">
        <v>74</v>
      </c>
      <c r="BE793" t="s">
        <v>15495</v>
      </c>
      <c r="BF793" t="str">
        <f>HYPERLINK("http://dx.doi.org/10.5194/bg-14-5217-2017","http://dx.doi.org/10.5194/bg-14-5217-2017")</f>
        <v>http://dx.doi.org/10.5194/bg-14-5217-2017</v>
      </c>
      <c r="BG793" t="s">
        <v>74</v>
      </c>
      <c r="BH793" t="s">
        <v>74</v>
      </c>
      <c r="BI793">
        <v>21</v>
      </c>
      <c r="BJ793" t="s">
        <v>157</v>
      </c>
      <c r="BK793" t="s">
        <v>101</v>
      </c>
      <c r="BL793" t="s">
        <v>158</v>
      </c>
      <c r="BM793" t="s">
        <v>15496</v>
      </c>
      <c r="BN793" t="s">
        <v>74</v>
      </c>
      <c r="BO793" t="s">
        <v>236</v>
      </c>
      <c r="BP793" t="s">
        <v>74</v>
      </c>
      <c r="BQ793" t="s">
        <v>74</v>
      </c>
      <c r="BR793" t="s">
        <v>105</v>
      </c>
      <c r="BS793" t="s">
        <v>15497</v>
      </c>
      <c r="BT793" t="str">
        <f>HYPERLINK("https%3A%2F%2Fwww.webofscience.com%2Fwos%2Fwoscc%2Ffull-record%2FWOS:000415722100002","View Full Record in Web of Science")</f>
        <v>View Full Record in Web of Science</v>
      </c>
    </row>
    <row r="794" spans="1:72" x14ac:dyDescent="0.15">
      <c r="A794" t="s">
        <v>72</v>
      </c>
      <c r="B794" t="s">
        <v>15498</v>
      </c>
      <c r="C794" t="s">
        <v>74</v>
      </c>
      <c r="D794" t="s">
        <v>74</v>
      </c>
      <c r="E794" t="s">
        <v>74</v>
      </c>
      <c r="F794" t="s">
        <v>15499</v>
      </c>
      <c r="G794" t="s">
        <v>74</v>
      </c>
      <c r="H794" t="s">
        <v>74</v>
      </c>
      <c r="I794" t="s">
        <v>15500</v>
      </c>
      <c r="J794" t="s">
        <v>15501</v>
      </c>
      <c r="K794" t="s">
        <v>74</v>
      </c>
      <c r="L794" t="s">
        <v>74</v>
      </c>
      <c r="M794" t="s">
        <v>78</v>
      </c>
      <c r="N794" t="s">
        <v>79</v>
      </c>
      <c r="O794" t="s">
        <v>74</v>
      </c>
      <c r="P794" t="s">
        <v>74</v>
      </c>
      <c r="Q794" t="s">
        <v>74</v>
      </c>
      <c r="R794" t="s">
        <v>74</v>
      </c>
      <c r="S794" t="s">
        <v>74</v>
      </c>
      <c r="T794" t="s">
        <v>15502</v>
      </c>
      <c r="U794" t="s">
        <v>15503</v>
      </c>
      <c r="V794" t="s">
        <v>15504</v>
      </c>
      <c r="W794" t="s">
        <v>15505</v>
      </c>
      <c r="X794" t="s">
        <v>13665</v>
      </c>
      <c r="Y794" t="s">
        <v>13666</v>
      </c>
      <c r="Z794" t="s">
        <v>13667</v>
      </c>
      <c r="AA794" t="s">
        <v>15506</v>
      </c>
      <c r="AB794" t="s">
        <v>15507</v>
      </c>
      <c r="AC794" t="s">
        <v>13670</v>
      </c>
      <c r="AD794" t="s">
        <v>13671</v>
      </c>
      <c r="AE794" t="s">
        <v>15508</v>
      </c>
      <c r="AF794" t="s">
        <v>74</v>
      </c>
      <c r="AG794">
        <v>46</v>
      </c>
      <c r="AH794">
        <v>32</v>
      </c>
      <c r="AI794">
        <v>36</v>
      </c>
      <c r="AJ794">
        <v>5</v>
      </c>
      <c r="AK794">
        <v>38</v>
      </c>
      <c r="AL794" t="s">
        <v>15509</v>
      </c>
      <c r="AM794" t="s">
        <v>92</v>
      </c>
      <c r="AN794" t="s">
        <v>15510</v>
      </c>
      <c r="AO794" t="s">
        <v>15511</v>
      </c>
      <c r="AP794" t="s">
        <v>74</v>
      </c>
      <c r="AQ794" t="s">
        <v>74</v>
      </c>
      <c r="AR794" t="s">
        <v>15512</v>
      </c>
      <c r="AS794" t="s">
        <v>15513</v>
      </c>
      <c r="AT794" t="s">
        <v>15478</v>
      </c>
      <c r="AU794">
        <v>2017</v>
      </c>
      <c r="AV794">
        <v>16</v>
      </c>
      <c r="AW794" t="s">
        <v>74</v>
      </c>
      <c r="AX794" t="s">
        <v>74</v>
      </c>
      <c r="AY794" t="s">
        <v>74</v>
      </c>
      <c r="AZ794" t="s">
        <v>74</v>
      </c>
      <c r="BA794" t="s">
        <v>74</v>
      </c>
      <c r="BB794" t="s">
        <v>74</v>
      </c>
      <c r="BC794" t="s">
        <v>74</v>
      </c>
      <c r="BD794">
        <v>218</v>
      </c>
      <c r="BE794" t="s">
        <v>15514</v>
      </c>
      <c r="BF794" t="str">
        <f>HYPERLINK("http://dx.doi.org/10.1186/s12944-017-0601-8","http://dx.doi.org/10.1186/s12944-017-0601-8")</f>
        <v>http://dx.doi.org/10.1186/s12944-017-0601-8</v>
      </c>
      <c r="BG794" t="s">
        <v>74</v>
      </c>
      <c r="BH794" t="s">
        <v>74</v>
      </c>
      <c r="BI794">
        <v>8</v>
      </c>
      <c r="BJ794" t="s">
        <v>15515</v>
      </c>
      <c r="BK794" t="s">
        <v>101</v>
      </c>
      <c r="BL794" t="s">
        <v>15515</v>
      </c>
      <c r="BM794" t="s">
        <v>15516</v>
      </c>
      <c r="BN794">
        <v>29157255</v>
      </c>
      <c r="BO794" t="s">
        <v>494</v>
      </c>
      <c r="BP794" t="s">
        <v>74</v>
      </c>
      <c r="BQ794" t="s">
        <v>74</v>
      </c>
      <c r="BR794" t="s">
        <v>105</v>
      </c>
      <c r="BS794" t="s">
        <v>15517</v>
      </c>
      <c r="BT794" t="str">
        <f>HYPERLINK("https%3A%2F%2Fwww.webofscience.com%2Fwos%2Fwoscc%2Ffull-record%2FWOS:000416008400001","View Full Record in Web of Science")</f>
        <v>View Full Record in Web of Science</v>
      </c>
    </row>
    <row r="795" spans="1:72" x14ac:dyDescent="0.15">
      <c r="A795" t="s">
        <v>72</v>
      </c>
      <c r="B795" t="s">
        <v>15518</v>
      </c>
      <c r="C795" t="s">
        <v>74</v>
      </c>
      <c r="D795" t="s">
        <v>74</v>
      </c>
      <c r="E795" t="s">
        <v>74</v>
      </c>
      <c r="F795" t="s">
        <v>15519</v>
      </c>
      <c r="G795" t="s">
        <v>74</v>
      </c>
      <c r="H795" t="s">
        <v>74</v>
      </c>
      <c r="I795" t="s">
        <v>15520</v>
      </c>
      <c r="J795" t="s">
        <v>217</v>
      </c>
      <c r="K795" t="s">
        <v>74</v>
      </c>
      <c r="L795" t="s">
        <v>74</v>
      </c>
      <c r="M795" t="s">
        <v>78</v>
      </c>
      <c r="N795" t="s">
        <v>79</v>
      </c>
      <c r="O795" t="s">
        <v>74</v>
      </c>
      <c r="P795" t="s">
        <v>74</v>
      </c>
      <c r="Q795" t="s">
        <v>74</v>
      </c>
      <c r="R795" t="s">
        <v>74</v>
      </c>
      <c r="S795" t="s">
        <v>74</v>
      </c>
      <c r="T795" t="s">
        <v>74</v>
      </c>
      <c r="U795" t="s">
        <v>15521</v>
      </c>
      <c r="V795" t="s">
        <v>15522</v>
      </c>
      <c r="W795" t="s">
        <v>15523</v>
      </c>
      <c r="X795" t="s">
        <v>15524</v>
      </c>
      <c r="Y795" t="s">
        <v>15525</v>
      </c>
      <c r="Z795" t="s">
        <v>15526</v>
      </c>
      <c r="AA795" t="s">
        <v>15527</v>
      </c>
      <c r="AB795" t="s">
        <v>15528</v>
      </c>
      <c r="AC795" t="s">
        <v>15529</v>
      </c>
      <c r="AD795" t="s">
        <v>15530</v>
      </c>
      <c r="AE795" t="s">
        <v>15531</v>
      </c>
      <c r="AF795" t="s">
        <v>74</v>
      </c>
      <c r="AG795">
        <v>77</v>
      </c>
      <c r="AH795">
        <v>25</v>
      </c>
      <c r="AI795">
        <v>26</v>
      </c>
      <c r="AJ795">
        <v>0</v>
      </c>
      <c r="AK795">
        <v>13</v>
      </c>
      <c r="AL795" t="s">
        <v>149</v>
      </c>
      <c r="AM795" t="s">
        <v>150</v>
      </c>
      <c r="AN795" t="s">
        <v>151</v>
      </c>
      <c r="AO795" t="s">
        <v>229</v>
      </c>
      <c r="AP795" t="s">
        <v>230</v>
      </c>
      <c r="AQ795" t="s">
        <v>74</v>
      </c>
      <c r="AR795" t="s">
        <v>217</v>
      </c>
      <c r="AS795" t="s">
        <v>231</v>
      </c>
      <c r="AT795" t="s">
        <v>15478</v>
      </c>
      <c r="AU795">
        <v>2017</v>
      </c>
      <c r="AV795">
        <v>11</v>
      </c>
      <c r="AW795">
        <v>6</v>
      </c>
      <c r="AX795" t="s">
        <v>74</v>
      </c>
      <c r="AY795" t="s">
        <v>74</v>
      </c>
      <c r="AZ795" t="s">
        <v>74</v>
      </c>
      <c r="BA795" t="s">
        <v>74</v>
      </c>
      <c r="BB795">
        <v>2675</v>
      </c>
      <c r="BC795">
        <v>2690</v>
      </c>
      <c r="BD795" t="s">
        <v>74</v>
      </c>
      <c r="BE795" t="s">
        <v>15532</v>
      </c>
      <c r="BF795" t="str">
        <f>HYPERLINK("http://dx.doi.org/10.5194/tc-11-2675-2017","http://dx.doi.org/10.5194/tc-11-2675-2017")</f>
        <v>http://dx.doi.org/10.5194/tc-11-2675-2017</v>
      </c>
      <c r="BG795" t="s">
        <v>74</v>
      </c>
      <c r="BH795" t="s">
        <v>74</v>
      </c>
      <c r="BI795">
        <v>16</v>
      </c>
      <c r="BJ795" t="s">
        <v>233</v>
      </c>
      <c r="BK795" t="s">
        <v>101</v>
      </c>
      <c r="BL795" t="s">
        <v>234</v>
      </c>
      <c r="BM795" t="s">
        <v>15533</v>
      </c>
      <c r="BN795" t="s">
        <v>74</v>
      </c>
      <c r="BO795" t="s">
        <v>1406</v>
      </c>
      <c r="BP795" t="s">
        <v>74</v>
      </c>
      <c r="BQ795" t="s">
        <v>74</v>
      </c>
      <c r="BR795" t="s">
        <v>105</v>
      </c>
      <c r="BS795" t="s">
        <v>15534</v>
      </c>
      <c r="BT795" t="str">
        <f>HYPERLINK("https%3A%2F%2Fwww.webofscience.com%2Fwos%2Fwoscc%2Ffull-record%2FWOS:000415829000002","View Full Record in Web of Science")</f>
        <v>View Full Record in Web of Science</v>
      </c>
    </row>
    <row r="796" spans="1:72" x14ac:dyDescent="0.15">
      <c r="A796" t="s">
        <v>72</v>
      </c>
      <c r="B796" t="s">
        <v>15535</v>
      </c>
      <c r="C796" t="s">
        <v>74</v>
      </c>
      <c r="D796" t="s">
        <v>74</v>
      </c>
      <c r="E796" t="s">
        <v>74</v>
      </c>
      <c r="F796" t="s">
        <v>15536</v>
      </c>
      <c r="G796" t="s">
        <v>74</v>
      </c>
      <c r="H796" t="s">
        <v>74</v>
      </c>
      <c r="I796" t="s">
        <v>15537</v>
      </c>
      <c r="J796" t="s">
        <v>15538</v>
      </c>
      <c r="K796" t="s">
        <v>74</v>
      </c>
      <c r="L796" t="s">
        <v>74</v>
      </c>
      <c r="M796" t="s">
        <v>78</v>
      </c>
      <c r="N796" t="s">
        <v>79</v>
      </c>
      <c r="O796" t="s">
        <v>74</v>
      </c>
      <c r="P796" t="s">
        <v>74</v>
      </c>
      <c r="Q796" t="s">
        <v>74</v>
      </c>
      <c r="R796" t="s">
        <v>74</v>
      </c>
      <c r="S796" t="s">
        <v>74</v>
      </c>
      <c r="T796" t="s">
        <v>15539</v>
      </c>
      <c r="U796" t="s">
        <v>15540</v>
      </c>
      <c r="V796" t="s">
        <v>15541</v>
      </c>
      <c r="W796" t="s">
        <v>15542</v>
      </c>
      <c r="X796" t="s">
        <v>15543</v>
      </c>
      <c r="Y796" t="s">
        <v>15544</v>
      </c>
      <c r="Z796" t="s">
        <v>15545</v>
      </c>
      <c r="AA796" t="s">
        <v>15546</v>
      </c>
      <c r="AB796" t="s">
        <v>15547</v>
      </c>
      <c r="AC796" t="s">
        <v>15548</v>
      </c>
      <c r="AD796" t="s">
        <v>15549</v>
      </c>
      <c r="AE796" t="s">
        <v>15550</v>
      </c>
      <c r="AF796" t="s">
        <v>74</v>
      </c>
      <c r="AG796">
        <v>79</v>
      </c>
      <c r="AH796">
        <v>25</v>
      </c>
      <c r="AI796">
        <v>25</v>
      </c>
      <c r="AJ796">
        <v>0</v>
      </c>
      <c r="AK796">
        <v>38</v>
      </c>
      <c r="AL796" t="s">
        <v>807</v>
      </c>
      <c r="AM796" t="s">
        <v>808</v>
      </c>
      <c r="AN796" t="s">
        <v>809</v>
      </c>
      <c r="AO796" t="s">
        <v>15551</v>
      </c>
      <c r="AP796" t="s">
        <v>15552</v>
      </c>
      <c r="AQ796" t="s">
        <v>74</v>
      </c>
      <c r="AR796" t="s">
        <v>15553</v>
      </c>
      <c r="AS796" t="s">
        <v>15554</v>
      </c>
      <c r="AT796" t="s">
        <v>15555</v>
      </c>
      <c r="AU796">
        <v>2017</v>
      </c>
      <c r="AV796">
        <v>196</v>
      </c>
      <c r="AW796" t="s">
        <v>74</v>
      </c>
      <c r="AX796" t="s">
        <v>74</v>
      </c>
      <c r="AY796" t="s">
        <v>74</v>
      </c>
      <c r="AZ796" t="s">
        <v>74</v>
      </c>
      <c r="BA796" t="s">
        <v>74</v>
      </c>
      <c r="BB796">
        <v>148</v>
      </c>
      <c r="BC796">
        <v>161</v>
      </c>
      <c r="BD796" t="s">
        <v>74</v>
      </c>
      <c r="BE796" t="s">
        <v>15556</v>
      </c>
      <c r="BF796" t="str">
        <f>HYPERLINK("http://dx.doi.org/10.1016/j.marchem.2017.08.011","http://dx.doi.org/10.1016/j.marchem.2017.08.011")</f>
        <v>http://dx.doi.org/10.1016/j.marchem.2017.08.011</v>
      </c>
      <c r="BG796" t="s">
        <v>74</v>
      </c>
      <c r="BH796" t="s">
        <v>74</v>
      </c>
      <c r="BI796">
        <v>14</v>
      </c>
      <c r="BJ796" t="s">
        <v>15557</v>
      </c>
      <c r="BK796" t="s">
        <v>101</v>
      </c>
      <c r="BL796" t="s">
        <v>15558</v>
      </c>
      <c r="BM796" t="s">
        <v>15559</v>
      </c>
      <c r="BN796" t="s">
        <v>74</v>
      </c>
      <c r="BO796" t="s">
        <v>5571</v>
      </c>
      <c r="BP796" t="s">
        <v>74</v>
      </c>
      <c r="BQ796" t="s">
        <v>74</v>
      </c>
      <c r="BR796" t="s">
        <v>105</v>
      </c>
      <c r="BS796" t="s">
        <v>15560</v>
      </c>
      <c r="BT796" t="str">
        <f>HYPERLINK("https%3A%2F%2Fwww.webofscience.com%2Fwos%2Fwoscc%2Ffull-record%2FWOS:000415773500014","View Full Record in Web of Science")</f>
        <v>View Full Record in Web of Science</v>
      </c>
    </row>
    <row r="797" spans="1:72" x14ac:dyDescent="0.15">
      <c r="A797" t="s">
        <v>72</v>
      </c>
      <c r="B797" t="s">
        <v>15561</v>
      </c>
      <c r="C797" t="s">
        <v>74</v>
      </c>
      <c r="D797" t="s">
        <v>74</v>
      </c>
      <c r="E797" t="s">
        <v>74</v>
      </c>
      <c r="F797" t="s">
        <v>15562</v>
      </c>
      <c r="G797" t="s">
        <v>74</v>
      </c>
      <c r="H797" t="s">
        <v>74</v>
      </c>
      <c r="I797" t="s">
        <v>15563</v>
      </c>
      <c r="J797" t="s">
        <v>661</v>
      </c>
      <c r="K797" t="s">
        <v>74</v>
      </c>
      <c r="L797" t="s">
        <v>74</v>
      </c>
      <c r="M797" t="s">
        <v>78</v>
      </c>
      <c r="N797" t="s">
        <v>79</v>
      </c>
      <c r="O797" t="s">
        <v>74</v>
      </c>
      <c r="P797" t="s">
        <v>74</v>
      </c>
      <c r="Q797" t="s">
        <v>74</v>
      </c>
      <c r="R797" t="s">
        <v>74</v>
      </c>
      <c r="S797" t="s">
        <v>74</v>
      </c>
      <c r="T797" t="s">
        <v>74</v>
      </c>
      <c r="U797" t="s">
        <v>15564</v>
      </c>
      <c r="V797" t="s">
        <v>15565</v>
      </c>
      <c r="W797" t="s">
        <v>15566</v>
      </c>
      <c r="X797" t="s">
        <v>15567</v>
      </c>
      <c r="Y797" t="s">
        <v>15568</v>
      </c>
      <c r="Z797" t="s">
        <v>15569</v>
      </c>
      <c r="AA797" t="s">
        <v>15570</v>
      </c>
      <c r="AB797" t="s">
        <v>15571</v>
      </c>
      <c r="AC797" t="s">
        <v>15572</v>
      </c>
      <c r="AD797" t="s">
        <v>15573</v>
      </c>
      <c r="AE797" t="s">
        <v>15574</v>
      </c>
      <c r="AF797" t="s">
        <v>74</v>
      </c>
      <c r="AG797">
        <v>52</v>
      </c>
      <c r="AH797">
        <v>47</v>
      </c>
      <c r="AI797">
        <v>50</v>
      </c>
      <c r="AJ797">
        <v>1</v>
      </c>
      <c r="AK797">
        <v>23</v>
      </c>
      <c r="AL797" t="s">
        <v>892</v>
      </c>
      <c r="AM797" t="s">
        <v>698</v>
      </c>
      <c r="AN797" t="s">
        <v>699</v>
      </c>
      <c r="AO797" t="s">
        <v>74</v>
      </c>
      <c r="AP797" t="s">
        <v>675</v>
      </c>
      <c r="AQ797" t="s">
        <v>74</v>
      </c>
      <c r="AR797" t="s">
        <v>676</v>
      </c>
      <c r="AS797" t="s">
        <v>677</v>
      </c>
      <c r="AT797" t="s">
        <v>15555</v>
      </c>
      <c r="AU797">
        <v>2017</v>
      </c>
      <c r="AV797">
        <v>8</v>
      </c>
      <c r="AW797" t="s">
        <v>74</v>
      </c>
      <c r="AX797" t="s">
        <v>74</v>
      </c>
      <c r="AY797" t="s">
        <v>74</v>
      </c>
      <c r="AZ797" t="s">
        <v>74</v>
      </c>
      <c r="BA797" t="s">
        <v>74</v>
      </c>
      <c r="BB797" t="s">
        <v>74</v>
      </c>
      <c r="BC797" t="s">
        <v>74</v>
      </c>
      <c r="BD797">
        <v>1618</v>
      </c>
      <c r="BE797" t="s">
        <v>15575</v>
      </c>
      <c r="BF797" t="str">
        <f>HYPERLINK("http://dx.doi.org/10.1038/s41467-017-01597-y","http://dx.doi.org/10.1038/s41467-017-01597-y")</f>
        <v>http://dx.doi.org/10.1038/s41467-017-01597-y</v>
      </c>
      <c r="BG797" t="s">
        <v>74</v>
      </c>
      <c r="BH797" t="s">
        <v>74</v>
      </c>
      <c r="BI797">
        <v>9</v>
      </c>
      <c r="BJ797" t="s">
        <v>129</v>
      </c>
      <c r="BK797" t="s">
        <v>101</v>
      </c>
      <c r="BL797" t="s">
        <v>130</v>
      </c>
      <c r="BM797" t="s">
        <v>15576</v>
      </c>
      <c r="BN797">
        <v>29158501</v>
      </c>
      <c r="BO797" t="s">
        <v>703</v>
      </c>
      <c r="BP797" t="s">
        <v>74</v>
      </c>
      <c r="BQ797" t="s">
        <v>74</v>
      </c>
      <c r="BR797" t="s">
        <v>105</v>
      </c>
      <c r="BS797" t="s">
        <v>15577</v>
      </c>
      <c r="BT797" t="str">
        <f>HYPERLINK("https%3A%2F%2Fwww.webofscience.com%2Fwos%2Fwoscc%2Ffull-record%2FWOS:000415759900001","View Full Record in Web of Science")</f>
        <v>View Full Record in Web of Science</v>
      </c>
    </row>
    <row r="798" spans="1:72" x14ac:dyDescent="0.15">
      <c r="A798" t="s">
        <v>72</v>
      </c>
      <c r="B798" t="s">
        <v>15578</v>
      </c>
      <c r="C798" t="s">
        <v>74</v>
      </c>
      <c r="D798" t="s">
        <v>74</v>
      </c>
      <c r="E798" t="s">
        <v>74</v>
      </c>
      <c r="F798" t="s">
        <v>15579</v>
      </c>
      <c r="G798" t="s">
        <v>74</v>
      </c>
      <c r="H798" t="s">
        <v>74</v>
      </c>
      <c r="I798" t="s">
        <v>15580</v>
      </c>
      <c r="J798" t="s">
        <v>15581</v>
      </c>
      <c r="K798" t="s">
        <v>74</v>
      </c>
      <c r="L798" t="s">
        <v>74</v>
      </c>
      <c r="M798" t="s">
        <v>78</v>
      </c>
      <c r="N798" t="s">
        <v>79</v>
      </c>
      <c r="O798" t="s">
        <v>74</v>
      </c>
      <c r="P798" t="s">
        <v>74</v>
      </c>
      <c r="Q798" t="s">
        <v>74</v>
      </c>
      <c r="R798" t="s">
        <v>74</v>
      </c>
      <c r="S798" t="s">
        <v>74</v>
      </c>
      <c r="T798" t="s">
        <v>74</v>
      </c>
      <c r="U798" t="s">
        <v>15582</v>
      </c>
      <c r="V798" t="s">
        <v>15583</v>
      </c>
      <c r="W798" t="s">
        <v>15584</v>
      </c>
      <c r="X798" t="s">
        <v>15585</v>
      </c>
      <c r="Y798" t="s">
        <v>15586</v>
      </c>
      <c r="Z798" t="s">
        <v>15587</v>
      </c>
      <c r="AA798" t="s">
        <v>15588</v>
      </c>
      <c r="AB798" t="s">
        <v>15589</v>
      </c>
      <c r="AC798" t="s">
        <v>15590</v>
      </c>
      <c r="AD798" t="s">
        <v>15591</v>
      </c>
      <c r="AE798" t="s">
        <v>15592</v>
      </c>
      <c r="AF798" t="s">
        <v>74</v>
      </c>
      <c r="AG798">
        <v>38</v>
      </c>
      <c r="AH798">
        <v>9</v>
      </c>
      <c r="AI798">
        <v>10</v>
      </c>
      <c r="AJ798">
        <v>0</v>
      </c>
      <c r="AK798">
        <v>12</v>
      </c>
      <c r="AL798" t="s">
        <v>149</v>
      </c>
      <c r="AM798" t="s">
        <v>150</v>
      </c>
      <c r="AN798" t="s">
        <v>151</v>
      </c>
      <c r="AO798" t="s">
        <v>15593</v>
      </c>
      <c r="AP798" t="s">
        <v>15594</v>
      </c>
      <c r="AQ798" t="s">
        <v>74</v>
      </c>
      <c r="AR798" t="s">
        <v>15595</v>
      </c>
      <c r="AS798" t="s">
        <v>15596</v>
      </c>
      <c r="AT798" t="s">
        <v>15555</v>
      </c>
      <c r="AU798">
        <v>2017</v>
      </c>
      <c r="AV798">
        <v>9</v>
      </c>
      <c r="AW798">
        <v>2</v>
      </c>
      <c r="AX798" t="s">
        <v>74</v>
      </c>
      <c r="AY798" t="s">
        <v>74</v>
      </c>
      <c r="AZ798" t="s">
        <v>74</v>
      </c>
      <c r="BA798" t="s">
        <v>74</v>
      </c>
      <c r="BB798">
        <v>849</v>
      </c>
      <c r="BC798">
        <v>860</v>
      </c>
      <c r="BD798" t="s">
        <v>74</v>
      </c>
      <c r="BE798" t="s">
        <v>15597</v>
      </c>
      <c r="BF798" t="str">
        <f>HYPERLINK("http://dx.doi.org/10.5194/essd-9-849-2017","http://dx.doi.org/10.5194/essd-9-849-2017")</f>
        <v>http://dx.doi.org/10.5194/essd-9-849-2017</v>
      </c>
      <c r="BG798" t="s">
        <v>74</v>
      </c>
      <c r="BH798" t="s">
        <v>74</v>
      </c>
      <c r="BI798">
        <v>12</v>
      </c>
      <c r="BJ798" t="s">
        <v>10260</v>
      </c>
      <c r="BK798" t="s">
        <v>101</v>
      </c>
      <c r="BL798" t="s">
        <v>10261</v>
      </c>
      <c r="BM798" t="s">
        <v>15598</v>
      </c>
      <c r="BN798" t="s">
        <v>74</v>
      </c>
      <c r="BO798" t="s">
        <v>12249</v>
      </c>
      <c r="BP798" t="s">
        <v>74</v>
      </c>
      <c r="BQ798" t="s">
        <v>74</v>
      </c>
      <c r="BR798" t="s">
        <v>105</v>
      </c>
      <c r="BS798" t="s">
        <v>15599</v>
      </c>
      <c r="BT798" t="str">
        <f>HYPERLINK("https%3A%2F%2Fwww.webofscience.com%2Fwos%2Fwoscc%2Ffull-record%2FWOS:000415763000001","View Full Record in Web of Science")</f>
        <v>View Full Record in Web of Science</v>
      </c>
    </row>
    <row r="799" spans="1:72" x14ac:dyDescent="0.15">
      <c r="A799" t="s">
        <v>72</v>
      </c>
      <c r="B799" t="s">
        <v>15600</v>
      </c>
      <c r="C799" t="s">
        <v>74</v>
      </c>
      <c r="D799" t="s">
        <v>74</v>
      </c>
      <c r="E799" t="s">
        <v>74</v>
      </c>
      <c r="F799" t="s">
        <v>15601</v>
      </c>
      <c r="G799" t="s">
        <v>74</v>
      </c>
      <c r="H799" t="s">
        <v>74</v>
      </c>
      <c r="I799" t="s">
        <v>15602</v>
      </c>
      <c r="J799" t="s">
        <v>15538</v>
      </c>
      <c r="K799" t="s">
        <v>74</v>
      </c>
      <c r="L799" t="s">
        <v>74</v>
      </c>
      <c r="M799" t="s">
        <v>78</v>
      </c>
      <c r="N799" t="s">
        <v>79</v>
      </c>
      <c r="O799" t="s">
        <v>74</v>
      </c>
      <c r="P799" t="s">
        <v>74</v>
      </c>
      <c r="Q799" t="s">
        <v>74</v>
      </c>
      <c r="R799" t="s">
        <v>74</v>
      </c>
      <c r="S799" t="s">
        <v>74</v>
      </c>
      <c r="T799" t="s">
        <v>74</v>
      </c>
      <c r="U799" t="s">
        <v>15603</v>
      </c>
      <c r="V799" t="s">
        <v>15604</v>
      </c>
      <c r="W799" t="s">
        <v>15605</v>
      </c>
      <c r="X799" t="s">
        <v>15606</v>
      </c>
      <c r="Y799" t="s">
        <v>15607</v>
      </c>
      <c r="Z799" t="s">
        <v>15608</v>
      </c>
      <c r="AA799" t="s">
        <v>15609</v>
      </c>
      <c r="AB799" t="s">
        <v>15610</v>
      </c>
      <c r="AC799" t="s">
        <v>15611</v>
      </c>
      <c r="AD799" t="s">
        <v>15612</v>
      </c>
      <c r="AE799" t="s">
        <v>15613</v>
      </c>
      <c r="AF799" t="s">
        <v>74</v>
      </c>
      <c r="AG799">
        <v>107</v>
      </c>
      <c r="AH799">
        <v>54</v>
      </c>
      <c r="AI799">
        <v>65</v>
      </c>
      <c r="AJ799">
        <v>0</v>
      </c>
      <c r="AK799">
        <v>51</v>
      </c>
      <c r="AL799" t="s">
        <v>807</v>
      </c>
      <c r="AM799" t="s">
        <v>808</v>
      </c>
      <c r="AN799" t="s">
        <v>809</v>
      </c>
      <c r="AO799" t="s">
        <v>15551</v>
      </c>
      <c r="AP799" t="s">
        <v>15552</v>
      </c>
      <c r="AQ799" t="s">
        <v>74</v>
      </c>
      <c r="AR799" t="s">
        <v>15553</v>
      </c>
      <c r="AS799" t="s">
        <v>15554</v>
      </c>
      <c r="AT799" t="s">
        <v>15555</v>
      </c>
      <c r="AU799">
        <v>2017</v>
      </c>
      <c r="AV799">
        <v>196</v>
      </c>
      <c r="AW799" t="s">
        <v>74</v>
      </c>
      <c r="AX799" t="s">
        <v>74</v>
      </c>
      <c r="AY799" t="s">
        <v>74</v>
      </c>
      <c r="AZ799" t="s">
        <v>74</v>
      </c>
      <c r="BA799" t="s">
        <v>74</v>
      </c>
      <c r="BB799">
        <v>81</v>
      </c>
      <c r="BC799">
        <v>97</v>
      </c>
      <c r="BD799" t="s">
        <v>74</v>
      </c>
      <c r="BE799" t="s">
        <v>15614</v>
      </c>
      <c r="BF799" t="str">
        <f>HYPERLINK("http://dx.doi.org/10.1016/j.marchem.2017.06.004","http://dx.doi.org/10.1016/j.marchem.2017.06.004")</f>
        <v>http://dx.doi.org/10.1016/j.marchem.2017.06.004</v>
      </c>
      <c r="BG799" t="s">
        <v>74</v>
      </c>
      <c r="BH799" t="s">
        <v>74</v>
      </c>
      <c r="BI799">
        <v>17</v>
      </c>
      <c r="BJ799" t="s">
        <v>15557</v>
      </c>
      <c r="BK799" t="s">
        <v>101</v>
      </c>
      <c r="BL799" t="s">
        <v>15558</v>
      </c>
      <c r="BM799" t="s">
        <v>15559</v>
      </c>
      <c r="BN799" t="s">
        <v>74</v>
      </c>
      <c r="BO799" t="s">
        <v>1168</v>
      </c>
      <c r="BP799" t="s">
        <v>74</v>
      </c>
      <c r="BQ799" t="s">
        <v>74</v>
      </c>
      <c r="BR799" t="s">
        <v>105</v>
      </c>
      <c r="BS799" t="s">
        <v>15615</v>
      </c>
      <c r="BT799" t="str">
        <f>HYPERLINK("https%3A%2F%2Fwww.webofscience.com%2Fwos%2Fwoscc%2Ffull-record%2FWOS:000415773500008","View Full Record in Web of Science")</f>
        <v>View Full Record in Web of Science</v>
      </c>
    </row>
    <row r="800" spans="1:72" x14ac:dyDescent="0.15">
      <c r="A800" t="s">
        <v>72</v>
      </c>
      <c r="B800" t="s">
        <v>15616</v>
      </c>
      <c r="C800" t="s">
        <v>74</v>
      </c>
      <c r="D800" t="s">
        <v>74</v>
      </c>
      <c r="E800" t="s">
        <v>74</v>
      </c>
      <c r="F800" t="s">
        <v>15617</v>
      </c>
      <c r="G800" t="s">
        <v>74</v>
      </c>
      <c r="H800" t="s">
        <v>74</v>
      </c>
      <c r="I800" t="s">
        <v>15618</v>
      </c>
      <c r="J800" t="s">
        <v>15619</v>
      </c>
      <c r="K800" t="s">
        <v>74</v>
      </c>
      <c r="L800" t="s">
        <v>74</v>
      </c>
      <c r="M800" t="s">
        <v>78</v>
      </c>
      <c r="N800" t="s">
        <v>289</v>
      </c>
      <c r="O800" t="s">
        <v>74</v>
      </c>
      <c r="P800" t="s">
        <v>74</v>
      </c>
      <c r="Q800" t="s">
        <v>74</v>
      </c>
      <c r="R800" t="s">
        <v>74</v>
      </c>
      <c r="S800" t="s">
        <v>74</v>
      </c>
      <c r="T800" t="s">
        <v>15620</v>
      </c>
      <c r="U800" t="s">
        <v>15621</v>
      </c>
      <c r="V800" t="s">
        <v>15622</v>
      </c>
      <c r="W800" t="s">
        <v>15623</v>
      </c>
      <c r="X800" t="s">
        <v>15624</v>
      </c>
      <c r="Y800" t="s">
        <v>15625</v>
      </c>
      <c r="Z800" t="s">
        <v>15626</v>
      </c>
      <c r="AA800" t="s">
        <v>15627</v>
      </c>
      <c r="AB800" t="s">
        <v>15628</v>
      </c>
      <c r="AC800" t="s">
        <v>15629</v>
      </c>
      <c r="AD800" t="s">
        <v>15630</v>
      </c>
      <c r="AE800" t="s">
        <v>15631</v>
      </c>
      <c r="AF800" t="s">
        <v>74</v>
      </c>
      <c r="AG800">
        <v>58</v>
      </c>
      <c r="AH800">
        <v>63</v>
      </c>
      <c r="AI800">
        <v>67</v>
      </c>
      <c r="AJ800">
        <v>3</v>
      </c>
      <c r="AK800">
        <v>129</v>
      </c>
      <c r="AL800" t="s">
        <v>91</v>
      </c>
      <c r="AM800" t="s">
        <v>92</v>
      </c>
      <c r="AN800" t="s">
        <v>93</v>
      </c>
      <c r="AO800" t="s">
        <v>15632</v>
      </c>
      <c r="AP800" t="s">
        <v>15633</v>
      </c>
      <c r="AQ800" t="s">
        <v>74</v>
      </c>
      <c r="AR800" t="s">
        <v>15634</v>
      </c>
      <c r="AS800" t="s">
        <v>15635</v>
      </c>
      <c r="AT800" t="s">
        <v>15636</v>
      </c>
      <c r="AU800">
        <v>2017</v>
      </c>
      <c r="AV800">
        <v>372</v>
      </c>
      <c r="AW800">
        <v>1734</v>
      </c>
      <c r="AX800" t="s">
        <v>74</v>
      </c>
      <c r="AY800" t="s">
        <v>74</v>
      </c>
      <c r="AZ800" t="s">
        <v>74</v>
      </c>
      <c r="BA800" t="s">
        <v>74</v>
      </c>
      <c r="BB800" t="s">
        <v>74</v>
      </c>
      <c r="BC800" t="s">
        <v>74</v>
      </c>
      <c r="BD800">
        <v>20160257</v>
      </c>
      <c r="BE800" t="s">
        <v>15637</v>
      </c>
      <c r="BF800" t="str">
        <f>HYPERLINK("http://dx.doi.org/10.1098/rstb.2016.0257","http://dx.doi.org/10.1098/rstb.2016.0257")</f>
        <v>http://dx.doi.org/10.1098/rstb.2016.0257</v>
      </c>
      <c r="BG800" t="s">
        <v>74</v>
      </c>
      <c r="BH800" t="s">
        <v>74</v>
      </c>
      <c r="BI800">
        <v>9</v>
      </c>
      <c r="BJ800" t="s">
        <v>8182</v>
      </c>
      <c r="BK800" t="s">
        <v>101</v>
      </c>
      <c r="BL800" t="s">
        <v>8183</v>
      </c>
      <c r="BM800" t="s">
        <v>15638</v>
      </c>
      <c r="BN800">
        <v>28993500</v>
      </c>
      <c r="BO800" t="s">
        <v>789</v>
      </c>
      <c r="BP800" t="s">
        <v>74</v>
      </c>
      <c r="BQ800" t="s">
        <v>74</v>
      </c>
      <c r="BR800" t="s">
        <v>105</v>
      </c>
      <c r="BS800" t="s">
        <v>15639</v>
      </c>
      <c r="BT800" t="str">
        <f>HYPERLINK("https%3A%2F%2Fwww.webofscience.com%2Fwos%2Fwoscc%2Ffull-record%2FWOS:000412601700011","View Full Record in Web of Science")</f>
        <v>View Full Record in Web of Science</v>
      </c>
    </row>
    <row r="801" spans="1:72" x14ac:dyDescent="0.15">
      <c r="A801" t="s">
        <v>72</v>
      </c>
      <c r="B801" t="s">
        <v>15640</v>
      </c>
      <c r="C801" t="s">
        <v>74</v>
      </c>
      <c r="D801" t="s">
        <v>74</v>
      </c>
      <c r="E801" t="s">
        <v>74</v>
      </c>
      <c r="F801" t="s">
        <v>15641</v>
      </c>
      <c r="G801" t="s">
        <v>74</v>
      </c>
      <c r="H801" t="s">
        <v>74</v>
      </c>
      <c r="I801" t="s">
        <v>15642</v>
      </c>
      <c r="J801" t="s">
        <v>15643</v>
      </c>
      <c r="K801" t="s">
        <v>74</v>
      </c>
      <c r="L801" t="s">
        <v>74</v>
      </c>
      <c r="M801" t="s">
        <v>78</v>
      </c>
      <c r="N801" t="s">
        <v>79</v>
      </c>
      <c r="O801" t="s">
        <v>74</v>
      </c>
      <c r="P801" t="s">
        <v>74</v>
      </c>
      <c r="Q801" t="s">
        <v>74</v>
      </c>
      <c r="R801" t="s">
        <v>74</v>
      </c>
      <c r="S801" t="s">
        <v>74</v>
      </c>
      <c r="T801" t="s">
        <v>15644</v>
      </c>
      <c r="U801" t="s">
        <v>15645</v>
      </c>
      <c r="V801" t="s">
        <v>15646</v>
      </c>
      <c r="W801" t="s">
        <v>15647</v>
      </c>
      <c r="X801" t="s">
        <v>15648</v>
      </c>
      <c r="Y801" t="s">
        <v>15649</v>
      </c>
      <c r="Z801" t="s">
        <v>15650</v>
      </c>
      <c r="AA801" t="s">
        <v>15651</v>
      </c>
      <c r="AB801" t="s">
        <v>15652</v>
      </c>
      <c r="AC801" t="s">
        <v>15653</v>
      </c>
      <c r="AD801" t="s">
        <v>15654</v>
      </c>
      <c r="AE801" t="s">
        <v>15655</v>
      </c>
      <c r="AF801" t="s">
        <v>74</v>
      </c>
      <c r="AG801">
        <v>38</v>
      </c>
      <c r="AH801">
        <v>7</v>
      </c>
      <c r="AI801">
        <v>8</v>
      </c>
      <c r="AJ801">
        <v>0</v>
      </c>
      <c r="AK801">
        <v>5</v>
      </c>
      <c r="AL801" t="s">
        <v>1700</v>
      </c>
      <c r="AM801" t="s">
        <v>1701</v>
      </c>
      <c r="AN801" t="s">
        <v>1702</v>
      </c>
      <c r="AO801" t="s">
        <v>15656</v>
      </c>
      <c r="AP801" t="s">
        <v>74</v>
      </c>
      <c r="AQ801" t="s">
        <v>74</v>
      </c>
      <c r="AR801" t="s">
        <v>15657</v>
      </c>
      <c r="AS801" t="s">
        <v>15658</v>
      </c>
      <c r="AT801" t="s">
        <v>15659</v>
      </c>
      <c r="AU801">
        <v>2017</v>
      </c>
      <c r="AV801">
        <v>69</v>
      </c>
      <c r="AW801" t="s">
        <v>74</v>
      </c>
      <c r="AX801" t="s">
        <v>74</v>
      </c>
      <c r="AY801" t="s">
        <v>74</v>
      </c>
      <c r="AZ801" t="s">
        <v>74</v>
      </c>
      <c r="BA801" t="s">
        <v>74</v>
      </c>
      <c r="BB801" t="s">
        <v>74</v>
      </c>
      <c r="BC801" t="s">
        <v>74</v>
      </c>
      <c r="BD801">
        <v>1391655</v>
      </c>
      <c r="BE801" t="s">
        <v>15660</v>
      </c>
      <c r="BF801" t="str">
        <f>HYPERLINK("http://dx.doi.org/10.1080/16000870.2017.1391655","http://dx.doi.org/10.1080/16000870.2017.1391655")</f>
        <v>http://dx.doi.org/10.1080/16000870.2017.1391655</v>
      </c>
      <c r="BG801" t="s">
        <v>74</v>
      </c>
      <c r="BH801" t="s">
        <v>74</v>
      </c>
      <c r="BI801">
        <v>19</v>
      </c>
      <c r="BJ801" t="s">
        <v>4750</v>
      </c>
      <c r="BK801" t="s">
        <v>101</v>
      </c>
      <c r="BL801" t="s">
        <v>4750</v>
      </c>
      <c r="BM801" t="s">
        <v>15661</v>
      </c>
      <c r="BN801" t="s">
        <v>74</v>
      </c>
      <c r="BO801" t="s">
        <v>703</v>
      </c>
      <c r="BP801" t="s">
        <v>74</v>
      </c>
      <c r="BQ801" t="s">
        <v>74</v>
      </c>
      <c r="BR801" t="s">
        <v>105</v>
      </c>
      <c r="BS801" t="s">
        <v>15662</v>
      </c>
      <c r="BT801" t="str">
        <f>HYPERLINK("https%3A%2F%2Fwww.webofscience.com%2Fwos%2Fwoscc%2Ffull-record%2FWOS:000416985000001","View Full Record in Web of Science")</f>
        <v>View Full Record in Web of Science</v>
      </c>
    </row>
    <row r="802" spans="1:72" x14ac:dyDescent="0.15">
      <c r="A802" t="s">
        <v>72</v>
      </c>
      <c r="B802" t="s">
        <v>15663</v>
      </c>
      <c r="C802" t="s">
        <v>74</v>
      </c>
      <c r="D802" t="s">
        <v>74</v>
      </c>
      <c r="E802" t="s">
        <v>74</v>
      </c>
      <c r="F802" t="s">
        <v>15664</v>
      </c>
      <c r="G802" t="s">
        <v>74</v>
      </c>
      <c r="H802" t="s">
        <v>74</v>
      </c>
      <c r="I802" t="s">
        <v>15665</v>
      </c>
      <c r="J802" t="s">
        <v>11744</v>
      </c>
      <c r="K802" t="s">
        <v>74</v>
      </c>
      <c r="L802" t="s">
        <v>74</v>
      </c>
      <c r="M802" t="s">
        <v>78</v>
      </c>
      <c r="N802" t="s">
        <v>79</v>
      </c>
      <c r="O802" t="s">
        <v>74</v>
      </c>
      <c r="P802" t="s">
        <v>74</v>
      </c>
      <c r="Q802" t="s">
        <v>74</v>
      </c>
      <c r="R802" t="s">
        <v>74</v>
      </c>
      <c r="S802" t="s">
        <v>74</v>
      </c>
      <c r="T802" t="s">
        <v>74</v>
      </c>
      <c r="U802" t="s">
        <v>15666</v>
      </c>
      <c r="V802" t="s">
        <v>15667</v>
      </c>
      <c r="W802" t="s">
        <v>15668</v>
      </c>
      <c r="X802" t="s">
        <v>15669</v>
      </c>
      <c r="Y802" t="s">
        <v>15670</v>
      </c>
      <c r="Z802" t="s">
        <v>15671</v>
      </c>
      <c r="AA802" t="s">
        <v>15672</v>
      </c>
      <c r="AB802" t="s">
        <v>15673</v>
      </c>
      <c r="AC802" t="s">
        <v>15674</v>
      </c>
      <c r="AD802" t="s">
        <v>15675</v>
      </c>
      <c r="AE802" t="s">
        <v>15676</v>
      </c>
      <c r="AF802" t="s">
        <v>74</v>
      </c>
      <c r="AG802">
        <v>83</v>
      </c>
      <c r="AH802">
        <v>117</v>
      </c>
      <c r="AI802">
        <v>122</v>
      </c>
      <c r="AJ802">
        <v>1</v>
      </c>
      <c r="AK802">
        <v>56</v>
      </c>
      <c r="AL802" t="s">
        <v>149</v>
      </c>
      <c r="AM802" t="s">
        <v>150</v>
      </c>
      <c r="AN802" t="s">
        <v>151</v>
      </c>
      <c r="AO802" t="s">
        <v>11756</v>
      </c>
      <c r="AP802" t="s">
        <v>11757</v>
      </c>
      <c r="AQ802" t="s">
        <v>74</v>
      </c>
      <c r="AR802" t="s">
        <v>11758</v>
      </c>
      <c r="AS802" t="s">
        <v>11759</v>
      </c>
      <c r="AT802" t="s">
        <v>15659</v>
      </c>
      <c r="AU802">
        <v>2017</v>
      </c>
      <c r="AV802">
        <v>13</v>
      </c>
      <c r="AW802">
        <v>11</v>
      </c>
      <c r="AX802" t="s">
        <v>74</v>
      </c>
      <c r="AY802" t="s">
        <v>74</v>
      </c>
      <c r="AZ802" t="s">
        <v>74</v>
      </c>
      <c r="BA802" t="s">
        <v>74</v>
      </c>
      <c r="BB802">
        <v>1609</v>
      </c>
      <c r="BC802">
        <v>1634</v>
      </c>
      <c r="BD802" t="s">
        <v>74</v>
      </c>
      <c r="BE802" t="s">
        <v>15677</v>
      </c>
      <c r="BF802" t="str">
        <f>HYPERLINK("http://dx.doi.org/10.5194/cp-13-1609-2017","http://dx.doi.org/10.5194/cp-13-1609-2017")</f>
        <v>http://dx.doi.org/10.5194/cp-13-1609-2017</v>
      </c>
      <c r="BG802" t="s">
        <v>74</v>
      </c>
      <c r="BH802" t="s">
        <v>74</v>
      </c>
      <c r="BI802">
        <v>26</v>
      </c>
      <c r="BJ802" t="s">
        <v>10260</v>
      </c>
      <c r="BK802" t="s">
        <v>101</v>
      </c>
      <c r="BL802" t="s">
        <v>10261</v>
      </c>
      <c r="BM802" t="s">
        <v>15678</v>
      </c>
      <c r="BN802" t="s">
        <v>74</v>
      </c>
      <c r="BO802" t="s">
        <v>15679</v>
      </c>
      <c r="BP802" t="s">
        <v>74</v>
      </c>
      <c r="BQ802" t="s">
        <v>74</v>
      </c>
      <c r="BR802" t="s">
        <v>105</v>
      </c>
      <c r="BS802" t="s">
        <v>15680</v>
      </c>
      <c r="BT802" t="str">
        <f>HYPERLINK("https%3A%2F%2Fwww.webofscience.com%2Fwos%2Fwoscc%2Ffull-record%2FWOS:000415760500002","View Full Record in Web of Science")</f>
        <v>View Full Record in Web of Science</v>
      </c>
    </row>
    <row r="803" spans="1:72" x14ac:dyDescent="0.15">
      <c r="A803" t="s">
        <v>72</v>
      </c>
      <c r="B803" t="s">
        <v>15681</v>
      </c>
      <c r="C803" t="s">
        <v>74</v>
      </c>
      <c r="D803" t="s">
        <v>74</v>
      </c>
      <c r="E803" t="s">
        <v>74</v>
      </c>
      <c r="F803" t="s">
        <v>15682</v>
      </c>
      <c r="G803" t="s">
        <v>74</v>
      </c>
      <c r="H803" t="s">
        <v>74</v>
      </c>
      <c r="I803" t="s">
        <v>15683</v>
      </c>
      <c r="J803" t="s">
        <v>1503</v>
      </c>
      <c r="K803" t="s">
        <v>74</v>
      </c>
      <c r="L803" t="s">
        <v>74</v>
      </c>
      <c r="M803" t="s">
        <v>78</v>
      </c>
      <c r="N803" t="s">
        <v>79</v>
      </c>
      <c r="O803" t="s">
        <v>74</v>
      </c>
      <c r="P803" t="s">
        <v>74</v>
      </c>
      <c r="Q803" t="s">
        <v>74</v>
      </c>
      <c r="R803" t="s">
        <v>74</v>
      </c>
      <c r="S803" t="s">
        <v>74</v>
      </c>
      <c r="T803" t="s">
        <v>15684</v>
      </c>
      <c r="U803" t="s">
        <v>15685</v>
      </c>
      <c r="V803" t="s">
        <v>15686</v>
      </c>
      <c r="W803" t="s">
        <v>15687</v>
      </c>
      <c r="X803" t="s">
        <v>15688</v>
      </c>
      <c r="Y803" t="s">
        <v>15689</v>
      </c>
      <c r="Z803" t="s">
        <v>1510</v>
      </c>
      <c r="AA803" t="s">
        <v>15690</v>
      </c>
      <c r="AB803" t="s">
        <v>15691</v>
      </c>
      <c r="AC803" t="s">
        <v>15692</v>
      </c>
      <c r="AD803" t="s">
        <v>15693</v>
      </c>
      <c r="AE803" t="s">
        <v>15694</v>
      </c>
      <c r="AF803" t="s">
        <v>74</v>
      </c>
      <c r="AG803">
        <v>59</v>
      </c>
      <c r="AH803">
        <v>3</v>
      </c>
      <c r="AI803">
        <v>3</v>
      </c>
      <c r="AJ803">
        <v>0</v>
      </c>
      <c r="AK803">
        <v>3</v>
      </c>
      <c r="AL803" t="s">
        <v>648</v>
      </c>
      <c r="AM803" t="s">
        <v>649</v>
      </c>
      <c r="AN803" t="s">
        <v>650</v>
      </c>
      <c r="AO803" t="s">
        <v>1514</v>
      </c>
      <c r="AP803" t="s">
        <v>1515</v>
      </c>
      <c r="AQ803" t="s">
        <v>74</v>
      </c>
      <c r="AR803" t="s">
        <v>1503</v>
      </c>
      <c r="AS803" t="s">
        <v>1516</v>
      </c>
      <c r="AT803" t="s">
        <v>15659</v>
      </c>
      <c r="AU803">
        <v>2017</v>
      </c>
      <c r="AV803">
        <v>328</v>
      </c>
      <c r="AW803">
        <v>2</v>
      </c>
      <c r="AX803" t="s">
        <v>74</v>
      </c>
      <c r="AY803" t="s">
        <v>74</v>
      </c>
      <c r="AZ803" t="s">
        <v>74</v>
      </c>
      <c r="BA803" t="s">
        <v>74</v>
      </c>
      <c r="BB803">
        <v>149</v>
      </c>
      <c r="BC803">
        <v>158</v>
      </c>
      <c r="BD803" t="s">
        <v>74</v>
      </c>
      <c r="BE803" t="s">
        <v>15695</v>
      </c>
      <c r="BF803" t="str">
        <f>HYPERLINK("http://dx.doi.org/10.11646/phytotaxa.328.2.5","http://dx.doi.org/10.11646/phytotaxa.328.2.5")</f>
        <v>http://dx.doi.org/10.11646/phytotaxa.328.2.5</v>
      </c>
      <c r="BG803" t="s">
        <v>74</v>
      </c>
      <c r="BH803" t="s">
        <v>74</v>
      </c>
      <c r="BI803">
        <v>10</v>
      </c>
      <c r="BJ803" t="s">
        <v>492</v>
      </c>
      <c r="BK803" t="s">
        <v>101</v>
      </c>
      <c r="BL803" t="s">
        <v>492</v>
      </c>
      <c r="BM803" t="s">
        <v>15696</v>
      </c>
      <c r="BN803" t="s">
        <v>74</v>
      </c>
      <c r="BO803" t="s">
        <v>74</v>
      </c>
      <c r="BP803" t="s">
        <v>74</v>
      </c>
      <c r="BQ803" t="s">
        <v>74</v>
      </c>
      <c r="BR803" t="s">
        <v>105</v>
      </c>
      <c r="BS803" t="s">
        <v>15697</v>
      </c>
      <c r="BT803" t="str">
        <f>HYPERLINK("https%3A%2F%2Fwww.webofscience.com%2Fwos%2Fwoscc%2Ffull-record%2FWOS:000415346600005","View Full Record in Web of Science")</f>
        <v>View Full Record in Web of Science</v>
      </c>
    </row>
    <row r="804" spans="1:72" x14ac:dyDescent="0.15">
      <c r="A804" t="s">
        <v>72</v>
      </c>
      <c r="B804" t="s">
        <v>15698</v>
      </c>
      <c r="C804" t="s">
        <v>74</v>
      </c>
      <c r="D804" t="s">
        <v>74</v>
      </c>
      <c r="E804" t="s">
        <v>74</v>
      </c>
      <c r="F804" t="s">
        <v>15699</v>
      </c>
      <c r="G804" t="s">
        <v>74</v>
      </c>
      <c r="H804" t="s">
        <v>74</v>
      </c>
      <c r="I804" t="s">
        <v>15700</v>
      </c>
      <c r="J804" t="s">
        <v>165</v>
      </c>
      <c r="K804" t="s">
        <v>74</v>
      </c>
      <c r="L804" t="s">
        <v>74</v>
      </c>
      <c r="M804" t="s">
        <v>78</v>
      </c>
      <c r="N804" t="s">
        <v>79</v>
      </c>
      <c r="O804" t="s">
        <v>74</v>
      </c>
      <c r="P804" t="s">
        <v>74</v>
      </c>
      <c r="Q804" t="s">
        <v>74</v>
      </c>
      <c r="R804" t="s">
        <v>74</v>
      </c>
      <c r="S804" t="s">
        <v>74</v>
      </c>
      <c r="T804" t="s">
        <v>74</v>
      </c>
      <c r="U804" t="s">
        <v>15701</v>
      </c>
      <c r="V804" t="s">
        <v>15702</v>
      </c>
      <c r="W804" t="s">
        <v>15703</v>
      </c>
      <c r="X804" t="s">
        <v>15704</v>
      </c>
      <c r="Y804" t="s">
        <v>15705</v>
      </c>
      <c r="Z804" t="s">
        <v>15706</v>
      </c>
      <c r="AA804" t="s">
        <v>15707</v>
      </c>
      <c r="AB804" t="s">
        <v>15708</v>
      </c>
      <c r="AC804" t="s">
        <v>15709</v>
      </c>
      <c r="AD804" t="s">
        <v>15710</v>
      </c>
      <c r="AE804" t="s">
        <v>15711</v>
      </c>
      <c r="AF804" t="s">
        <v>74</v>
      </c>
      <c r="AG804">
        <v>68</v>
      </c>
      <c r="AH804">
        <v>21</v>
      </c>
      <c r="AI804">
        <v>22</v>
      </c>
      <c r="AJ804">
        <v>3</v>
      </c>
      <c r="AK804">
        <v>26</v>
      </c>
      <c r="AL804" t="s">
        <v>149</v>
      </c>
      <c r="AM804" t="s">
        <v>150</v>
      </c>
      <c r="AN804" t="s">
        <v>151</v>
      </c>
      <c r="AO804" t="s">
        <v>177</v>
      </c>
      <c r="AP804" t="s">
        <v>178</v>
      </c>
      <c r="AQ804" t="s">
        <v>74</v>
      </c>
      <c r="AR804" t="s">
        <v>179</v>
      </c>
      <c r="AS804" t="s">
        <v>180</v>
      </c>
      <c r="AT804" t="s">
        <v>15659</v>
      </c>
      <c r="AU804">
        <v>2017</v>
      </c>
      <c r="AV804">
        <v>17</v>
      </c>
      <c r="AW804">
        <v>22</v>
      </c>
      <c r="AX804" t="s">
        <v>74</v>
      </c>
      <c r="AY804" t="s">
        <v>74</v>
      </c>
      <c r="AZ804" t="s">
        <v>74</v>
      </c>
      <c r="BA804" t="s">
        <v>74</v>
      </c>
      <c r="BB804">
        <v>13681</v>
      </c>
      <c r="BC804">
        <v>13697</v>
      </c>
      <c r="BD804" t="s">
        <v>74</v>
      </c>
      <c r="BE804" t="s">
        <v>15712</v>
      </c>
      <c r="BF804" t="str">
        <f>HYPERLINK("http://dx.doi.org/10.5194/acp-17-13681-2017","http://dx.doi.org/10.5194/acp-17-13681-2017")</f>
        <v>http://dx.doi.org/10.5194/acp-17-13681-2017</v>
      </c>
      <c r="BG804" t="s">
        <v>74</v>
      </c>
      <c r="BH804" t="s">
        <v>74</v>
      </c>
      <c r="BI804">
        <v>17</v>
      </c>
      <c r="BJ804" t="s">
        <v>183</v>
      </c>
      <c r="BK804" t="s">
        <v>101</v>
      </c>
      <c r="BL804" t="s">
        <v>184</v>
      </c>
      <c r="BM804" t="s">
        <v>15713</v>
      </c>
      <c r="BN804" t="s">
        <v>74</v>
      </c>
      <c r="BO804" t="s">
        <v>236</v>
      </c>
      <c r="BP804" t="s">
        <v>74</v>
      </c>
      <c r="BQ804" t="s">
        <v>74</v>
      </c>
      <c r="BR804" t="s">
        <v>105</v>
      </c>
      <c r="BS804" t="s">
        <v>15714</v>
      </c>
      <c r="BT804" t="str">
        <f>HYPERLINK("https%3A%2F%2Fwww.webofscience.com%2Fwos%2Fwoscc%2Ffull-record%2FWOS:000437943000002","View Full Record in Web of Science")</f>
        <v>View Full Record in Web of Science</v>
      </c>
    </row>
    <row r="805" spans="1:72" x14ac:dyDescent="0.15">
      <c r="A805" t="s">
        <v>72</v>
      </c>
      <c r="B805" t="s">
        <v>15715</v>
      </c>
      <c r="C805" t="s">
        <v>74</v>
      </c>
      <c r="D805" t="s">
        <v>74</v>
      </c>
      <c r="E805" t="s">
        <v>74</v>
      </c>
      <c r="F805" t="s">
        <v>15716</v>
      </c>
      <c r="G805" t="s">
        <v>74</v>
      </c>
      <c r="H805" t="s">
        <v>74</v>
      </c>
      <c r="I805" t="s">
        <v>15717</v>
      </c>
      <c r="J805" t="s">
        <v>661</v>
      </c>
      <c r="K805" t="s">
        <v>74</v>
      </c>
      <c r="L805" t="s">
        <v>74</v>
      </c>
      <c r="M805" t="s">
        <v>78</v>
      </c>
      <c r="N805" t="s">
        <v>79</v>
      </c>
      <c r="O805" t="s">
        <v>74</v>
      </c>
      <c r="P805" t="s">
        <v>74</v>
      </c>
      <c r="Q805" t="s">
        <v>74</v>
      </c>
      <c r="R805" t="s">
        <v>74</v>
      </c>
      <c r="S805" t="s">
        <v>74</v>
      </c>
      <c r="T805" t="s">
        <v>74</v>
      </c>
      <c r="U805" t="s">
        <v>15718</v>
      </c>
      <c r="V805" t="s">
        <v>15719</v>
      </c>
      <c r="W805" t="s">
        <v>15720</v>
      </c>
      <c r="X805" t="s">
        <v>15721</v>
      </c>
      <c r="Y805" t="s">
        <v>15722</v>
      </c>
      <c r="Z805" t="s">
        <v>15723</v>
      </c>
      <c r="AA805" t="s">
        <v>15724</v>
      </c>
      <c r="AB805" t="s">
        <v>15725</v>
      </c>
      <c r="AC805" t="s">
        <v>15726</v>
      </c>
      <c r="AD805" t="s">
        <v>15727</v>
      </c>
      <c r="AE805" t="s">
        <v>15728</v>
      </c>
      <c r="AF805" t="s">
        <v>74</v>
      </c>
      <c r="AG805">
        <v>72</v>
      </c>
      <c r="AH805">
        <v>47</v>
      </c>
      <c r="AI805">
        <v>53</v>
      </c>
      <c r="AJ805">
        <v>0</v>
      </c>
      <c r="AK805">
        <v>16</v>
      </c>
      <c r="AL805" t="s">
        <v>673</v>
      </c>
      <c r="AM805" t="s">
        <v>92</v>
      </c>
      <c r="AN805" t="s">
        <v>674</v>
      </c>
      <c r="AO805" t="s">
        <v>675</v>
      </c>
      <c r="AP805" t="s">
        <v>74</v>
      </c>
      <c r="AQ805" t="s">
        <v>74</v>
      </c>
      <c r="AR805" t="s">
        <v>676</v>
      </c>
      <c r="AS805" t="s">
        <v>677</v>
      </c>
      <c r="AT805" t="s">
        <v>15659</v>
      </c>
      <c r="AU805">
        <v>2017</v>
      </c>
      <c r="AV805">
        <v>8</v>
      </c>
      <c r="AW805" t="s">
        <v>74</v>
      </c>
      <c r="AX805" t="s">
        <v>74</v>
      </c>
      <c r="AY805" t="s">
        <v>74</v>
      </c>
      <c r="AZ805" t="s">
        <v>74</v>
      </c>
      <c r="BA805" t="s">
        <v>74</v>
      </c>
      <c r="BB805" t="s">
        <v>74</v>
      </c>
      <c r="BC805" t="s">
        <v>74</v>
      </c>
      <c r="BD805">
        <v>1588</v>
      </c>
      <c r="BE805" t="s">
        <v>15729</v>
      </c>
      <c r="BF805" t="str">
        <f>HYPERLINK("http://dx.doi.org/10.1038/s41467-017-01577-2","http://dx.doi.org/10.1038/s41467-017-01577-2")</f>
        <v>http://dx.doi.org/10.1038/s41467-017-01577-2</v>
      </c>
      <c r="BG805" t="s">
        <v>74</v>
      </c>
      <c r="BH805" t="s">
        <v>74</v>
      </c>
      <c r="BI805">
        <v>11</v>
      </c>
      <c r="BJ805" t="s">
        <v>129</v>
      </c>
      <c r="BK805" t="s">
        <v>101</v>
      </c>
      <c r="BL805" t="s">
        <v>130</v>
      </c>
      <c r="BM805" t="s">
        <v>15730</v>
      </c>
      <c r="BN805">
        <v>29150611</v>
      </c>
      <c r="BO805" t="s">
        <v>681</v>
      </c>
      <c r="BP805" t="s">
        <v>74</v>
      </c>
      <c r="BQ805" t="s">
        <v>74</v>
      </c>
      <c r="BR805" t="s">
        <v>105</v>
      </c>
      <c r="BS805" t="s">
        <v>15731</v>
      </c>
      <c r="BT805" t="str">
        <f>HYPERLINK("https%3A%2F%2Fwww.webofscience.com%2Fwos%2Fwoscc%2Ffull-record%2FWOS:000415649500001","View Full Record in Web of Science")</f>
        <v>View Full Record in Web of Science</v>
      </c>
    </row>
    <row r="806" spans="1:72" x14ac:dyDescent="0.15">
      <c r="A806" t="s">
        <v>72</v>
      </c>
      <c r="B806" t="s">
        <v>15732</v>
      </c>
      <c r="C806" t="s">
        <v>74</v>
      </c>
      <c r="D806" t="s">
        <v>74</v>
      </c>
      <c r="E806" t="s">
        <v>74</v>
      </c>
      <c r="F806" t="s">
        <v>15733</v>
      </c>
      <c r="G806" t="s">
        <v>74</v>
      </c>
      <c r="H806" t="s">
        <v>74</v>
      </c>
      <c r="I806" t="s">
        <v>15734</v>
      </c>
      <c r="J806" t="s">
        <v>411</v>
      </c>
      <c r="K806" t="s">
        <v>74</v>
      </c>
      <c r="L806" t="s">
        <v>74</v>
      </c>
      <c r="M806" t="s">
        <v>78</v>
      </c>
      <c r="N806" t="s">
        <v>79</v>
      </c>
      <c r="O806" t="s">
        <v>74</v>
      </c>
      <c r="P806" t="s">
        <v>74</v>
      </c>
      <c r="Q806" t="s">
        <v>74</v>
      </c>
      <c r="R806" t="s">
        <v>74</v>
      </c>
      <c r="S806" t="s">
        <v>74</v>
      </c>
      <c r="T806" t="s">
        <v>15735</v>
      </c>
      <c r="U806" t="s">
        <v>15736</v>
      </c>
      <c r="V806" t="s">
        <v>15737</v>
      </c>
      <c r="W806" t="s">
        <v>15738</v>
      </c>
      <c r="X806" t="s">
        <v>15739</v>
      </c>
      <c r="Y806" t="s">
        <v>15740</v>
      </c>
      <c r="Z806" t="s">
        <v>15741</v>
      </c>
      <c r="AA806" t="s">
        <v>74</v>
      </c>
      <c r="AB806" t="s">
        <v>15742</v>
      </c>
      <c r="AC806" t="s">
        <v>15743</v>
      </c>
      <c r="AD806" t="s">
        <v>15744</v>
      </c>
      <c r="AE806" t="s">
        <v>15745</v>
      </c>
      <c r="AF806" t="s">
        <v>74</v>
      </c>
      <c r="AG806">
        <v>75</v>
      </c>
      <c r="AH806">
        <v>10</v>
      </c>
      <c r="AI806">
        <v>11</v>
      </c>
      <c r="AJ806">
        <v>0</v>
      </c>
      <c r="AK806">
        <v>3</v>
      </c>
      <c r="AL806" t="s">
        <v>271</v>
      </c>
      <c r="AM806" t="s">
        <v>272</v>
      </c>
      <c r="AN806" t="s">
        <v>273</v>
      </c>
      <c r="AO806" t="s">
        <v>424</v>
      </c>
      <c r="AP806" t="s">
        <v>425</v>
      </c>
      <c r="AQ806" t="s">
        <v>74</v>
      </c>
      <c r="AR806" t="s">
        <v>426</v>
      </c>
      <c r="AS806" t="s">
        <v>427</v>
      </c>
      <c r="AT806" t="s">
        <v>15746</v>
      </c>
      <c r="AU806">
        <v>2017</v>
      </c>
      <c r="AV806">
        <v>122</v>
      </c>
      <c r="AW806">
        <v>21</v>
      </c>
      <c r="AX806" t="s">
        <v>74</v>
      </c>
      <c r="AY806" t="s">
        <v>74</v>
      </c>
      <c r="AZ806" t="s">
        <v>74</v>
      </c>
      <c r="BA806" t="s">
        <v>74</v>
      </c>
      <c r="BB806">
        <v>11388</v>
      </c>
      <c r="BC806">
        <v>11404</v>
      </c>
      <c r="BD806" t="s">
        <v>74</v>
      </c>
      <c r="BE806" t="s">
        <v>15747</v>
      </c>
      <c r="BF806" t="str">
        <f>HYPERLINK("http://dx.doi.org/10.1002/2017JD026998","http://dx.doi.org/10.1002/2017JD026998")</f>
        <v>http://dx.doi.org/10.1002/2017JD026998</v>
      </c>
      <c r="BG806" t="s">
        <v>74</v>
      </c>
      <c r="BH806" t="s">
        <v>74</v>
      </c>
      <c r="BI806">
        <v>17</v>
      </c>
      <c r="BJ806" t="s">
        <v>430</v>
      </c>
      <c r="BK806" t="s">
        <v>101</v>
      </c>
      <c r="BL806" t="s">
        <v>430</v>
      </c>
      <c r="BM806" t="s">
        <v>15748</v>
      </c>
      <c r="BN806" t="s">
        <v>74</v>
      </c>
      <c r="BO806" t="s">
        <v>7891</v>
      </c>
      <c r="BP806" t="s">
        <v>74</v>
      </c>
      <c r="BQ806" t="s">
        <v>74</v>
      </c>
      <c r="BR806" t="s">
        <v>105</v>
      </c>
      <c r="BS806" t="s">
        <v>15749</v>
      </c>
      <c r="BT806" t="str">
        <f>HYPERLINK("https%3A%2F%2Fwww.webofscience.com%2Fwos%2Fwoscc%2Ffull-record%2FWOS:000417195500020","View Full Record in Web of Science")</f>
        <v>View Full Record in Web of Science</v>
      </c>
    </row>
    <row r="807" spans="1:72" x14ac:dyDescent="0.15">
      <c r="A807" t="s">
        <v>72</v>
      </c>
      <c r="B807" t="s">
        <v>15750</v>
      </c>
      <c r="C807" t="s">
        <v>74</v>
      </c>
      <c r="D807" t="s">
        <v>74</v>
      </c>
      <c r="E807" t="s">
        <v>74</v>
      </c>
      <c r="F807" t="s">
        <v>15751</v>
      </c>
      <c r="G807" t="s">
        <v>74</v>
      </c>
      <c r="H807" t="s">
        <v>74</v>
      </c>
      <c r="I807" t="s">
        <v>15752</v>
      </c>
      <c r="J807" t="s">
        <v>411</v>
      </c>
      <c r="K807" t="s">
        <v>74</v>
      </c>
      <c r="L807" t="s">
        <v>74</v>
      </c>
      <c r="M807" t="s">
        <v>78</v>
      </c>
      <c r="N807" t="s">
        <v>79</v>
      </c>
      <c r="O807" t="s">
        <v>74</v>
      </c>
      <c r="P807" t="s">
        <v>74</v>
      </c>
      <c r="Q807" t="s">
        <v>74</v>
      </c>
      <c r="R807" t="s">
        <v>74</v>
      </c>
      <c r="S807" t="s">
        <v>74</v>
      </c>
      <c r="T807" t="s">
        <v>15753</v>
      </c>
      <c r="U807" t="s">
        <v>15754</v>
      </c>
      <c r="V807" t="s">
        <v>15755</v>
      </c>
      <c r="W807" t="s">
        <v>15756</v>
      </c>
      <c r="X807" t="s">
        <v>15757</v>
      </c>
      <c r="Y807" t="s">
        <v>15758</v>
      </c>
      <c r="Z807" t="s">
        <v>15759</v>
      </c>
      <c r="AA807" t="s">
        <v>15760</v>
      </c>
      <c r="AB807" t="s">
        <v>15761</v>
      </c>
      <c r="AC807" t="s">
        <v>15762</v>
      </c>
      <c r="AD807" t="s">
        <v>15763</v>
      </c>
      <c r="AE807" t="s">
        <v>15764</v>
      </c>
      <c r="AF807" t="s">
        <v>74</v>
      </c>
      <c r="AG807">
        <v>62</v>
      </c>
      <c r="AH807">
        <v>30</v>
      </c>
      <c r="AI807">
        <v>31</v>
      </c>
      <c r="AJ807">
        <v>1</v>
      </c>
      <c r="AK807">
        <v>10</v>
      </c>
      <c r="AL807" t="s">
        <v>271</v>
      </c>
      <c r="AM807" t="s">
        <v>272</v>
      </c>
      <c r="AN807" t="s">
        <v>273</v>
      </c>
      <c r="AO807" t="s">
        <v>424</v>
      </c>
      <c r="AP807" t="s">
        <v>425</v>
      </c>
      <c r="AQ807" t="s">
        <v>74</v>
      </c>
      <c r="AR807" t="s">
        <v>426</v>
      </c>
      <c r="AS807" t="s">
        <v>427</v>
      </c>
      <c r="AT807" t="s">
        <v>15746</v>
      </c>
      <c r="AU807">
        <v>2017</v>
      </c>
      <c r="AV807">
        <v>122</v>
      </c>
      <c r="AW807">
        <v>21</v>
      </c>
      <c r="AX807" t="s">
        <v>74</v>
      </c>
      <c r="AY807" t="s">
        <v>74</v>
      </c>
      <c r="AZ807" t="s">
        <v>74</v>
      </c>
      <c r="BA807" t="s">
        <v>74</v>
      </c>
      <c r="BB807">
        <v>11422</v>
      </c>
      <c r="BC807">
        <v>11443</v>
      </c>
      <c r="BD807" t="s">
        <v>74</v>
      </c>
      <c r="BE807" t="s">
        <v>15765</v>
      </c>
      <c r="BF807" t="str">
        <f>HYPERLINK("http://dx.doi.org/10.1002/2017JD027371","http://dx.doi.org/10.1002/2017JD027371")</f>
        <v>http://dx.doi.org/10.1002/2017JD027371</v>
      </c>
      <c r="BG807" t="s">
        <v>74</v>
      </c>
      <c r="BH807" t="s">
        <v>74</v>
      </c>
      <c r="BI807">
        <v>22</v>
      </c>
      <c r="BJ807" t="s">
        <v>430</v>
      </c>
      <c r="BK807" t="s">
        <v>101</v>
      </c>
      <c r="BL807" t="s">
        <v>430</v>
      </c>
      <c r="BM807" t="s">
        <v>15748</v>
      </c>
      <c r="BN807" t="s">
        <v>74</v>
      </c>
      <c r="BO807" t="s">
        <v>15766</v>
      </c>
      <c r="BP807" t="s">
        <v>74</v>
      </c>
      <c r="BQ807" t="s">
        <v>74</v>
      </c>
      <c r="BR807" t="s">
        <v>105</v>
      </c>
      <c r="BS807" t="s">
        <v>15767</v>
      </c>
      <c r="BT807" t="str">
        <f>HYPERLINK("https%3A%2F%2Fwww.webofscience.com%2Fwos%2Fwoscc%2Ffull-record%2FWOS:000417195500011","View Full Record in Web of Science")</f>
        <v>View Full Record in Web of Science</v>
      </c>
    </row>
    <row r="808" spans="1:72" x14ac:dyDescent="0.15">
      <c r="A808" t="s">
        <v>72</v>
      </c>
      <c r="B808" t="s">
        <v>15768</v>
      </c>
      <c r="C808" t="s">
        <v>74</v>
      </c>
      <c r="D808" t="s">
        <v>74</v>
      </c>
      <c r="E808" t="s">
        <v>74</v>
      </c>
      <c r="F808" t="s">
        <v>15769</v>
      </c>
      <c r="G808" t="s">
        <v>74</v>
      </c>
      <c r="H808" t="s">
        <v>74</v>
      </c>
      <c r="I808" t="s">
        <v>15770</v>
      </c>
      <c r="J808" t="s">
        <v>411</v>
      </c>
      <c r="K808" t="s">
        <v>74</v>
      </c>
      <c r="L808" t="s">
        <v>74</v>
      </c>
      <c r="M808" t="s">
        <v>78</v>
      </c>
      <c r="N808" t="s">
        <v>79</v>
      </c>
      <c r="O808" t="s">
        <v>74</v>
      </c>
      <c r="P808" t="s">
        <v>74</v>
      </c>
      <c r="Q808" t="s">
        <v>74</v>
      </c>
      <c r="R808" t="s">
        <v>74</v>
      </c>
      <c r="S808" t="s">
        <v>74</v>
      </c>
      <c r="T808" t="s">
        <v>15771</v>
      </c>
      <c r="U808" t="s">
        <v>15772</v>
      </c>
      <c r="V808" t="s">
        <v>15773</v>
      </c>
      <c r="W808" t="s">
        <v>15774</v>
      </c>
      <c r="X808" t="s">
        <v>15775</v>
      </c>
      <c r="Y808" t="s">
        <v>15776</v>
      </c>
      <c r="Z808" t="s">
        <v>15777</v>
      </c>
      <c r="AA808" t="s">
        <v>15778</v>
      </c>
      <c r="AB808" t="s">
        <v>15779</v>
      </c>
      <c r="AC808" t="s">
        <v>15780</v>
      </c>
      <c r="AD808" t="s">
        <v>15781</v>
      </c>
      <c r="AE808" t="s">
        <v>15782</v>
      </c>
      <c r="AF808" t="s">
        <v>74</v>
      </c>
      <c r="AG808">
        <v>58</v>
      </c>
      <c r="AH808">
        <v>34</v>
      </c>
      <c r="AI808">
        <v>37</v>
      </c>
      <c r="AJ808">
        <v>2</v>
      </c>
      <c r="AK808">
        <v>33</v>
      </c>
      <c r="AL808" t="s">
        <v>271</v>
      </c>
      <c r="AM808" t="s">
        <v>272</v>
      </c>
      <c r="AN808" t="s">
        <v>273</v>
      </c>
      <c r="AO808" t="s">
        <v>424</v>
      </c>
      <c r="AP808" t="s">
        <v>425</v>
      </c>
      <c r="AQ808" t="s">
        <v>74</v>
      </c>
      <c r="AR808" t="s">
        <v>426</v>
      </c>
      <c r="AS808" t="s">
        <v>427</v>
      </c>
      <c r="AT808" t="s">
        <v>15746</v>
      </c>
      <c r="AU808">
        <v>2017</v>
      </c>
      <c r="AV808">
        <v>122</v>
      </c>
      <c r="AW808">
        <v>21</v>
      </c>
      <c r="AX808" t="s">
        <v>74</v>
      </c>
      <c r="AY808" t="s">
        <v>74</v>
      </c>
      <c r="AZ808" t="s">
        <v>74</v>
      </c>
      <c r="BA808" t="s">
        <v>74</v>
      </c>
      <c r="BB808">
        <v>11862</v>
      </c>
      <c r="BC808">
        <v>11879</v>
      </c>
      <c r="BD808" t="s">
        <v>74</v>
      </c>
      <c r="BE808" t="s">
        <v>15783</v>
      </c>
      <c r="BF808" t="str">
        <f>HYPERLINK("http://dx.doi.org/10.1002/2017JD026987","http://dx.doi.org/10.1002/2017JD026987")</f>
        <v>http://dx.doi.org/10.1002/2017JD026987</v>
      </c>
      <c r="BG808" t="s">
        <v>74</v>
      </c>
      <c r="BH808" t="s">
        <v>74</v>
      </c>
      <c r="BI808">
        <v>18</v>
      </c>
      <c r="BJ808" t="s">
        <v>430</v>
      </c>
      <c r="BK808" t="s">
        <v>101</v>
      </c>
      <c r="BL808" t="s">
        <v>430</v>
      </c>
      <c r="BM808" t="s">
        <v>15748</v>
      </c>
      <c r="BN808" t="s">
        <v>74</v>
      </c>
      <c r="BO808" t="s">
        <v>15784</v>
      </c>
      <c r="BP808" t="s">
        <v>74</v>
      </c>
      <c r="BQ808" t="s">
        <v>74</v>
      </c>
      <c r="BR808" t="s">
        <v>105</v>
      </c>
      <c r="BS808" t="s">
        <v>15785</v>
      </c>
      <c r="BT808" t="str">
        <f>HYPERLINK("https%3A%2F%2Fwww.webofscience.com%2Fwos%2Fwoscc%2Ffull-record%2FWOS:000417195500017","View Full Record in Web of Science")</f>
        <v>View Full Record in Web of Science</v>
      </c>
    </row>
    <row r="809" spans="1:72" x14ac:dyDescent="0.15">
      <c r="A809" t="s">
        <v>72</v>
      </c>
      <c r="B809" t="s">
        <v>15786</v>
      </c>
      <c r="C809" t="s">
        <v>74</v>
      </c>
      <c r="D809" t="s">
        <v>74</v>
      </c>
      <c r="E809" t="s">
        <v>74</v>
      </c>
      <c r="F809" t="s">
        <v>15787</v>
      </c>
      <c r="G809" t="s">
        <v>74</v>
      </c>
      <c r="H809" t="s">
        <v>74</v>
      </c>
      <c r="I809" t="s">
        <v>15788</v>
      </c>
      <c r="J809" t="s">
        <v>411</v>
      </c>
      <c r="K809" t="s">
        <v>74</v>
      </c>
      <c r="L809" t="s">
        <v>74</v>
      </c>
      <c r="M809" t="s">
        <v>78</v>
      </c>
      <c r="N809" t="s">
        <v>79</v>
      </c>
      <c r="O809" t="s">
        <v>74</v>
      </c>
      <c r="P809" t="s">
        <v>74</v>
      </c>
      <c r="Q809" t="s">
        <v>74</v>
      </c>
      <c r="R809" t="s">
        <v>74</v>
      </c>
      <c r="S809" t="s">
        <v>74</v>
      </c>
      <c r="T809" t="s">
        <v>15789</v>
      </c>
      <c r="U809" t="s">
        <v>15790</v>
      </c>
      <c r="V809" t="s">
        <v>15791</v>
      </c>
      <c r="W809" t="s">
        <v>15792</v>
      </c>
      <c r="X809" t="s">
        <v>15793</v>
      </c>
      <c r="Y809" t="s">
        <v>15794</v>
      </c>
      <c r="Z809" t="s">
        <v>15795</v>
      </c>
      <c r="AA809" t="s">
        <v>74</v>
      </c>
      <c r="AB809" t="s">
        <v>15796</v>
      </c>
      <c r="AC809" t="s">
        <v>74</v>
      </c>
      <c r="AD809" t="s">
        <v>74</v>
      </c>
      <c r="AE809" t="s">
        <v>74</v>
      </c>
      <c r="AF809" t="s">
        <v>74</v>
      </c>
      <c r="AG809">
        <v>48</v>
      </c>
      <c r="AH809">
        <v>19</v>
      </c>
      <c r="AI809">
        <v>19</v>
      </c>
      <c r="AJ809">
        <v>1</v>
      </c>
      <c r="AK809">
        <v>30</v>
      </c>
      <c r="AL809" t="s">
        <v>271</v>
      </c>
      <c r="AM809" t="s">
        <v>272</v>
      </c>
      <c r="AN809" t="s">
        <v>273</v>
      </c>
      <c r="AO809" t="s">
        <v>424</v>
      </c>
      <c r="AP809" t="s">
        <v>425</v>
      </c>
      <c r="AQ809" t="s">
        <v>74</v>
      </c>
      <c r="AR809" t="s">
        <v>426</v>
      </c>
      <c r="AS809" t="s">
        <v>427</v>
      </c>
      <c r="AT809" t="s">
        <v>15746</v>
      </c>
      <c r="AU809">
        <v>2017</v>
      </c>
      <c r="AV809">
        <v>122</v>
      </c>
      <c r="AW809">
        <v>21</v>
      </c>
      <c r="AX809" t="s">
        <v>74</v>
      </c>
      <c r="AY809" t="s">
        <v>74</v>
      </c>
      <c r="AZ809" t="s">
        <v>74</v>
      </c>
      <c r="BA809" t="s">
        <v>74</v>
      </c>
      <c r="BB809">
        <v>11880</v>
      </c>
      <c r="BC809">
        <v>11899</v>
      </c>
      <c r="BD809" t="s">
        <v>74</v>
      </c>
      <c r="BE809" t="s">
        <v>15797</v>
      </c>
      <c r="BF809" t="str">
        <f>HYPERLINK("http://dx.doi.org/10.1002/2016JD025723","http://dx.doi.org/10.1002/2016JD025723")</f>
        <v>http://dx.doi.org/10.1002/2016JD025723</v>
      </c>
      <c r="BG809" t="s">
        <v>74</v>
      </c>
      <c r="BH809" t="s">
        <v>74</v>
      </c>
      <c r="BI809">
        <v>20</v>
      </c>
      <c r="BJ809" t="s">
        <v>430</v>
      </c>
      <c r="BK809" t="s">
        <v>101</v>
      </c>
      <c r="BL809" t="s">
        <v>430</v>
      </c>
      <c r="BM809" t="s">
        <v>15748</v>
      </c>
      <c r="BN809" t="s">
        <v>74</v>
      </c>
      <c r="BO809" t="s">
        <v>306</v>
      </c>
      <c r="BP809" t="s">
        <v>74</v>
      </c>
      <c r="BQ809" t="s">
        <v>74</v>
      </c>
      <c r="BR809" t="s">
        <v>105</v>
      </c>
      <c r="BS809" t="s">
        <v>15798</v>
      </c>
      <c r="BT809" t="str">
        <f>HYPERLINK("https%3A%2F%2Fwww.webofscience.com%2Fwos%2Fwoscc%2Ffull-record%2FWOS:000417195500019","View Full Record in Web of Science")</f>
        <v>View Full Record in Web of Science</v>
      </c>
    </row>
    <row r="810" spans="1:72" x14ac:dyDescent="0.15">
      <c r="A810" t="s">
        <v>72</v>
      </c>
      <c r="B810" t="s">
        <v>15799</v>
      </c>
      <c r="C810" t="s">
        <v>74</v>
      </c>
      <c r="D810" t="s">
        <v>74</v>
      </c>
      <c r="E810" t="s">
        <v>74</v>
      </c>
      <c r="F810" t="s">
        <v>15800</v>
      </c>
      <c r="G810" t="s">
        <v>74</v>
      </c>
      <c r="H810" t="s">
        <v>74</v>
      </c>
      <c r="I810" t="s">
        <v>15801</v>
      </c>
      <c r="J810" t="s">
        <v>411</v>
      </c>
      <c r="K810" t="s">
        <v>74</v>
      </c>
      <c r="L810" t="s">
        <v>74</v>
      </c>
      <c r="M810" t="s">
        <v>78</v>
      </c>
      <c r="N810" t="s">
        <v>79</v>
      </c>
      <c r="O810" t="s">
        <v>74</v>
      </c>
      <c r="P810" t="s">
        <v>74</v>
      </c>
      <c r="Q810" t="s">
        <v>74</v>
      </c>
      <c r="R810" t="s">
        <v>74</v>
      </c>
      <c r="S810" t="s">
        <v>74</v>
      </c>
      <c r="T810" t="s">
        <v>74</v>
      </c>
      <c r="U810" t="s">
        <v>15802</v>
      </c>
      <c r="V810" t="s">
        <v>15803</v>
      </c>
      <c r="W810" t="s">
        <v>15804</v>
      </c>
      <c r="X810" t="s">
        <v>15805</v>
      </c>
      <c r="Y810" t="s">
        <v>15806</v>
      </c>
      <c r="Z810" t="s">
        <v>15807</v>
      </c>
      <c r="AA810" t="s">
        <v>15808</v>
      </c>
      <c r="AB810" t="s">
        <v>15809</v>
      </c>
      <c r="AC810" t="s">
        <v>15810</v>
      </c>
      <c r="AD810" t="s">
        <v>15811</v>
      </c>
      <c r="AE810" t="s">
        <v>15812</v>
      </c>
      <c r="AF810" t="s">
        <v>74</v>
      </c>
      <c r="AG810">
        <v>61</v>
      </c>
      <c r="AH810">
        <v>15</v>
      </c>
      <c r="AI810">
        <v>15</v>
      </c>
      <c r="AJ810">
        <v>1</v>
      </c>
      <c r="AK810">
        <v>18</v>
      </c>
      <c r="AL810" t="s">
        <v>271</v>
      </c>
      <c r="AM810" t="s">
        <v>272</v>
      </c>
      <c r="AN810" t="s">
        <v>273</v>
      </c>
      <c r="AO810" t="s">
        <v>424</v>
      </c>
      <c r="AP810" t="s">
        <v>425</v>
      </c>
      <c r="AQ810" t="s">
        <v>74</v>
      </c>
      <c r="AR810" t="s">
        <v>426</v>
      </c>
      <c r="AS810" t="s">
        <v>427</v>
      </c>
      <c r="AT810" t="s">
        <v>15746</v>
      </c>
      <c r="AU810">
        <v>2017</v>
      </c>
      <c r="AV810">
        <v>122</v>
      </c>
      <c r="AW810">
        <v>21</v>
      </c>
      <c r="AX810" t="s">
        <v>74</v>
      </c>
      <c r="AY810" t="s">
        <v>74</v>
      </c>
      <c r="AZ810" t="s">
        <v>74</v>
      </c>
      <c r="BA810" t="s">
        <v>74</v>
      </c>
      <c r="BB810">
        <v>11900</v>
      </c>
      <c r="BC810">
        <v>11913</v>
      </c>
      <c r="BD810" t="s">
        <v>74</v>
      </c>
      <c r="BE810" t="s">
        <v>15813</v>
      </c>
      <c r="BF810" t="str">
        <f>HYPERLINK("http://dx.doi.org/10.1002/2017JD027325","http://dx.doi.org/10.1002/2017JD027325")</f>
        <v>http://dx.doi.org/10.1002/2017JD027325</v>
      </c>
      <c r="BG810" t="s">
        <v>74</v>
      </c>
      <c r="BH810" t="s">
        <v>74</v>
      </c>
      <c r="BI810">
        <v>14</v>
      </c>
      <c r="BJ810" t="s">
        <v>430</v>
      </c>
      <c r="BK810" t="s">
        <v>101</v>
      </c>
      <c r="BL810" t="s">
        <v>430</v>
      </c>
      <c r="BM810" t="s">
        <v>15748</v>
      </c>
      <c r="BN810" t="s">
        <v>74</v>
      </c>
      <c r="BO810" t="s">
        <v>354</v>
      </c>
      <c r="BP810" t="s">
        <v>74</v>
      </c>
      <c r="BQ810" t="s">
        <v>74</v>
      </c>
      <c r="BR810" t="s">
        <v>105</v>
      </c>
      <c r="BS810" t="s">
        <v>15814</v>
      </c>
      <c r="BT810" t="str">
        <f>HYPERLINK("https%3A%2F%2Fwww.webofscience.com%2Fwos%2Fwoscc%2Ffull-record%2FWOS:000417195500026","View Full Record in Web of Science")</f>
        <v>View Full Record in Web of Science</v>
      </c>
    </row>
    <row r="811" spans="1:72" x14ac:dyDescent="0.15">
      <c r="A811" t="s">
        <v>72</v>
      </c>
      <c r="B811" t="s">
        <v>15815</v>
      </c>
      <c r="C811" t="s">
        <v>74</v>
      </c>
      <c r="D811" t="s">
        <v>74</v>
      </c>
      <c r="E811" t="s">
        <v>74</v>
      </c>
      <c r="F811" t="s">
        <v>15816</v>
      </c>
      <c r="G811" t="s">
        <v>74</v>
      </c>
      <c r="H811" t="s">
        <v>74</v>
      </c>
      <c r="I811" t="s">
        <v>15817</v>
      </c>
      <c r="J811" t="s">
        <v>259</v>
      </c>
      <c r="K811" t="s">
        <v>74</v>
      </c>
      <c r="L811" t="s">
        <v>74</v>
      </c>
      <c r="M811" t="s">
        <v>78</v>
      </c>
      <c r="N811" t="s">
        <v>79</v>
      </c>
      <c r="O811" t="s">
        <v>74</v>
      </c>
      <c r="P811" t="s">
        <v>74</v>
      </c>
      <c r="Q811" t="s">
        <v>74</v>
      </c>
      <c r="R811" t="s">
        <v>74</v>
      </c>
      <c r="S811" t="s">
        <v>74</v>
      </c>
      <c r="T811" t="s">
        <v>74</v>
      </c>
      <c r="U811" t="s">
        <v>15818</v>
      </c>
      <c r="V811" t="s">
        <v>15819</v>
      </c>
      <c r="W811" t="s">
        <v>15820</v>
      </c>
      <c r="X811" t="s">
        <v>15821</v>
      </c>
      <c r="Y811" t="s">
        <v>15822</v>
      </c>
      <c r="Z811" t="s">
        <v>15823</v>
      </c>
      <c r="AA811" t="s">
        <v>15824</v>
      </c>
      <c r="AB811" t="s">
        <v>15825</v>
      </c>
      <c r="AC811" t="s">
        <v>15826</v>
      </c>
      <c r="AD811" t="s">
        <v>15827</v>
      </c>
      <c r="AE811" t="s">
        <v>15828</v>
      </c>
      <c r="AF811" t="s">
        <v>74</v>
      </c>
      <c r="AG811">
        <v>79</v>
      </c>
      <c r="AH811">
        <v>24</v>
      </c>
      <c r="AI811">
        <v>24</v>
      </c>
      <c r="AJ811">
        <v>0</v>
      </c>
      <c r="AK811">
        <v>10</v>
      </c>
      <c r="AL811" t="s">
        <v>271</v>
      </c>
      <c r="AM811" t="s">
        <v>272</v>
      </c>
      <c r="AN811" t="s">
        <v>273</v>
      </c>
      <c r="AO811" t="s">
        <v>274</v>
      </c>
      <c r="AP811" t="s">
        <v>275</v>
      </c>
      <c r="AQ811" t="s">
        <v>74</v>
      </c>
      <c r="AR811" t="s">
        <v>276</v>
      </c>
      <c r="AS811" t="s">
        <v>277</v>
      </c>
      <c r="AT811" t="s">
        <v>15746</v>
      </c>
      <c r="AU811">
        <v>2017</v>
      </c>
      <c r="AV811">
        <v>44</v>
      </c>
      <c r="AW811">
        <v>21</v>
      </c>
      <c r="AX811" t="s">
        <v>74</v>
      </c>
      <c r="AY811" t="s">
        <v>74</v>
      </c>
      <c r="AZ811" t="s">
        <v>74</v>
      </c>
      <c r="BA811" t="s">
        <v>74</v>
      </c>
      <c r="BB811">
        <v>11129</v>
      </c>
      <c r="BC811">
        <v>11139</v>
      </c>
      <c r="BD811" t="s">
        <v>74</v>
      </c>
      <c r="BE811" t="s">
        <v>15829</v>
      </c>
      <c r="BF811" t="str">
        <f>HYPERLINK("http://dx.doi.org/10.1002/2017GL074594","http://dx.doi.org/10.1002/2017GL074594")</f>
        <v>http://dx.doi.org/10.1002/2017GL074594</v>
      </c>
      <c r="BG811" t="s">
        <v>74</v>
      </c>
      <c r="BH811" t="s">
        <v>74</v>
      </c>
      <c r="BI811">
        <v>11</v>
      </c>
      <c r="BJ811" t="s">
        <v>280</v>
      </c>
      <c r="BK811" t="s">
        <v>101</v>
      </c>
      <c r="BL811" t="s">
        <v>281</v>
      </c>
      <c r="BM811" t="s">
        <v>15830</v>
      </c>
      <c r="BN811" t="s">
        <v>74</v>
      </c>
      <c r="BO811" t="s">
        <v>15831</v>
      </c>
      <c r="BP811" t="s">
        <v>74</v>
      </c>
      <c r="BQ811" t="s">
        <v>74</v>
      </c>
      <c r="BR811" t="s">
        <v>105</v>
      </c>
      <c r="BS811" t="s">
        <v>15832</v>
      </c>
      <c r="BT811" t="str">
        <f>HYPERLINK("https%3A%2F%2Fwww.webofscience.com%2Fwos%2Fwoscc%2Ffull-record%2FWOS:000418572900029","View Full Record in Web of Science")</f>
        <v>View Full Record in Web of Science</v>
      </c>
    </row>
    <row r="812" spans="1:72" x14ac:dyDescent="0.15">
      <c r="A812" t="s">
        <v>72</v>
      </c>
      <c r="B812" t="s">
        <v>15833</v>
      </c>
      <c r="C812" t="s">
        <v>74</v>
      </c>
      <c r="D812" t="s">
        <v>74</v>
      </c>
      <c r="E812" t="s">
        <v>74</v>
      </c>
      <c r="F812" t="s">
        <v>15834</v>
      </c>
      <c r="G812" t="s">
        <v>74</v>
      </c>
      <c r="H812" t="s">
        <v>74</v>
      </c>
      <c r="I812" t="s">
        <v>15835</v>
      </c>
      <c r="J812" t="s">
        <v>259</v>
      </c>
      <c r="K812" t="s">
        <v>74</v>
      </c>
      <c r="L812" t="s">
        <v>74</v>
      </c>
      <c r="M812" t="s">
        <v>78</v>
      </c>
      <c r="N812" t="s">
        <v>79</v>
      </c>
      <c r="O812" t="s">
        <v>74</v>
      </c>
      <c r="P812" t="s">
        <v>74</v>
      </c>
      <c r="Q812" t="s">
        <v>74</v>
      </c>
      <c r="R812" t="s">
        <v>74</v>
      </c>
      <c r="S812" t="s">
        <v>74</v>
      </c>
      <c r="T812" t="s">
        <v>74</v>
      </c>
      <c r="U812" t="s">
        <v>15836</v>
      </c>
      <c r="V812" t="s">
        <v>15837</v>
      </c>
      <c r="W812" t="s">
        <v>15838</v>
      </c>
      <c r="X812" t="s">
        <v>15839</v>
      </c>
      <c r="Y812" t="s">
        <v>15840</v>
      </c>
      <c r="Z812" t="s">
        <v>15841</v>
      </c>
      <c r="AA812" t="s">
        <v>15842</v>
      </c>
      <c r="AB812" t="s">
        <v>15843</v>
      </c>
      <c r="AC812" t="s">
        <v>15844</v>
      </c>
      <c r="AD812" t="s">
        <v>15845</v>
      </c>
      <c r="AE812" t="s">
        <v>15846</v>
      </c>
      <c r="AF812" t="s">
        <v>74</v>
      </c>
      <c r="AG812">
        <v>166</v>
      </c>
      <c r="AH812">
        <v>29</v>
      </c>
      <c r="AI812">
        <v>31</v>
      </c>
      <c r="AJ812">
        <v>3</v>
      </c>
      <c r="AK812">
        <v>29</v>
      </c>
      <c r="AL812" t="s">
        <v>271</v>
      </c>
      <c r="AM812" t="s">
        <v>272</v>
      </c>
      <c r="AN812" t="s">
        <v>273</v>
      </c>
      <c r="AO812" t="s">
        <v>274</v>
      </c>
      <c r="AP812" t="s">
        <v>275</v>
      </c>
      <c r="AQ812" t="s">
        <v>74</v>
      </c>
      <c r="AR812" t="s">
        <v>276</v>
      </c>
      <c r="AS812" t="s">
        <v>277</v>
      </c>
      <c r="AT812" t="s">
        <v>15746</v>
      </c>
      <c r="AU812">
        <v>2017</v>
      </c>
      <c r="AV812">
        <v>44</v>
      </c>
      <c r="AW812">
        <v>21</v>
      </c>
      <c r="AX812" t="s">
        <v>74</v>
      </c>
      <c r="AY812" t="s">
        <v>74</v>
      </c>
      <c r="AZ812" t="s">
        <v>74</v>
      </c>
      <c r="BA812" t="s">
        <v>74</v>
      </c>
      <c r="BB812">
        <v>11201</v>
      </c>
      <c r="BC812">
        <v>11211</v>
      </c>
      <c r="BD812" t="s">
        <v>74</v>
      </c>
      <c r="BE812" t="s">
        <v>15847</v>
      </c>
      <c r="BF812" t="str">
        <f>HYPERLINK("http://dx.doi.org/10.1002/2017GL075483","http://dx.doi.org/10.1002/2017GL075483")</f>
        <v>http://dx.doi.org/10.1002/2017GL075483</v>
      </c>
      <c r="BG812" t="s">
        <v>74</v>
      </c>
      <c r="BH812" t="s">
        <v>74</v>
      </c>
      <c r="BI812">
        <v>11</v>
      </c>
      <c r="BJ812" t="s">
        <v>280</v>
      </c>
      <c r="BK812" t="s">
        <v>101</v>
      </c>
      <c r="BL812" t="s">
        <v>281</v>
      </c>
      <c r="BM812" t="s">
        <v>15830</v>
      </c>
      <c r="BN812" t="s">
        <v>74</v>
      </c>
      <c r="BO812" t="s">
        <v>354</v>
      </c>
      <c r="BP812" t="s">
        <v>74</v>
      </c>
      <c r="BQ812" t="s">
        <v>74</v>
      </c>
      <c r="BR812" t="s">
        <v>105</v>
      </c>
      <c r="BS812" t="s">
        <v>15848</v>
      </c>
      <c r="BT812" t="str">
        <f>HYPERLINK("https%3A%2F%2Fwww.webofscience.com%2Fwos%2Fwoscc%2Ffull-record%2FWOS:000418572900028","View Full Record in Web of Science")</f>
        <v>View Full Record in Web of Science</v>
      </c>
    </row>
    <row r="813" spans="1:72" x14ac:dyDescent="0.15">
      <c r="A813" t="s">
        <v>72</v>
      </c>
      <c r="B813" t="s">
        <v>15849</v>
      </c>
      <c r="C813" t="s">
        <v>74</v>
      </c>
      <c r="D813" t="s">
        <v>74</v>
      </c>
      <c r="E813" t="s">
        <v>74</v>
      </c>
      <c r="F813" t="s">
        <v>15850</v>
      </c>
      <c r="G813" t="s">
        <v>74</v>
      </c>
      <c r="H813" t="s">
        <v>74</v>
      </c>
      <c r="I813" t="s">
        <v>15851</v>
      </c>
      <c r="J813" t="s">
        <v>499</v>
      </c>
      <c r="K813" t="s">
        <v>74</v>
      </c>
      <c r="L813" t="s">
        <v>74</v>
      </c>
      <c r="M813" t="s">
        <v>78</v>
      </c>
      <c r="N813" t="s">
        <v>79</v>
      </c>
      <c r="O813" t="s">
        <v>74</v>
      </c>
      <c r="P813" t="s">
        <v>74</v>
      </c>
      <c r="Q813" t="s">
        <v>74</v>
      </c>
      <c r="R813" t="s">
        <v>74</v>
      </c>
      <c r="S813" t="s">
        <v>74</v>
      </c>
      <c r="T813" t="s">
        <v>15852</v>
      </c>
      <c r="U813" t="s">
        <v>15853</v>
      </c>
      <c r="V813" t="s">
        <v>15854</v>
      </c>
      <c r="W813" t="s">
        <v>15855</v>
      </c>
      <c r="X813" t="s">
        <v>15856</v>
      </c>
      <c r="Y813" t="s">
        <v>15857</v>
      </c>
      <c r="Z813" t="s">
        <v>15858</v>
      </c>
      <c r="AA813" t="s">
        <v>15859</v>
      </c>
      <c r="AB813" t="s">
        <v>15860</v>
      </c>
      <c r="AC813" t="s">
        <v>15861</v>
      </c>
      <c r="AD813" t="s">
        <v>15862</v>
      </c>
      <c r="AE813" t="s">
        <v>15863</v>
      </c>
      <c r="AF813" t="s">
        <v>74</v>
      </c>
      <c r="AG813">
        <v>65</v>
      </c>
      <c r="AH813">
        <v>10</v>
      </c>
      <c r="AI813">
        <v>10</v>
      </c>
      <c r="AJ813">
        <v>0</v>
      </c>
      <c r="AK813">
        <v>14</v>
      </c>
      <c r="AL813" t="s">
        <v>512</v>
      </c>
      <c r="AM813" t="s">
        <v>513</v>
      </c>
      <c r="AN813" t="s">
        <v>514</v>
      </c>
      <c r="AO813" t="s">
        <v>515</v>
      </c>
      <c r="AP813" t="s">
        <v>516</v>
      </c>
      <c r="AQ813" t="s">
        <v>74</v>
      </c>
      <c r="AR813" t="s">
        <v>517</v>
      </c>
      <c r="AS813" t="s">
        <v>518</v>
      </c>
      <c r="AT813" t="s">
        <v>15746</v>
      </c>
      <c r="AU813">
        <v>2017</v>
      </c>
      <c r="AV813">
        <v>583</v>
      </c>
      <c r="AW813" t="s">
        <v>74</v>
      </c>
      <c r="AX813" t="s">
        <v>74</v>
      </c>
      <c r="AY813" t="s">
        <v>74</v>
      </c>
      <c r="AZ813" t="s">
        <v>74</v>
      </c>
      <c r="BA813" t="s">
        <v>74</v>
      </c>
      <c r="BB813">
        <v>95</v>
      </c>
      <c r="BC813">
        <v>106</v>
      </c>
      <c r="BD813" t="s">
        <v>74</v>
      </c>
      <c r="BE813" t="s">
        <v>15864</v>
      </c>
      <c r="BF813" t="str">
        <f>HYPERLINK("http://dx.doi.org/10.3354/meps12346","http://dx.doi.org/10.3354/meps12346")</f>
        <v>http://dx.doi.org/10.3354/meps12346</v>
      </c>
      <c r="BG813" t="s">
        <v>74</v>
      </c>
      <c r="BH813" t="s">
        <v>74</v>
      </c>
      <c r="BI813">
        <v>12</v>
      </c>
      <c r="BJ813" t="s">
        <v>521</v>
      </c>
      <c r="BK813" t="s">
        <v>101</v>
      </c>
      <c r="BL813" t="s">
        <v>522</v>
      </c>
      <c r="BM813" t="s">
        <v>15865</v>
      </c>
      <c r="BN813" t="s">
        <v>74</v>
      </c>
      <c r="BO813" t="s">
        <v>5547</v>
      </c>
      <c r="BP813" t="s">
        <v>74</v>
      </c>
      <c r="BQ813" t="s">
        <v>74</v>
      </c>
      <c r="BR813" t="s">
        <v>105</v>
      </c>
      <c r="BS813" t="s">
        <v>15866</v>
      </c>
      <c r="BT813" t="str">
        <f>HYPERLINK("https%3A%2F%2Fwww.webofscience.com%2Fwos%2Fwoscc%2Ffull-record%2FWOS:000418268200007","View Full Record in Web of Science")</f>
        <v>View Full Record in Web of Science</v>
      </c>
    </row>
    <row r="814" spans="1:72" x14ac:dyDescent="0.15">
      <c r="A814" t="s">
        <v>72</v>
      </c>
      <c r="B814" t="s">
        <v>15867</v>
      </c>
      <c r="C814" t="s">
        <v>74</v>
      </c>
      <c r="D814" t="s">
        <v>74</v>
      </c>
      <c r="E814" t="s">
        <v>74</v>
      </c>
      <c r="F814" t="s">
        <v>15868</v>
      </c>
      <c r="G814" t="s">
        <v>74</v>
      </c>
      <c r="H814" t="s">
        <v>74</v>
      </c>
      <c r="I814" t="s">
        <v>15869</v>
      </c>
      <c r="J814" t="s">
        <v>110</v>
      </c>
      <c r="K814" t="s">
        <v>74</v>
      </c>
      <c r="L814" t="s">
        <v>74</v>
      </c>
      <c r="M814" t="s">
        <v>78</v>
      </c>
      <c r="N814" t="s">
        <v>79</v>
      </c>
      <c r="O814" t="s">
        <v>74</v>
      </c>
      <c r="P814" t="s">
        <v>74</v>
      </c>
      <c r="Q814" t="s">
        <v>74</v>
      </c>
      <c r="R814" t="s">
        <v>74</v>
      </c>
      <c r="S814" t="s">
        <v>74</v>
      </c>
      <c r="T814" t="s">
        <v>74</v>
      </c>
      <c r="U814" t="s">
        <v>15870</v>
      </c>
      <c r="V814" t="s">
        <v>15871</v>
      </c>
      <c r="W814" t="s">
        <v>15872</v>
      </c>
      <c r="X814" t="s">
        <v>15873</v>
      </c>
      <c r="Y814" t="s">
        <v>15874</v>
      </c>
      <c r="Z814" t="s">
        <v>15875</v>
      </c>
      <c r="AA814" t="s">
        <v>15876</v>
      </c>
      <c r="AB814" t="s">
        <v>15877</v>
      </c>
      <c r="AC814" t="s">
        <v>15878</v>
      </c>
      <c r="AD814" t="s">
        <v>15879</v>
      </c>
      <c r="AE814" t="s">
        <v>15880</v>
      </c>
      <c r="AF814" t="s">
        <v>74</v>
      </c>
      <c r="AG814">
        <v>78</v>
      </c>
      <c r="AH814">
        <v>29</v>
      </c>
      <c r="AI814">
        <v>33</v>
      </c>
      <c r="AJ814">
        <v>2</v>
      </c>
      <c r="AK814">
        <v>48</v>
      </c>
      <c r="AL814" t="s">
        <v>122</v>
      </c>
      <c r="AM814" t="s">
        <v>123</v>
      </c>
      <c r="AN814" t="s">
        <v>124</v>
      </c>
      <c r="AO814" t="s">
        <v>125</v>
      </c>
      <c r="AP814" t="s">
        <v>74</v>
      </c>
      <c r="AQ814" t="s">
        <v>74</v>
      </c>
      <c r="AR814" t="s">
        <v>110</v>
      </c>
      <c r="AS814" t="s">
        <v>126</v>
      </c>
      <c r="AT814" t="s">
        <v>15746</v>
      </c>
      <c r="AU814">
        <v>2017</v>
      </c>
      <c r="AV814">
        <v>12</v>
      </c>
      <c r="AW814">
        <v>11</v>
      </c>
      <c r="AX814" t="s">
        <v>74</v>
      </c>
      <c r="AY814" t="s">
        <v>74</v>
      </c>
      <c r="AZ814" t="s">
        <v>74</v>
      </c>
      <c r="BA814" t="s">
        <v>74</v>
      </c>
      <c r="BB814" t="s">
        <v>74</v>
      </c>
      <c r="BC814" t="s">
        <v>74</v>
      </c>
      <c r="BD814" t="s">
        <v>15881</v>
      </c>
      <c r="BE814" t="s">
        <v>15882</v>
      </c>
      <c r="BF814" t="str">
        <f>HYPERLINK("http://dx.doi.org/10.1371/journal.pone.0186934","http://dx.doi.org/10.1371/journal.pone.0186934")</f>
        <v>http://dx.doi.org/10.1371/journal.pone.0186934</v>
      </c>
      <c r="BG814" t="s">
        <v>74</v>
      </c>
      <c r="BH814" t="s">
        <v>74</v>
      </c>
      <c r="BI814">
        <v>18</v>
      </c>
      <c r="BJ814" t="s">
        <v>129</v>
      </c>
      <c r="BK814" t="s">
        <v>101</v>
      </c>
      <c r="BL814" t="s">
        <v>130</v>
      </c>
      <c r="BM814" t="s">
        <v>15883</v>
      </c>
      <c r="BN814">
        <v>29145486</v>
      </c>
      <c r="BO814" t="s">
        <v>15884</v>
      </c>
      <c r="BP814" t="s">
        <v>74</v>
      </c>
      <c r="BQ814" t="s">
        <v>74</v>
      </c>
      <c r="BR814" t="s">
        <v>105</v>
      </c>
      <c r="BS814" t="s">
        <v>15885</v>
      </c>
      <c r="BT814" t="str">
        <f>HYPERLINK("https%3A%2F%2Fwww.webofscience.com%2Fwos%2Fwoscc%2Ffull-record%2FWOS:000415378800006","View Full Record in Web of Science")</f>
        <v>View Full Record in Web of Science</v>
      </c>
    </row>
    <row r="815" spans="1:72" x14ac:dyDescent="0.15">
      <c r="A815" t="s">
        <v>72</v>
      </c>
      <c r="B815" t="s">
        <v>15886</v>
      </c>
      <c r="C815" t="s">
        <v>74</v>
      </c>
      <c r="D815" t="s">
        <v>74</v>
      </c>
      <c r="E815" t="s">
        <v>74</v>
      </c>
      <c r="F815" t="s">
        <v>15887</v>
      </c>
      <c r="G815" t="s">
        <v>74</v>
      </c>
      <c r="H815" t="s">
        <v>74</v>
      </c>
      <c r="I815" t="s">
        <v>15888</v>
      </c>
      <c r="J815" t="s">
        <v>259</v>
      </c>
      <c r="K815" t="s">
        <v>74</v>
      </c>
      <c r="L815" t="s">
        <v>74</v>
      </c>
      <c r="M815" t="s">
        <v>78</v>
      </c>
      <c r="N815" t="s">
        <v>79</v>
      </c>
      <c r="O815" t="s">
        <v>74</v>
      </c>
      <c r="P815" t="s">
        <v>74</v>
      </c>
      <c r="Q815" t="s">
        <v>74</v>
      </c>
      <c r="R815" t="s">
        <v>74</v>
      </c>
      <c r="S815" t="s">
        <v>74</v>
      </c>
      <c r="T815" t="s">
        <v>74</v>
      </c>
      <c r="U815" t="s">
        <v>15889</v>
      </c>
      <c r="V815" t="s">
        <v>15890</v>
      </c>
      <c r="W815" t="s">
        <v>15891</v>
      </c>
      <c r="X815" t="s">
        <v>15892</v>
      </c>
      <c r="Y815" t="s">
        <v>15893</v>
      </c>
      <c r="Z815" t="s">
        <v>15894</v>
      </c>
      <c r="AA815" t="s">
        <v>15895</v>
      </c>
      <c r="AB815" t="s">
        <v>15896</v>
      </c>
      <c r="AC815" t="s">
        <v>15897</v>
      </c>
      <c r="AD815" t="s">
        <v>15898</v>
      </c>
      <c r="AE815" t="s">
        <v>15899</v>
      </c>
      <c r="AF815" t="s">
        <v>74</v>
      </c>
      <c r="AG815">
        <v>69</v>
      </c>
      <c r="AH815">
        <v>481</v>
      </c>
      <c r="AI815">
        <v>546</v>
      </c>
      <c r="AJ815">
        <v>9</v>
      </c>
      <c r="AK815">
        <v>80</v>
      </c>
      <c r="AL815" t="s">
        <v>271</v>
      </c>
      <c r="AM815" t="s">
        <v>272</v>
      </c>
      <c r="AN815" t="s">
        <v>273</v>
      </c>
      <c r="AO815" t="s">
        <v>274</v>
      </c>
      <c r="AP815" t="s">
        <v>275</v>
      </c>
      <c r="AQ815" t="s">
        <v>74</v>
      </c>
      <c r="AR815" t="s">
        <v>276</v>
      </c>
      <c r="AS815" t="s">
        <v>277</v>
      </c>
      <c r="AT815" t="s">
        <v>15746</v>
      </c>
      <c r="AU815">
        <v>2017</v>
      </c>
      <c r="AV815">
        <v>44</v>
      </c>
      <c r="AW815">
        <v>21</v>
      </c>
      <c r="AX815" t="s">
        <v>74</v>
      </c>
      <c r="AY815" t="s">
        <v>74</v>
      </c>
      <c r="AZ815" t="s">
        <v>74</v>
      </c>
      <c r="BA815" t="s">
        <v>74</v>
      </c>
      <c r="BB815">
        <v>11051</v>
      </c>
      <c r="BC815">
        <v>11061</v>
      </c>
      <c r="BD815" t="s">
        <v>74</v>
      </c>
      <c r="BE815" t="s">
        <v>15900</v>
      </c>
      <c r="BF815" t="str">
        <f>HYPERLINK("http://dx.doi.org/10.1002/2017GL074954","http://dx.doi.org/10.1002/2017GL074954")</f>
        <v>http://dx.doi.org/10.1002/2017GL074954</v>
      </c>
      <c r="BG815" t="s">
        <v>74</v>
      </c>
      <c r="BH815" t="s">
        <v>74</v>
      </c>
      <c r="BI815">
        <v>11</v>
      </c>
      <c r="BJ815" t="s">
        <v>280</v>
      </c>
      <c r="BK815" t="s">
        <v>101</v>
      </c>
      <c r="BL815" t="s">
        <v>281</v>
      </c>
      <c r="BM815" t="s">
        <v>15830</v>
      </c>
      <c r="BN815">
        <v>29263561</v>
      </c>
      <c r="BO815" t="s">
        <v>4418</v>
      </c>
      <c r="BP815" t="s">
        <v>4700</v>
      </c>
      <c r="BQ815" t="s">
        <v>4701</v>
      </c>
      <c r="BR815" t="s">
        <v>105</v>
      </c>
      <c r="BS815" t="s">
        <v>15901</v>
      </c>
      <c r="BT815" t="str">
        <f>HYPERLINK("https%3A%2F%2Fwww.webofscience.com%2Fwos%2Fwoscc%2Ffull-record%2FWOS:000418572900041","View Full Record in Web of Science")</f>
        <v>View Full Record in Web of Science</v>
      </c>
    </row>
    <row r="816" spans="1:72" x14ac:dyDescent="0.15">
      <c r="A816" t="s">
        <v>72</v>
      </c>
      <c r="B816" t="s">
        <v>15902</v>
      </c>
      <c r="C816" t="s">
        <v>74</v>
      </c>
      <c r="D816" t="s">
        <v>74</v>
      </c>
      <c r="E816" t="s">
        <v>74</v>
      </c>
      <c r="F816" t="s">
        <v>15903</v>
      </c>
      <c r="G816" t="s">
        <v>74</v>
      </c>
      <c r="H816" t="s">
        <v>74</v>
      </c>
      <c r="I816" t="s">
        <v>15904</v>
      </c>
      <c r="J816" t="s">
        <v>259</v>
      </c>
      <c r="K816" t="s">
        <v>74</v>
      </c>
      <c r="L816" t="s">
        <v>74</v>
      </c>
      <c r="M816" t="s">
        <v>78</v>
      </c>
      <c r="N816" t="s">
        <v>79</v>
      </c>
      <c r="O816" t="s">
        <v>74</v>
      </c>
      <c r="P816" t="s">
        <v>74</v>
      </c>
      <c r="Q816" t="s">
        <v>74</v>
      </c>
      <c r="R816" t="s">
        <v>74</v>
      </c>
      <c r="S816" t="s">
        <v>74</v>
      </c>
      <c r="T816" t="s">
        <v>15905</v>
      </c>
      <c r="U816" t="s">
        <v>15906</v>
      </c>
      <c r="V816" t="s">
        <v>15907</v>
      </c>
      <c r="W816" t="s">
        <v>15908</v>
      </c>
      <c r="X816" t="s">
        <v>15909</v>
      </c>
      <c r="Y816" t="s">
        <v>15910</v>
      </c>
      <c r="Z816" t="s">
        <v>15911</v>
      </c>
      <c r="AA816" t="s">
        <v>15912</v>
      </c>
      <c r="AB816" t="s">
        <v>15913</v>
      </c>
      <c r="AC816" t="s">
        <v>15914</v>
      </c>
      <c r="AD816" t="s">
        <v>15915</v>
      </c>
      <c r="AE816" t="s">
        <v>15916</v>
      </c>
      <c r="AF816" t="s">
        <v>74</v>
      </c>
      <c r="AG816">
        <v>30</v>
      </c>
      <c r="AH816">
        <v>24</v>
      </c>
      <c r="AI816">
        <v>26</v>
      </c>
      <c r="AJ816">
        <v>2</v>
      </c>
      <c r="AK816">
        <v>23</v>
      </c>
      <c r="AL816" t="s">
        <v>271</v>
      </c>
      <c r="AM816" t="s">
        <v>272</v>
      </c>
      <c r="AN816" t="s">
        <v>273</v>
      </c>
      <c r="AO816" t="s">
        <v>274</v>
      </c>
      <c r="AP816" t="s">
        <v>275</v>
      </c>
      <c r="AQ816" t="s">
        <v>74</v>
      </c>
      <c r="AR816" t="s">
        <v>276</v>
      </c>
      <c r="AS816" t="s">
        <v>277</v>
      </c>
      <c r="AT816" t="s">
        <v>15746</v>
      </c>
      <c r="AU816">
        <v>2017</v>
      </c>
      <c r="AV816">
        <v>44</v>
      </c>
      <c r="AW816">
        <v>21</v>
      </c>
      <c r="AX816" t="s">
        <v>74</v>
      </c>
      <c r="AY816" t="s">
        <v>74</v>
      </c>
      <c r="AZ816" t="s">
        <v>74</v>
      </c>
      <c r="BA816" t="s">
        <v>74</v>
      </c>
      <c r="BB816">
        <v>11062</v>
      </c>
      <c r="BC816">
        <v>11070</v>
      </c>
      <c r="BD816" t="s">
        <v>74</v>
      </c>
      <c r="BE816" t="s">
        <v>15917</v>
      </c>
      <c r="BF816" t="str">
        <f>HYPERLINK("http://dx.doi.org/10.1002/2017GL075618","http://dx.doi.org/10.1002/2017GL075618")</f>
        <v>http://dx.doi.org/10.1002/2017GL075618</v>
      </c>
      <c r="BG816" t="s">
        <v>74</v>
      </c>
      <c r="BH816" t="s">
        <v>74</v>
      </c>
      <c r="BI816">
        <v>9</v>
      </c>
      <c r="BJ816" t="s">
        <v>280</v>
      </c>
      <c r="BK816" t="s">
        <v>101</v>
      </c>
      <c r="BL816" t="s">
        <v>281</v>
      </c>
      <c r="BM816" t="s">
        <v>15830</v>
      </c>
      <c r="BN816" t="s">
        <v>74</v>
      </c>
      <c r="BO816" t="s">
        <v>306</v>
      </c>
      <c r="BP816" t="s">
        <v>74</v>
      </c>
      <c r="BQ816" t="s">
        <v>74</v>
      </c>
      <c r="BR816" t="s">
        <v>105</v>
      </c>
      <c r="BS816" t="s">
        <v>15918</v>
      </c>
      <c r="BT816" t="str">
        <f>HYPERLINK("https%3A%2F%2Fwww.webofscience.com%2Fwos%2Fwoscc%2Ffull-record%2FWOS:000418572900035","View Full Record in Web of Science")</f>
        <v>View Full Record in Web of Science</v>
      </c>
    </row>
    <row r="817" spans="1:72" x14ac:dyDescent="0.15">
      <c r="A817" t="s">
        <v>72</v>
      </c>
      <c r="B817" t="s">
        <v>15919</v>
      </c>
      <c r="C817" t="s">
        <v>74</v>
      </c>
      <c r="D817" t="s">
        <v>74</v>
      </c>
      <c r="E817" t="s">
        <v>74</v>
      </c>
      <c r="F817" t="s">
        <v>15920</v>
      </c>
      <c r="G817" t="s">
        <v>74</v>
      </c>
      <c r="H817" t="s">
        <v>74</v>
      </c>
      <c r="I817" t="s">
        <v>15921</v>
      </c>
      <c r="J817" t="s">
        <v>499</v>
      </c>
      <c r="K817" t="s">
        <v>74</v>
      </c>
      <c r="L817" t="s">
        <v>74</v>
      </c>
      <c r="M817" t="s">
        <v>78</v>
      </c>
      <c r="N817" t="s">
        <v>79</v>
      </c>
      <c r="O817" t="s">
        <v>74</v>
      </c>
      <c r="P817" t="s">
        <v>74</v>
      </c>
      <c r="Q817" t="s">
        <v>74</v>
      </c>
      <c r="R817" t="s">
        <v>74</v>
      </c>
      <c r="S817" t="s">
        <v>74</v>
      </c>
      <c r="T817" t="s">
        <v>15922</v>
      </c>
      <c r="U817" t="s">
        <v>15923</v>
      </c>
      <c r="V817" t="s">
        <v>15924</v>
      </c>
      <c r="W817" t="s">
        <v>15925</v>
      </c>
      <c r="X817" t="s">
        <v>15926</v>
      </c>
      <c r="Y817" t="s">
        <v>15927</v>
      </c>
      <c r="Z817" t="s">
        <v>15928</v>
      </c>
      <c r="AA817" t="s">
        <v>15929</v>
      </c>
      <c r="AB817" t="s">
        <v>74</v>
      </c>
      <c r="AC817" t="s">
        <v>15930</v>
      </c>
      <c r="AD817" t="s">
        <v>9072</v>
      </c>
      <c r="AE817" t="s">
        <v>15931</v>
      </c>
      <c r="AF817" t="s">
        <v>74</v>
      </c>
      <c r="AG817">
        <v>62</v>
      </c>
      <c r="AH817">
        <v>37</v>
      </c>
      <c r="AI817">
        <v>40</v>
      </c>
      <c r="AJ817">
        <v>1</v>
      </c>
      <c r="AK817">
        <v>18</v>
      </c>
      <c r="AL817" t="s">
        <v>512</v>
      </c>
      <c r="AM817" t="s">
        <v>513</v>
      </c>
      <c r="AN817" t="s">
        <v>514</v>
      </c>
      <c r="AO817" t="s">
        <v>515</v>
      </c>
      <c r="AP817" t="s">
        <v>516</v>
      </c>
      <c r="AQ817" t="s">
        <v>74</v>
      </c>
      <c r="AR817" t="s">
        <v>517</v>
      </c>
      <c r="AS817" t="s">
        <v>518</v>
      </c>
      <c r="AT817" t="s">
        <v>15746</v>
      </c>
      <c r="AU817">
        <v>2017</v>
      </c>
      <c r="AV817">
        <v>583</v>
      </c>
      <c r="AW817" t="s">
        <v>74</v>
      </c>
      <c r="AX817" t="s">
        <v>74</v>
      </c>
      <c r="AY817" t="s">
        <v>74</v>
      </c>
      <c r="AZ817" t="s">
        <v>74</v>
      </c>
      <c r="BA817" t="s">
        <v>74</v>
      </c>
      <c r="BB817">
        <v>1</v>
      </c>
      <c r="BC817">
        <v>14</v>
      </c>
      <c r="BD817" t="s">
        <v>74</v>
      </c>
      <c r="BE817" t="s">
        <v>15932</v>
      </c>
      <c r="BF817" t="str">
        <f>HYPERLINK("http://dx.doi.org/10.3354/meps12363","http://dx.doi.org/10.3354/meps12363")</f>
        <v>http://dx.doi.org/10.3354/meps12363</v>
      </c>
      <c r="BG817" t="s">
        <v>74</v>
      </c>
      <c r="BH817" t="s">
        <v>74</v>
      </c>
      <c r="BI817">
        <v>14</v>
      </c>
      <c r="BJ817" t="s">
        <v>521</v>
      </c>
      <c r="BK817" t="s">
        <v>101</v>
      </c>
      <c r="BL817" t="s">
        <v>522</v>
      </c>
      <c r="BM817" t="s">
        <v>15865</v>
      </c>
      <c r="BN817" t="s">
        <v>74</v>
      </c>
      <c r="BO817" t="s">
        <v>306</v>
      </c>
      <c r="BP817" t="s">
        <v>74</v>
      </c>
      <c r="BQ817" t="s">
        <v>74</v>
      </c>
      <c r="BR817" t="s">
        <v>105</v>
      </c>
      <c r="BS817" t="s">
        <v>15933</v>
      </c>
      <c r="BT817" t="str">
        <f>HYPERLINK("https%3A%2F%2Fwww.webofscience.com%2Fwos%2Fwoscc%2Ffull-record%2FWOS:000418268200001","View Full Record in Web of Science")</f>
        <v>View Full Record in Web of Science</v>
      </c>
    </row>
    <row r="818" spans="1:72" x14ac:dyDescent="0.15">
      <c r="A818" t="s">
        <v>72</v>
      </c>
      <c r="B818" t="s">
        <v>15934</v>
      </c>
      <c r="C818" t="s">
        <v>74</v>
      </c>
      <c r="D818" t="s">
        <v>74</v>
      </c>
      <c r="E818" t="s">
        <v>74</v>
      </c>
      <c r="F818" t="s">
        <v>15935</v>
      </c>
      <c r="G818" t="s">
        <v>74</v>
      </c>
      <c r="H818" t="s">
        <v>74</v>
      </c>
      <c r="I818" t="s">
        <v>15936</v>
      </c>
      <c r="J818" t="s">
        <v>8461</v>
      </c>
      <c r="K818" t="s">
        <v>74</v>
      </c>
      <c r="L818" t="s">
        <v>74</v>
      </c>
      <c r="M818" t="s">
        <v>78</v>
      </c>
      <c r="N818" t="s">
        <v>79</v>
      </c>
      <c r="O818" t="s">
        <v>74</v>
      </c>
      <c r="P818" t="s">
        <v>74</v>
      </c>
      <c r="Q818" t="s">
        <v>74</v>
      </c>
      <c r="R818" t="s">
        <v>74</v>
      </c>
      <c r="S818" t="s">
        <v>74</v>
      </c>
      <c r="T818" t="s">
        <v>15937</v>
      </c>
      <c r="U818" t="s">
        <v>15938</v>
      </c>
      <c r="V818" t="s">
        <v>15939</v>
      </c>
      <c r="W818" t="s">
        <v>15940</v>
      </c>
      <c r="X818" t="s">
        <v>15941</v>
      </c>
      <c r="Y818" t="s">
        <v>15942</v>
      </c>
      <c r="Z818" t="s">
        <v>15943</v>
      </c>
      <c r="AA818" t="s">
        <v>15944</v>
      </c>
      <c r="AB818" t="s">
        <v>15945</v>
      </c>
      <c r="AC818" t="s">
        <v>15946</v>
      </c>
      <c r="AD818" t="s">
        <v>15946</v>
      </c>
      <c r="AE818" t="s">
        <v>15947</v>
      </c>
      <c r="AF818" t="s">
        <v>74</v>
      </c>
      <c r="AG818">
        <v>32</v>
      </c>
      <c r="AH818">
        <v>20</v>
      </c>
      <c r="AI818">
        <v>20</v>
      </c>
      <c r="AJ818">
        <v>0</v>
      </c>
      <c r="AK818">
        <v>15</v>
      </c>
      <c r="AL818" t="s">
        <v>1139</v>
      </c>
      <c r="AM818" t="s">
        <v>1140</v>
      </c>
      <c r="AN818" t="s">
        <v>1141</v>
      </c>
      <c r="AO818" t="s">
        <v>8462</v>
      </c>
      <c r="AP818" t="s">
        <v>8463</v>
      </c>
      <c r="AQ818" t="s">
        <v>74</v>
      </c>
      <c r="AR818" t="s">
        <v>8464</v>
      </c>
      <c r="AS818" t="s">
        <v>8465</v>
      </c>
      <c r="AT818" t="s">
        <v>15948</v>
      </c>
      <c r="AU818">
        <v>2017</v>
      </c>
      <c r="AV818">
        <v>124</v>
      </c>
      <c r="AW818">
        <v>1</v>
      </c>
      <c r="AX818" t="s">
        <v>74</v>
      </c>
      <c r="AY818" t="s">
        <v>74</v>
      </c>
      <c r="AZ818" t="s">
        <v>74</v>
      </c>
      <c r="BA818" t="s">
        <v>74</v>
      </c>
      <c r="BB818">
        <v>51</v>
      </c>
      <c r="BC818">
        <v>55</v>
      </c>
      <c r="BD818" t="s">
        <v>74</v>
      </c>
      <c r="BE818" t="s">
        <v>15949</v>
      </c>
      <c r="BF818" t="str">
        <f>HYPERLINK("http://dx.doi.org/10.1016/j.marpolbul.2017.07.010","http://dx.doi.org/10.1016/j.marpolbul.2017.07.010")</f>
        <v>http://dx.doi.org/10.1016/j.marpolbul.2017.07.010</v>
      </c>
      <c r="BG818" t="s">
        <v>74</v>
      </c>
      <c r="BH818" t="s">
        <v>74</v>
      </c>
      <c r="BI818">
        <v>5</v>
      </c>
      <c r="BJ818" t="s">
        <v>609</v>
      </c>
      <c r="BK818" t="s">
        <v>101</v>
      </c>
      <c r="BL818" t="s">
        <v>610</v>
      </c>
      <c r="BM818" t="s">
        <v>15950</v>
      </c>
      <c r="BN818">
        <v>28693807</v>
      </c>
      <c r="BO818" t="s">
        <v>74</v>
      </c>
      <c r="BP818" t="s">
        <v>74</v>
      </c>
      <c r="BQ818" t="s">
        <v>74</v>
      </c>
      <c r="BR818" t="s">
        <v>105</v>
      </c>
      <c r="BS818" t="s">
        <v>15951</v>
      </c>
      <c r="BT818" t="str">
        <f>HYPERLINK("https%3A%2F%2Fwww.webofscience.com%2Fwos%2Fwoscc%2Ffull-record%2FWOS:000415391200018","View Full Record in Web of Science")</f>
        <v>View Full Record in Web of Science</v>
      </c>
    </row>
    <row r="819" spans="1:72" x14ac:dyDescent="0.15">
      <c r="A819" t="s">
        <v>72</v>
      </c>
      <c r="B819" t="s">
        <v>15952</v>
      </c>
      <c r="C819" t="s">
        <v>74</v>
      </c>
      <c r="D819" t="s">
        <v>74</v>
      </c>
      <c r="E819" t="s">
        <v>74</v>
      </c>
      <c r="F819" t="s">
        <v>15953</v>
      </c>
      <c r="G819" t="s">
        <v>74</v>
      </c>
      <c r="H819" t="s">
        <v>74</v>
      </c>
      <c r="I819" t="s">
        <v>15954</v>
      </c>
      <c r="J819" t="s">
        <v>217</v>
      </c>
      <c r="K819" t="s">
        <v>74</v>
      </c>
      <c r="L819" t="s">
        <v>74</v>
      </c>
      <c r="M819" t="s">
        <v>78</v>
      </c>
      <c r="N819" t="s">
        <v>79</v>
      </c>
      <c r="O819" t="s">
        <v>74</v>
      </c>
      <c r="P819" t="s">
        <v>74</v>
      </c>
      <c r="Q819" t="s">
        <v>74</v>
      </c>
      <c r="R819" t="s">
        <v>74</v>
      </c>
      <c r="S819" t="s">
        <v>74</v>
      </c>
      <c r="T819" t="s">
        <v>74</v>
      </c>
      <c r="U819" t="s">
        <v>15955</v>
      </c>
      <c r="V819" t="s">
        <v>15956</v>
      </c>
      <c r="W819" t="s">
        <v>15957</v>
      </c>
      <c r="X819" t="s">
        <v>15958</v>
      </c>
      <c r="Y819" t="s">
        <v>15959</v>
      </c>
      <c r="Z819" t="s">
        <v>15960</v>
      </c>
      <c r="AA819" t="s">
        <v>15961</v>
      </c>
      <c r="AB819" t="s">
        <v>15962</v>
      </c>
      <c r="AC819" t="s">
        <v>15963</v>
      </c>
      <c r="AD819" t="s">
        <v>15964</v>
      </c>
      <c r="AE819" t="s">
        <v>15965</v>
      </c>
      <c r="AF819" t="s">
        <v>74</v>
      </c>
      <c r="AG819">
        <v>43</v>
      </c>
      <c r="AH819">
        <v>29</v>
      </c>
      <c r="AI819">
        <v>30</v>
      </c>
      <c r="AJ819">
        <v>3</v>
      </c>
      <c r="AK819">
        <v>19</v>
      </c>
      <c r="AL819" t="s">
        <v>149</v>
      </c>
      <c r="AM819" t="s">
        <v>150</v>
      </c>
      <c r="AN819" t="s">
        <v>151</v>
      </c>
      <c r="AO819" t="s">
        <v>229</v>
      </c>
      <c r="AP819" t="s">
        <v>230</v>
      </c>
      <c r="AQ819" t="s">
        <v>74</v>
      </c>
      <c r="AR819" t="s">
        <v>217</v>
      </c>
      <c r="AS819" t="s">
        <v>231</v>
      </c>
      <c r="AT819" t="s">
        <v>15948</v>
      </c>
      <c r="AU819">
        <v>2017</v>
      </c>
      <c r="AV819">
        <v>11</v>
      </c>
      <c r="AW819">
        <v>6</v>
      </c>
      <c r="AX819" t="s">
        <v>74</v>
      </c>
      <c r="AY819" t="s">
        <v>74</v>
      </c>
      <c r="AZ819" t="s">
        <v>74</v>
      </c>
      <c r="BA819" t="s">
        <v>74</v>
      </c>
      <c r="BB819">
        <v>2595</v>
      </c>
      <c r="BC819">
        <v>2609</v>
      </c>
      <c r="BD819" t="s">
        <v>74</v>
      </c>
      <c r="BE819" t="s">
        <v>15966</v>
      </c>
      <c r="BF819" t="str">
        <f>HYPERLINK("http://dx.doi.org/10.5194/tc-11-2595-2017","http://dx.doi.org/10.5194/tc-11-2595-2017")</f>
        <v>http://dx.doi.org/10.5194/tc-11-2595-2017</v>
      </c>
      <c r="BG819" t="s">
        <v>74</v>
      </c>
      <c r="BH819" t="s">
        <v>74</v>
      </c>
      <c r="BI819">
        <v>15</v>
      </c>
      <c r="BJ819" t="s">
        <v>233</v>
      </c>
      <c r="BK819" t="s">
        <v>101</v>
      </c>
      <c r="BL819" t="s">
        <v>234</v>
      </c>
      <c r="BM819" t="s">
        <v>15967</v>
      </c>
      <c r="BN819" t="s">
        <v>74</v>
      </c>
      <c r="BO819" t="s">
        <v>236</v>
      </c>
      <c r="BP819" t="s">
        <v>74</v>
      </c>
      <c r="BQ819" t="s">
        <v>74</v>
      </c>
      <c r="BR819" t="s">
        <v>105</v>
      </c>
      <c r="BS819" t="s">
        <v>15968</v>
      </c>
      <c r="BT819" t="str">
        <f>HYPERLINK("https%3A%2F%2Fwww.webofscience.com%2Fwos%2Fwoscc%2Ffull-record%2FWOS:000415210200001","View Full Record in Web of Science")</f>
        <v>View Full Record in Web of Science</v>
      </c>
    </row>
    <row r="820" spans="1:72" x14ac:dyDescent="0.15">
      <c r="A820" t="s">
        <v>72</v>
      </c>
      <c r="B820" t="s">
        <v>15969</v>
      </c>
      <c r="C820" t="s">
        <v>74</v>
      </c>
      <c r="D820" t="s">
        <v>74</v>
      </c>
      <c r="E820" t="s">
        <v>74</v>
      </c>
      <c r="F820" t="s">
        <v>15970</v>
      </c>
      <c r="G820" t="s">
        <v>74</v>
      </c>
      <c r="H820" t="s">
        <v>74</v>
      </c>
      <c r="I820" t="s">
        <v>15971</v>
      </c>
      <c r="J820" t="s">
        <v>1216</v>
      </c>
      <c r="K820" t="s">
        <v>74</v>
      </c>
      <c r="L820" t="s">
        <v>74</v>
      </c>
      <c r="M820" t="s">
        <v>78</v>
      </c>
      <c r="N820" t="s">
        <v>79</v>
      </c>
      <c r="O820" t="s">
        <v>74</v>
      </c>
      <c r="P820" t="s">
        <v>74</v>
      </c>
      <c r="Q820" t="s">
        <v>74</v>
      </c>
      <c r="R820" t="s">
        <v>74</v>
      </c>
      <c r="S820" t="s">
        <v>74</v>
      </c>
      <c r="T820" t="s">
        <v>15972</v>
      </c>
      <c r="U820" t="s">
        <v>15973</v>
      </c>
      <c r="V820" t="s">
        <v>15974</v>
      </c>
      <c r="W820" t="s">
        <v>15975</v>
      </c>
      <c r="X820" t="s">
        <v>15976</v>
      </c>
      <c r="Y820" t="s">
        <v>15977</v>
      </c>
      <c r="Z820" t="s">
        <v>15978</v>
      </c>
      <c r="AA820" t="s">
        <v>15979</v>
      </c>
      <c r="AB820" t="s">
        <v>15980</v>
      </c>
      <c r="AC820" t="s">
        <v>15981</v>
      </c>
      <c r="AD820" t="s">
        <v>15982</v>
      </c>
      <c r="AE820" t="s">
        <v>15983</v>
      </c>
      <c r="AF820" t="s">
        <v>74</v>
      </c>
      <c r="AG820">
        <v>48</v>
      </c>
      <c r="AH820">
        <v>28</v>
      </c>
      <c r="AI820">
        <v>29</v>
      </c>
      <c r="AJ820">
        <v>0</v>
      </c>
      <c r="AK820">
        <v>24</v>
      </c>
      <c r="AL820" t="s">
        <v>807</v>
      </c>
      <c r="AM820" t="s">
        <v>808</v>
      </c>
      <c r="AN820" t="s">
        <v>809</v>
      </c>
      <c r="AO820" t="s">
        <v>1228</v>
      </c>
      <c r="AP820" t="s">
        <v>1229</v>
      </c>
      <c r="AQ820" t="s">
        <v>74</v>
      </c>
      <c r="AR820" t="s">
        <v>1230</v>
      </c>
      <c r="AS820" t="s">
        <v>1231</v>
      </c>
      <c r="AT820" t="s">
        <v>15948</v>
      </c>
      <c r="AU820">
        <v>2017</v>
      </c>
      <c r="AV820">
        <v>478</v>
      </c>
      <c r="AW820" t="s">
        <v>74</v>
      </c>
      <c r="AX820" t="s">
        <v>74</v>
      </c>
      <c r="AY820" t="s">
        <v>74</v>
      </c>
      <c r="AZ820" t="s">
        <v>74</v>
      </c>
      <c r="BA820" t="s">
        <v>74</v>
      </c>
      <c r="BB820">
        <v>143</v>
      </c>
      <c r="BC820">
        <v>149</v>
      </c>
      <c r="BD820" t="s">
        <v>74</v>
      </c>
      <c r="BE820" t="s">
        <v>15984</v>
      </c>
      <c r="BF820" t="str">
        <f>HYPERLINK("http://dx.doi.org/10.1016/j.epsl.2017.08.039","http://dx.doi.org/10.1016/j.epsl.2017.08.039")</f>
        <v>http://dx.doi.org/10.1016/j.epsl.2017.08.039</v>
      </c>
      <c r="BG820" t="s">
        <v>74</v>
      </c>
      <c r="BH820" t="s">
        <v>74</v>
      </c>
      <c r="BI820">
        <v>7</v>
      </c>
      <c r="BJ820" t="s">
        <v>1148</v>
      </c>
      <c r="BK820" t="s">
        <v>101</v>
      </c>
      <c r="BL820" t="s">
        <v>1148</v>
      </c>
      <c r="BM820" t="s">
        <v>15985</v>
      </c>
      <c r="BN820" t="s">
        <v>74</v>
      </c>
      <c r="BO820" t="s">
        <v>7534</v>
      </c>
      <c r="BP820" t="s">
        <v>74</v>
      </c>
      <c r="BQ820" t="s">
        <v>74</v>
      </c>
      <c r="BR820" t="s">
        <v>105</v>
      </c>
      <c r="BS820" t="s">
        <v>15986</v>
      </c>
      <c r="BT820" t="str">
        <f>HYPERLINK("https%3A%2F%2Fwww.webofscience.com%2Fwos%2Fwoscc%2Ffull-record%2FWOS:000413380200015","View Full Record in Web of Science")</f>
        <v>View Full Record in Web of Science</v>
      </c>
    </row>
    <row r="821" spans="1:72" x14ac:dyDescent="0.15">
      <c r="A821" t="s">
        <v>72</v>
      </c>
      <c r="B821" t="s">
        <v>15987</v>
      </c>
      <c r="C821" t="s">
        <v>74</v>
      </c>
      <c r="D821" t="s">
        <v>74</v>
      </c>
      <c r="E821" t="s">
        <v>74</v>
      </c>
      <c r="F821" t="s">
        <v>15988</v>
      </c>
      <c r="G821" t="s">
        <v>74</v>
      </c>
      <c r="H821" t="s">
        <v>74</v>
      </c>
      <c r="I821" t="s">
        <v>15989</v>
      </c>
      <c r="J821" t="s">
        <v>15990</v>
      </c>
      <c r="K821" t="s">
        <v>74</v>
      </c>
      <c r="L821" t="s">
        <v>74</v>
      </c>
      <c r="M821" t="s">
        <v>78</v>
      </c>
      <c r="N821" t="s">
        <v>79</v>
      </c>
      <c r="O821" t="s">
        <v>74</v>
      </c>
      <c r="P821" t="s">
        <v>74</v>
      </c>
      <c r="Q821" t="s">
        <v>74</v>
      </c>
      <c r="R821" t="s">
        <v>74</v>
      </c>
      <c r="S821" t="s">
        <v>74</v>
      </c>
      <c r="T821" t="s">
        <v>15991</v>
      </c>
      <c r="U821" t="s">
        <v>15992</v>
      </c>
      <c r="V821" t="s">
        <v>15993</v>
      </c>
      <c r="W821" t="s">
        <v>15994</v>
      </c>
      <c r="X821" t="s">
        <v>15995</v>
      </c>
      <c r="Y821" t="s">
        <v>15996</v>
      </c>
      <c r="Z821" t="s">
        <v>15997</v>
      </c>
      <c r="AA821" t="s">
        <v>15998</v>
      </c>
      <c r="AB821" t="s">
        <v>15999</v>
      </c>
      <c r="AC821" t="s">
        <v>16000</v>
      </c>
      <c r="AD821" t="s">
        <v>16001</v>
      </c>
      <c r="AE821" t="s">
        <v>16002</v>
      </c>
      <c r="AF821" t="s">
        <v>74</v>
      </c>
      <c r="AG821">
        <v>61</v>
      </c>
      <c r="AH821">
        <v>75</v>
      </c>
      <c r="AI821">
        <v>89</v>
      </c>
      <c r="AJ821">
        <v>14</v>
      </c>
      <c r="AK821">
        <v>81</v>
      </c>
      <c r="AL821" t="s">
        <v>9836</v>
      </c>
      <c r="AM821" t="s">
        <v>1797</v>
      </c>
      <c r="AN821" t="s">
        <v>9861</v>
      </c>
      <c r="AO821" t="s">
        <v>16003</v>
      </c>
      <c r="AP821" t="s">
        <v>16004</v>
      </c>
      <c r="AQ821" t="s">
        <v>74</v>
      </c>
      <c r="AR821" t="s">
        <v>16005</v>
      </c>
      <c r="AS821" t="s">
        <v>16006</v>
      </c>
      <c r="AT821" t="s">
        <v>15948</v>
      </c>
      <c r="AU821">
        <v>2017</v>
      </c>
      <c r="AV821">
        <v>197</v>
      </c>
      <c r="AW821" t="s">
        <v>74</v>
      </c>
      <c r="AX821" t="s">
        <v>74</v>
      </c>
      <c r="AY821" t="s">
        <v>74</v>
      </c>
      <c r="AZ821" t="s">
        <v>74</v>
      </c>
      <c r="BA821" t="s">
        <v>74</v>
      </c>
      <c r="BB821">
        <v>461</v>
      </c>
      <c r="BC821">
        <v>473</v>
      </c>
      <c r="BD821" t="s">
        <v>74</v>
      </c>
      <c r="BE821" t="s">
        <v>16007</v>
      </c>
      <c r="BF821" t="str">
        <f>HYPERLINK("http://dx.doi.org/10.1016/j.atmosres.2017.07.021","http://dx.doi.org/10.1016/j.atmosres.2017.07.021")</f>
        <v>http://dx.doi.org/10.1016/j.atmosres.2017.07.021</v>
      </c>
      <c r="BG821" t="s">
        <v>74</v>
      </c>
      <c r="BH821" t="s">
        <v>74</v>
      </c>
      <c r="BI821">
        <v>13</v>
      </c>
      <c r="BJ821" t="s">
        <v>430</v>
      </c>
      <c r="BK821" t="s">
        <v>101</v>
      </c>
      <c r="BL821" t="s">
        <v>430</v>
      </c>
      <c r="BM821" t="s">
        <v>16008</v>
      </c>
      <c r="BN821" t="s">
        <v>74</v>
      </c>
      <c r="BO821" t="s">
        <v>74</v>
      </c>
      <c r="BP821" t="s">
        <v>74</v>
      </c>
      <c r="BQ821" t="s">
        <v>74</v>
      </c>
      <c r="BR821" t="s">
        <v>105</v>
      </c>
      <c r="BS821" t="s">
        <v>16009</v>
      </c>
      <c r="BT821" t="str">
        <f>HYPERLINK("https%3A%2F%2Fwww.webofscience.com%2Fwos%2Fwoscc%2Ffull-record%2FWOS:000412250700038","View Full Record in Web of Science")</f>
        <v>View Full Record in Web of Science</v>
      </c>
    </row>
    <row r="822" spans="1:72" x14ac:dyDescent="0.15">
      <c r="A822" t="s">
        <v>72</v>
      </c>
      <c r="B822" t="s">
        <v>16010</v>
      </c>
      <c r="C822" t="s">
        <v>74</v>
      </c>
      <c r="D822" t="s">
        <v>74</v>
      </c>
      <c r="E822" t="s">
        <v>74</v>
      </c>
      <c r="F822" t="s">
        <v>16011</v>
      </c>
      <c r="G822" t="s">
        <v>74</v>
      </c>
      <c r="H822" t="s">
        <v>74</v>
      </c>
      <c r="I822" t="s">
        <v>16012</v>
      </c>
      <c r="J822" t="s">
        <v>15990</v>
      </c>
      <c r="K822" t="s">
        <v>74</v>
      </c>
      <c r="L822" t="s">
        <v>74</v>
      </c>
      <c r="M822" t="s">
        <v>78</v>
      </c>
      <c r="N822" t="s">
        <v>79</v>
      </c>
      <c r="O822" t="s">
        <v>74</v>
      </c>
      <c r="P822" t="s">
        <v>74</v>
      </c>
      <c r="Q822" t="s">
        <v>74</v>
      </c>
      <c r="R822" t="s">
        <v>74</v>
      </c>
      <c r="S822" t="s">
        <v>74</v>
      </c>
      <c r="T822" t="s">
        <v>16013</v>
      </c>
      <c r="U822" t="s">
        <v>16014</v>
      </c>
      <c r="V822" t="s">
        <v>16015</v>
      </c>
      <c r="W822" t="s">
        <v>16016</v>
      </c>
      <c r="X822" t="s">
        <v>16017</v>
      </c>
      <c r="Y822" t="s">
        <v>16018</v>
      </c>
      <c r="Z822" t="s">
        <v>16019</v>
      </c>
      <c r="AA822" t="s">
        <v>16020</v>
      </c>
      <c r="AB822" t="s">
        <v>16021</v>
      </c>
      <c r="AC822" t="s">
        <v>16022</v>
      </c>
      <c r="AD822" t="s">
        <v>16023</v>
      </c>
      <c r="AE822" t="s">
        <v>16024</v>
      </c>
      <c r="AF822" t="s">
        <v>74</v>
      </c>
      <c r="AG822">
        <v>76</v>
      </c>
      <c r="AH822">
        <v>31</v>
      </c>
      <c r="AI822">
        <v>34</v>
      </c>
      <c r="AJ822">
        <v>5</v>
      </c>
      <c r="AK822">
        <v>68</v>
      </c>
      <c r="AL822" t="s">
        <v>9836</v>
      </c>
      <c r="AM822" t="s">
        <v>1797</v>
      </c>
      <c r="AN822" t="s">
        <v>9837</v>
      </c>
      <c r="AO822" t="s">
        <v>16003</v>
      </c>
      <c r="AP822" t="s">
        <v>16004</v>
      </c>
      <c r="AQ822" t="s">
        <v>74</v>
      </c>
      <c r="AR822" t="s">
        <v>16005</v>
      </c>
      <c r="AS822" t="s">
        <v>16006</v>
      </c>
      <c r="AT822" t="s">
        <v>15948</v>
      </c>
      <c r="AU822">
        <v>2017</v>
      </c>
      <c r="AV822">
        <v>197</v>
      </c>
      <c r="AW822" t="s">
        <v>74</v>
      </c>
      <c r="AX822" t="s">
        <v>74</v>
      </c>
      <c r="AY822" t="s">
        <v>74</v>
      </c>
      <c r="AZ822" t="s">
        <v>74</v>
      </c>
      <c r="BA822" t="s">
        <v>74</v>
      </c>
      <c r="BB822">
        <v>474</v>
      </c>
      <c r="BC822">
        <v>484</v>
      </c>
      <c r="BD822" t="s">
        <v>74</v>
      </c>
      <c r="BE822" t="s">
        <v>16025</v>
      </c>
      <c r="BF822" t="str">
        <f>HYPERLINK("http://dx.doi.org/10.1016/j.atmosres.2017.07.004","http://dx.doi.org/10.1016/j.atmosres.2017.07.004")</f>
        <v>http://dx.doi.org/10.1016/j.atmosres.2017.07.004</v>
      </c>
      <c r="BG822" t="s">
        <v>74</v>
      </c>
      <c r="BH822" t="s">
        <v>74</v>
      </c>
      <c r="BI822">
        <v>11</v>
      </c>
      <c r="BJ822" t="s">
        <v>430</v>
      </c>
      <c r="BK822" t="s">
        <v>101</v>
      </c>
      <c r="BL822" t="s">
        <v>430</v>
      </c>
      <c r="BM822" t="s">
        <v>16008</v>
      </c>
      <c r="BN822" t="s">
        <v>74</v>
      </c>
      <c r="BO822" t="s">
        <v>74</v>
      </c>
      <c r="BP822" t="s">
        <v>74</v>
      </c>
      <c r="BQ822" t="s">
        <v>74</v>
      </c>
      <c r="BR822" t="s">
        <v>105</v>
      </c>
      <c r="BS822" t="s">
        <v>16026</v>
      </c>
      <c r="BT822" t="str">
        <f>HYPERLINK("https%3A%2F%2Fwww.webofscience.com%2Fwos%2Fwoscc%2Ffull-record%2FWOS:000412250700039","View Full Record in Web of Science")</f>
        <v>View Full Record in Web of Science</v>
      </c>
    </row>
    <row r="823" spans="1:72" x14ac:dyDescent="0.15">
      <c r="A823" t="s">
        <v>72</v>
      </c>
      <c r="B823" t="s">
        <v>16027</v>
      </c>
      <c r="C823" t="s">
        <v>74</v>
      </c>
      <c r="D823" t="s">
        <v>74</v>
      </c>
      <c r="E823" t="s">
        <v>74</v>
      </c>
      <c r="F823" t="s">
        <v>16028</v>
      </c>
      <c r="G823" t="s">
        <v>74</v>
      </c>
      <c r="H823" t="s">
        <v>74</v>
      </c>
      <c r="I823" t="s">
        <v>16029</v>
      </c>
      <c r="J823" t="s">
        <v>1216</v>
      </c>
      <c r="K823" t="s">
        <v>74</v>
      </c>
      <c r="L823" t="s">
        <v>74</v>
      </c>
      <c r="M823" t="s">
        <v>78</v>
      </c>
      <c r="N823" t="s">
        <v>79</v>
      </c>
      <c r="O823" t="s">
        <v>74</v>
      </c>
      <c r="P823" t="s">
        <v>74</v>
      </c>
      <c r="Q823" t="s">
        <v>74</v>
      </c>
      <c r="R823" t="s">
        <v>74</v>
      </c>
      <c r="S823" t="s">
        <v>74</v>
      </c>
      <c r="T823" t="s">
        <v>16030</v>
      </c>
      <c r="U823" t="s">
        <v>16031</v>
      </c>
      <c r="V823" t="s">
        <v>16032</v>
      </c>
      <c r="W823" t="s">
        <v>16033</v>
      </c>
      <c r="X823" t="s">
        <v>16034</v>
      </c>
      <c r="Y823" t="s">
        <v>16035</v>
      </c>
      <c r="Z823" t="s">
        <v>16036</v>
      </c>
      <c r="AA823" t="s">
        <v>16037</v>
      </c>
      <c r="AB823" t="s">
        <v>16038</v>
      </c>
      <c r="AC823" t="s">
        <v>16039</v>
      </c>
      <c r="AD823" t="s">
        <v>16040</v>
      </c>
      <c r="AE823" t="s">
        <v>16041</v>
      </c>
      <c r="AF823" t="s">
        <v>74</v>
      </c>
      <c r="AG823">
        <v>70</v>
      </c>
      <c r="AH823">
        <v>35</v>
      </c>
      <c r="AI823">
        <v>36</v>
      </c>
      <c r="AJ823">
        <v>2</v>
      </c>
      <c r="AK823">
        <v>50</v>
      </c>
      <c r="AL823" t="s">
        <v>1186</v>
      </c>
      <c r="AM823" t="s">
        <v>808</v>
      </c>
      <c r="AN823" t="s">
        <v>1187</v>
      </c>
      <c r="AO823" t="s">
        <v>1228</v>
      </c>
      <c r="AP823" t="s">
        <v>1229</v>
      </c>
      <c r="AQ823" t="s">
        <v>74</v>
      </c>
      <c r="AR823" t="s">
        <v>1230</v>
      </c>
      <c r="AS823" t="s">
        <v>1231</v>
      </c>
      <c r="AT823" t="s">
        <v>15948</v>
      </c>
      <c r="AU823">
        <v>2017</v>
      </c>
      <c r="AV823">
        <v>478</v>
      </c>
      <c r="AW823" t="s">
        <v>74</v>
      </c>
      <c r="AX823" t="s">
        <v>74</v>
      </c>
      <c r="AY823" t="s">
        <v>74</v>
      </c>
      <c r="AZ823" t="s">
        <v>74</v>
      </c>
      <c r="BA823" t="s">
        <v>74</v>
      </c>
      <c r="BB823">
        <v>1</v>
      </c>
      <c r="BC823">
        <v>13</v>
      </c>
      <c r="BD823" t="s">
        <v>74</v>
      </c>
      <c r="BE823" t="s">
        <v>16042</v>
      </c>
      <c r="BF823" t="str">
        <f>HYPERLINK("http://dx.doi.org/10.1016/j.epsl.2017.08.011","http://dx.doi.org/10.1016/j.epsl.2017.08.011")</f>
        <v>http://dx.doi.org/10.1016/j.epsl.2017.08.011</v>
      </c>
      <c r="BG823" t="s">
        <v>74</v>
      </c>
      <c r="BH823" t="s">
        <v>74</v>
      </c>
      <c r="BI823">
        <v>13</v>
      </c>
      <c r="BJ823" t="s">
        <v>1148</v>
      </c>
      <c r="BK823" t="s">
        <v>101</v>
      </c>
      <c r="BL823" t="s">
        <v>1148</v>
      </c>
      <c r="BM823" t="s">
        <v>15985</v>
      </c>
      <c r="BN823" t="s">
        <v>74</v>
      </c>
      <c r="BO823" t="s">
        <v>7534</v>
      </c>
      <c r="BP823" t="s">
        <v>74</v>
      </c>
      <c r="BQ823" t="s">
        <v>74</v>
      </c>
      <c r="BR823" t="s">
        <v>105</v>
      </c>
      <c r="BS823" t="s">
        <v>16043</v>
      </c>
      <c r="BT823" t="str">
        <f>HYPERLINK("https%3A%2F%2Fwww.webofscience.com%2Fwos%2Fwoscc%2Ffull-record%2FWOS:000413380200001","View Full Record in Web of Science")</f>
        <v>View Full Record in Web of Science</v>
      </c>
    </row>
    <row r="824" spans="1:72" x14ac:dyDescent="0.15">
      <c r="A824" t="s">
        <v>72</v>
      </c>
      <c r="B824" t="s">
        <v>16044</v>
      </c>
      <c r="C824" t="s">
        <v>74</v>
      </c>
      <c r="D824" t="s">
        <v>74</v>
      </c>
      <c r="E824" t="s">
        <v>74</v>
      </c>
      <c r="F824" t="s">
        <v>16045</v>
      </c>
      <c r="G824" t="s">
        <v>74</v>
      </c>
      <c r="H824" t="s">
        <v>74</v>
      </c>
      <c r="I824" t="s">
        <v>16046</v>
      </c>
      <c r="J824" t="s">
        <v>1216</v>
      </c>
      <c r="K824" t="s">
        <v>74</v>
      </c>
      <c r="L824" t="s">
        <v>74</v>
      </c>
      <c r="M824" t="s">
        <v>78</v>
      </c>
      <c r="N824" t="s">
        <v>79</v>
      </c>
      <c r="O824" t="s">
        <v>74</v>
      </c>
      <c r="P824" t="s">
        <v>74</v>
      </c>
      <c r="Q824" t="s">
        <v>74</v>
      </c>
      <c r="R824" t="s">
        <v>74</v>
      </c>
      <c r="S824" t="s">
        <v>74</v>
      </c>
      <c r="T824" t="s">
        <v>16047</v>
      </c>
      <c r="U824" t="s">
        <v>16048</v>
      </c>
      <c r="V824" t="s">
        <v>16049</v>
      </c>
      <c r="W824" t="s">
        <v>16050</v>
      </c>
      <c r="X824" t="s">
        <v>16051</v>
      </c>
      <c r="Y824" t="s">
        <v>16052</v>
      </c>
      <c r="Z824" t="s">
        <v>16053</v>
      </c>
      <c r="AA824" t="s">
        <v>16054</v>
      </c>
      <c r="AB824" t="s">
        <v>16055</v>
      </c>
      <c r="AC824" t="s">
        <v>16056</v>
      </c>
      <c r="AD824" t="s">
        <v>16057</v>
      </c>
      <c r="AE824" t="s">
        <v>16058</v>
      </c>
      <c r="AF824" t="s">
        <v>74</v>
      </c>
      <c r="AG824">
        <v>47</v>
      </c>
      <c r="AH824">
        <v>17</v>
      </c>
      <c r="AI824">
        <v>17</v>
      </c>
      <c r="AJ824">
        <v>0</v>
      </c>
      <c r="AK824">
        <v>11</v>
      </c>
      <c r="AL824" t="s">
        <v>1186</v>
      </c>
      <c r="AM824" t="s">
        <v>808</v>
      </c>
      <c r="AN824" t="s">
        <v>1187</v>
      </c>
      <c r="AO824" t="s">
        <v>1228</v>
      </c>
      <c r="AP824" t="s">
        <v>1229</v>
      </c>
      <c r="AQ824" t="s">
        <v>74</v>
      </c>
      <c r="AR824" t="s">
        <v>1230</v>
      </c>
      <c r="AS824" t="s">
        <v>1231</v>
      </c>
      <c r="AT824" t="s">
        <v>15948</v>
      </c>
      <c r="AU824">
        <v>2017</v>
      </c>
      <c r="AV824">
        <v>478</v>
      </c>
      <c r="AW824" t="s">
        <v>74</v>
      </c>
      <c r="AX824" t="s">
        <v>74</v>
      </c>
      <c r="AY824" t="s">
        <v>74</v>
      </c>
      <c r="AZ824" t="s">
        <v>74</v>
      </c>
      <c r="BA824" t="s">
        <v>74</v>
      </c>
      <c r="BB824">
        <v>132</v>
      </c>
      <c r="BC824">
        <v>142</v>
      </c>
      <c r="BD824" t="s">
        <v>74</v>
      </c>
      <c r="BE824" t="s">
        <v>16059</v>
      </c>
      <c r="BF824" t="str">
        <f>HYPERLINK("http://dx.doi.org/10.1016/j.epsl.2017.08.035","http://dx.doi.org/10.1016/j.epsl.2017.08.035")</f>
        <v>http://dx.doi.org/10.1016/j.epsl.2017.08.035</v>
      </c>
      <c r="BG824" t="s">
        <v>74</v>
      </c>
      <c r="BH824" t="s">
        <v>74</v>
      </c>
      <c r="BI824">
        <v>11</v>
      </c>
      <c r="BJ824" t="s">
        <v>1148</v>
      </c>
      <c r="BK824" t="s">
        <v>101</v>
      </c>
      <c r="BL824" t="s">
        <v>1148</v>
      </c>
      <c r="BM824" t="s">
        <v>15985</v>
      </c>
      <c r="BN824" t="s">
        <v>74</v>
      </c>
      <c r="BO824" t="s">
        <v>74</v>
      </c>
      <c r="BP824" t="s">
        <v>74</v>
      </c>
      <c r="BQ824" t="s">
        <v>74</v>
      </c>
      <c r="BR824" t="s">
        <v>105</v>
      </c>
      <c r="BS824" t="s">
        <v>16060</v>
      </c>
      <c r="BT824" t="str">
        <f>HYPERLINK("https%3A%2F%2Fwww.webofscience.com%2Fwos%2Fwoscc%2Ffull-record%2FWOS:000413380200014","View Full Record in Web of Science")</f>
        <v>View Full Record in Web of Science</v>
      </c>
    </row>
    <row r="825" spans="1:72" x14ac:dyDescent="0.15">
      <c r="A825" t="s">
        <v>72</v>
      </c>
      <c r="B825" t="s">
        <v>16061</v>
      </c>
      <c r="C825" t="s">
        <v>74</v>
      </c>
      <c r="D825" t="s">
        <v>74</v>
      </c>
      <c r="E825" t="s">
        <v>74</v>
      </c>
      <c r="F825" t="s">
        <v>16062</v>
      </c>
      <c r="G825" t="s">
        <v>74</v>
      </c>
      <c r="H825" t="s">
        <v>74</v>
      </c>
      <c r="I825" t="s">
        <v>16063</v>
      </c>
      <c r="J825" t="s">
        <v>1126</v>
      </c>
      <c r="K825" t="s">
        <v>74</v>
      </c>
      <c r="L825" t="s">
        <v>74</v>
      </c>
      <c r="M825" t="s">
        <v>78</v>
      </c>
      <c r="N825" t="s">
        <v>79</v>
      </c>
      <c r="O825" t="s">
        <v>74</v>
      </c>
      <c r="P825" t="s">
        <v>74</v>
      </c>
      <c r="Q825" t="s">
        <v>74</v>
      </c>
      <c r="R825" t="s">
        <v>74</v>
      </c>
      <c r="S825" t="s">
        <v>74</v>
      </c>
      <c r="T825" t="s">
        <v>16064</v>
      </c>
      <c r="U825" t="s">
        <v>16065</v>
      </c>
      <c r="V825" t="s">
        <v>16066</v>
      </c>
      <c r="W825" t="s">
        <v>16067</v>
      </c>
      <c r="X825" t="s">
        <v>16068</v>
      </c>
      <c r="Y825" t="s">
        <v>16069</v>
      </c>
      <c r="Z825" t="s">
        <v>16070</v>
      </c>
      <c r="AA825" t="s">
        <v>16071</v>
      </c>
      <c r="AB825" t="s">
        <v>16072</v>
      </c>
      <c r="AC825" t="s">
        <v>16073</v>
      </c>
      <c r="AD825" t="s">
        <v>16074</v>
      </c>
      <c r="AE825" t="s">
        <v>16075</v>
      </c>
      <c r="AF825" t="s">
        <v>74</v>
      </c>
      <c r="AG825">
        <v>59</v>
      </c>
      <c r="AH825">
        <v>11</v>
      </c>
      <c r="AI825">
        <v>11</v>
      </c>
      <c r="AJ825">
        <v>4</v>
      </c>
      <c r="AK825">
        <v>62</v>
      </c>
      <c r="AL825" t="s">
        <v>1139</v>
      </c>
      <c r="AM825" t="s">
        <v>1140</v>
      </c>
      <c r="AN825" t="s">
        <v>1141</v>
      </c>
      <c r="AO825" t="s">
        <v>1142</v>
      </c>
      <c r="AP825" t="s">
        <v>1143</v>
      </c>
      <c r="AQ825" t="s">
        <v>74</v>
      </c>
      <c r="AR825" t="s">
        <v>1144</v>
      </c>
      <c r="AS825" t="s">
        <v>1145</v>
      </c>
      <c r="AT825" t="s">
        <v>15948</v>
      </c>
      <c r="AU825">
        <v>2017</v>
      </c>
      <c r="AV825">
        <v>217</v>
      </c>
      <c r="AW825" t="s">
        <v>74</v>
      </c>
      <c r="AX825" t="s">
        <v>74</v>
      </c>
      <c r="AY825" t="s">
        <v>74</v>
      </c>
      <c r="AZ825" t="s">
        <v>74</v>
      </c>
      <c r="BA825" t="s">
        <v>74</v>
      </c>
      <c r="BB825">
        <v>95</v>
      </c>
      <c r="BC825">
        <v>111</v>
      </c>
      <c r="BD825" t="s">
        <v>74</v>
      </c>
      <c r="BE825" t="s">
        <v>16076</v>
      </c>
      <c r="BF825" t="str">
        <f>HYPERLINK("http://dx.doi.org/10.1016/j.gca.2017.08.022","http://dx.doi.org/10.1016/j.gca.2017.08.022")</f>
        <v>http://dx.doi.org/10.1016/j.gca.2017.08.022</v>
      </c>
      <c r="BG825" t="s">
        <v>74</v>
      </c>
      <c r="BH825" t="s">
        <v>74</v>
      </c>
      <c r="BI825">
        <v>17</v>
      </c>
      <c r="BJ825" t="s">
        <v>1148</v>
      </c>
      <c r="BK825" t="s">
        <v>101</v>
      </c>
      <c r="BL825" t="s">
        <v>1148</v>
      </c>
      <c r="BM825" t="s">
        <v>16077</v>
      </c>
      <c r="BN825" t="s">
        <v>74</v>
      </c>
      <c r="BO825" t="s">
        <v>4645</v>
      </c>
      <c r="BP825" t="s">
        <v>74</v>
      </c>
      <c r="BQ825" t="s">
        <v>74</v>
      </c>
      <c r="BR825" t="s">
        <v>105</v>
      </c>
      <c r="BS825" t="s">
        <v>16078</v>
      </c>
      <c r="BT825" t="str">
        <f>HYPERLINK("https%3A%2F%2Fwww.webofscience.com%2Fwos%2Fwoscc%2Ffull-record%2FWOS:000411362000006","View Full Record in Web of Science")</f>
        <v>View Full Record in Web of Science</v>
      </c>
    </row>
    <row r="826" spans="1:72" x14ac:dyDescent="0.15">
      <c r="A826" t="s">
        <v>72</v>
      </c>
      <c r="B826" t="s">
        <v>16079</v>
      </c>
      <c r="C826" t="s">
        <v>74</v>
      </c>
      <c r="D826" t="s">
        <v>74</v>
      </c>
      <c r="E826" t="s">
        <v>74</v>
      </c>
      <c r="F826" t="s">
        <v>16080</v>
      </c>
      <c r="G826" t="s">
        <v>74</v>
      </c>
      <c r="H826" t="s">
        <v>74</v>
      </c>
      <c r="I826" t="s">
        <v>16081</v>
      </c>
      <c r="J826" t="s">
        <v>8849</v>
      </c>
      <c r="K826" t="s">
        <v>74</v>
      </c>
      <c r="L826" t="s">
        <v>74</v>
      </c>
      <c r="M826" t="s">
        <v>78</v>
      </c>
      <c r="N826" t="s">
        <v>79</v>
      </c>
      <c r="O826" t="s">
        <v>74</v>
      </c>
      <c r="P826" t="s">
        <v>74</v>
      </c>
      <c r="Q826" t="s">
        <v>74</v>
      </c>
      <c r="R826" t="s">
        <v>74</v>
      </c>
      <c r="S826" t="s">
        <v>74</v>
      </c>
      <c r="T826" t="s">
        <v>16082</v>
      </c>
      <c r="U826" t="s">
        <v>16083</v>
      </c>
      <c r="V826" t="s">
        <v>16084</v>
      </c>
      <c r="W826" t="s">
        <v>16085</v>
      </c>
      <c r="X826" t="s">
        <v>16086</v>
      </c>
      <c r="Y826" t="s">
        <v>16087</v>
      </c>
      <c r="Z826" t="s">
        <v>16088</v>
      </c>
      <c r="AA826" t="s">
        <v>16089</v>
      </c>
      <c r="AB826" t="s">
        <v>16090</v>
      </c>
      <c r="AC826" t="s">
        <v>16091</v>
      </c>
      <c r="AD826" t="s">
        <v>16092</v>
      </c>
      <c r="AE826" t="s">
        <v>16093</v>
      </c>
      <c r="AF826" t="s">
        <v>74</v>
      </c>
      <c r="AG826">
        <v>44</v>
      </c>
      <c r="AH826">
        <v>25</v>
      </c>
      <c r="AI826">
        <v>28</v>
      </c>
      <c r="AJ826">
        <v>4</v>
      </c>
      <c r="AK826">
        <v>44</v>
      </c>
      <c r="AL826" t="s">
        <v>13236</v>
      </c>
      <c r="AM826" t="s">
        <v>8222</v>
      </c>
      <c r="AN826" t="s">
        <v>13237</v>
      </c>
      <c r="AO826" t="s">
        <v>8863</v>
      </c>
      <c r="AP826" t="s">
        <v>8864</v>
      </c>
      <c r="AQ826" t="s">
        <v>74</v>
      </c>
      <c r="AR826" t="s">
        <v>8865</v>
      </c>
      <c r="AS826" t="s">
        <v>8866</v>
      </c>
      <c r="AT826" t="s">
        <v>15948</v>
      </c>
      <c r="AU826">
        <v>2017</v>
      </c>
      <c r="AV826">
        <v>220</v>
      </c>
      <c r="AW826">
        <v>22</v>
      </c>
      <c r="AX826" t="s">
        <v>74</v>
      </c>
      <c r="AY826" t="s">
        <v>74</v>
      </c>
      <c r="AZ826" t="s">
        <v>74</v>
      </c>
      <c r="BA826" t="s">
        <v>74</v>
      </c>
      <c r="BB826">
        <v>4186</v>
      </c>
      <c r="BC826">
        <v>4194</v>
      </c>
      <c r="BD826" t="s">
        <v>74</v>
      </c>
      <c r="BE826" t="s">
        <v>16094</v>
      </c>
      <c r="BF826" t="str">
        <f>HYPERLINK("http://dx.doi.org/10.1242/jeb.168799","http://dx.doi.org/10.1242/jeb.168799")</f>
        <v>http://dx.doi.org/10.1242/jeb.168799</v>
      </c>
      <c r="BG826" t="s">
        <v>74</v>
      </c>
      <c r="BH826" t="s">
        <v>74</v>
      </c>
      <c r="BI826">
        <v>9</v>
      </c>
      <c r="BJ826" t="s">
        <v>8182</v>
      </c>
      <c r="BK826" t="s">
        <v>101</v>
      </c>
      <c r="BL826" t="s">
        <v>8183</v>
      </c>
      <c r="BM826" t="s">
        <v>16095</v>
      </c>
      <c r="BN826">
        <v>29141880</v>
      </c>
      <c r="BO826" t="s">
        <v>12763</v>
      </c>
      <c r="BP826" t="s">
        <v>74</v>
      </c>
      <c r="BQ826" t="s">
        <v>74</v>
      </c>
      <c r="BR826" t="s">
        <v>105</v>
      </c>
      <c r="BS826" t="s">
        <v>16096</v>
      </c>
      <c r="BT826" t="str">
        <f>HYPERLINK("https%3A%2F%2Fwww.webofscience.com%2Fwos%2Fwoscc%2Ffull-record%2FWOS:000415334800017","View Full Record in Web of Science")</f>
        <v>View Full Record in Web of Science</v>
      </c>
    </row>
    <row r="827" spans="1:72" x14ac:dyDescent="0.15">
      <c r="A827" t="s">
        <v>72</v>
      </c>
      <c r="B827" t="s">
        <v>16097</v>
      </c>
      <c r="C827" t="s">
        <v>74</v>
      </c>
      <c r="D827" t="s">
        <v>74</v>
      </c>
      <c r="E827" t="s">
        <v>74</v>
      </c>
      <c r="F827" t="s">
        <v>16098</v>
      </c>
      <c r="G827" t="s">
        <v>74</v>
      </c>
      <c r="H827" t="s">
        <v>74</v>
      </c>
      <c r="I827" t="s">
        <v>16099</v>
      </c>
      <c r="J827" t="s">
        <v>16100</v>
      </c>
      <c r="K827" t="s">
        <v>74</v>
      </c>
      <c r="L827" t="s">
        <v>74</v>
      </c>
      <c r="M827" t="s">
        <v>78</v>
      </c>
      <c r="N827" t="s">
        <v>79</v>
      </c>
      <c r="O827" t="s">
        <v>74</v>
      </c>
      <c r="P827" t="s">
        <v>74</v>
      </c>
      <c r="Q827" t="s">
        <v>74</v>
      </c>
      <c r="R827" t="s">
        <v>74</v>
      </c>
      <c r="S827" t="s">
        <v>74</v>
      </c>
      <c r="T827" t="s">
        <v>16101</v>
      </c>
      <c r="U827" t="s">
        <v>74</v>
      </c>
      <c r="V827" t="s">
        <v>16102</v>
      </c>
      <c r="W827" t="s">
        <v>16103</v>
      </c>
      <c r="X827" t="s">
        <v>2069</v>
      </c>
      <c r="Y827" t="s">
        <v>16104</v>
      </c>
      <c r="Z827" t="s">
        <v>16105</v>
      </c>
      <c r="AA827" t="s">
        <v>8784</v>
      </c>
      <c r="AB827" t="s">
        <v>74</v>
      </c>
      <c r="AC827" t="s">
        <v>74</v>
      </c>
      <c r="AD827" t="s">
        <v>74</v>
      </c>
      <c r="AE827" t="s">
        <v>74</v>
      </c>
      <c r="AF827" t="s">
        <v>74</v>
      </c>
      <c r="AG827">
        <v>11</v>
      </c>
      <c r="AH827">
        <v>1</v>
      </c>
      <c r="AI827">
        <v>2</v>
      </c>
      <c r="AJ827">
        <v>0</v>
      </c>
      <c r="AK827">
        <v>24</v>
      </c>
      <c r="AL827" t="s">
        <v>1700</v>
      </c>
      <c r="AM827" t="s">
        <v>1701</v>
      </c>
      <c r="AN827" t="s">
        <v>1702</v>
      </c>
      <c r="AO827" t="s">
        <v>16106</v>
      </c>
      <c r="AP827" t="s">
        <v>74</v>
      </c>
      <c r="AQ827" t="s">
        <v>74</v>
      </c>
      <c r="AR827" t="s">
        <v>16107</v>
      </c>
      <c r="AS827" t="s">
        <v>16108</v>
      </c>
      <c r="AT827" t="s">
        <v>15948</v>
      </c>
      <c r="AU827">
        <v>2017</v>
      </c>
      <c r="AV827">
        <v>13</v>
      </c>
      <c r="AW827">
        <v>2</v>
      </c>
      <c r="AX827" t="s">
        <v>74</v>
      </c>
      <c r="AY827" t="s">
        <v>74</v>
      </c>
      <c r="AZ827" t="s">
        <v>74</v>
      </c>
      <c r="BA827" t="s">
        <v>74</v>
      </c>
      <c r="BB827">
        <v>892</v>
      </c>
      <c r="BC827">
        <v>899</v>
      </c>
      <c r="BD827" t="s">
        <v>74</v>
      </c>
      <c r="BE827" t="s">
        <v>16109</v>
      </c>
      <c r="BF827" t="str">
        <f>HYPERLINK("http://dx.doi.org/10.1080/17445647.2017.1400477","http://dx.doi.org/10.1080/17445647.2017.1400477")</f>
        <v>http://dx.doi.org/10.1080/17445647.2017.1400477</v>
      </c>
      <c r="BG827" t="s">
        <v>74</v>
      </c>
      <c r="BH827" t="s">
        <v>74</v>
      </c>
      <c r="BI827">
        <v>8</v>
      </c>
      <c r="BJ827" t="s">
        <v>16110</v>
      </c>
      <c r="BK827" t="s">
        <v>2471</v>
      </c>
      <c r="BL827" t="s">
        <v>16111</v>
      </c>
      <c r="BM827" t="s">
        <v>16112</v>
      </c>
      <c r="BN827" t="s">
        <v>74</v>
      </c>
      <c r="BO827" t="s">
        <v>212</v>
      </c>
      <c r="BP827" t="s">
        <v>74</v>
      </c>
      <c r="BQ827" t="s">
        <v>74</v>
      </c>
      <c r="BR827" t="s">
        <v>105</v>
      </c>
      <c r="BS827" t="s">
        <v>16113</v>
      </c>
      <c r="BT827" t="str">
        <f>HYPERLINK("https%3A%2F%2Fwww.webofscience.com%2Fwos%2Fwoscc%2Ffull-record%2FWOS:000418848800001","View Full Record in Web of Science")</f>
        <v>View Full Record in Web of Science</v>
      </c>
    </row>
    <row r="828" spans="1:72" x14ac:dyDescent="0.15">
      <c r="A828" t="s">
        <v>72</v>
      </c>
      <c r="B828" t="s">
        <v>16114</v>
      </c>
      <c r="C828" t="s">
        <v>74</v>
      </c>
      <c r="D828" t="s">
        <v>74</v>
      </c>
      <c r="E828" t="s">
        <v>74</v>
      </c>
      <c r="F828" t="s">
        <v>16115</v>
      </c>
      <c r="G828" t="s">
        <v>74</v>
      </c>
      <c r="H828" t="s">
        <v>74</v>
      </c>
      <c r="I828" t="s">
        <v>16116</v>
      </c>
      <c r="J828" t="s">
        <v>16117</v>
      </c>
      <c r="K828" t="s">
        <v>74</v>
      </c>
      <c r="L828" t="s">
        <v>74</v>
      </c>
      <c r="M828" t="s">
        <v>78</v>
      </c>
      <c r="N828" t="s">
        <v>79</v>
      </c>
      <c r="O828" t="s">
        <v>74</v>
      </c>
      <c r="P828" t="s">
        <v>74</v>
      </c>
      <c r="Q828" t="s">
        <v>74</v>
      </c>
      <c r="R828" t="s">
        <v>74</v>
      </c>
      <c r="S828" t="s">
        <v>74</v>
      </c>
      <c r="T828" t="s">
        <v>16118</v>
      </c>
      <c r="U828" t="s">
        <v>16119</v>
      </c>
      <c r="V828" t="s">
        <v>16120</v>
      </c>
      <c r="W828" t="s">
        <v>16121</v>
      </c>
      <c r="X828" t="s">
        <v>16122</v>
      </c>
      <c r="Y828" t="s">
        <v>16123</v>
      </c>
      <c r="Z828" t="s">
        <v>16124</v>
      </c>
      <c r="AA828" t="s">
        <v>16125</v>
      </c>
      <c r="AB828" t="s">
        <v>16126</v>
      </c>
      <c r="AC828" t="s">
        <v>16127</v>
      </c>
      <c r="AD828" t="s">
        <v>16128</v>
      </c>
      <c r="AE828" t="s">
        <v>16129</v>
      </c>
      <c r="AF828" t="s">
        <v>74</v>
      </c>
      <c r="AG828">
        <v>47</v>
      </c>
      <c r="AH828">
        <v>74</v>
      </c>
      <c r="AI828">
        <v>84</v>
      </c>
      <c r="AJ828">
        <v>1</v>
      </c>
      <c r="AK828">
        <v>31</v>
      </c>
      <c r="AL828" t="s">
        <v>1186</v>
      </c>
      <c r="AM828" t="s">
        <v>808</v>
      </c>
      <c r="AN828" t="s">
        <v>1187</v>
      </c>
      <c r="AO828" t="s">
        <v>16130</v>
      </c>
      <c r="AP828" t="s">
        <v>16131</v>
      </c>
      <c r="AQ828" t="s">
        <v>74</v>
      </c>
      <c r="AR828" t="s">
        <v>16132</v>
      </c>
      <c r="AS828" t="s">
        <v>16133</v>
      </c>
      <c r="AT828" t="s">
        <v>15948</v>
      </c>
      <c r="AU828">
        <v>2017</v>
      </c>
      <c r="AV828">
        <v>62</v>
      </c>
      <c r="AW828">
        <v>21</v>
      </c>
      <c r="AX828" t="s">
        <v>74</v>
      </c>
      <c r="AY828" t="s">
        <v>74</v>
      </c>
      <c r="AZ828" t="s">
        <v>74</v>
      </c>
      <c r="BA828" t="s">
        <v>74</v>
      </c>
      <c r="BB828">
        <v>1433</v>
      </c>
      <c r="BC828">
        <v>1438</v>
      </c>
      <c r="BD828" t="s">
        <v>74</v>
      </c>
      <c r="BE828" t="s">
        <v>16134</v>
      </c>
      <c r="BF828" t="str">
        <f>HYPERLINK("http://dx.doi.org/10.1016/j.scib.2017.10.006","http://dx.doi.org/10.1016/j.scib.2017.10.006")</f>
        <v>http://dx.doi.org/10.1016/j.scib.2017.10.006</v>
      </c>
      <c r="BG828" t="s">
        <v>74</v>
      </c>
      <c r="BH828" t="s">
        <v>74</v>
      </c>
      <c r="BI828">
        <v>6</v>
      </c>
      <c r="BJ828" t="s">
        <v>129</v>
      </c>
      <c r="BK828" t="s">
        <v>101</v>
      </c>
      <c r="BL828" t="s">
        <v>130</v>
      </c>
      <c r="BM828" t="s">
        <v>16135</v>
      </c>
      <c r="BN828">
        <v>36659392</v>
      </c>
      <c r="BO828" t="s">
        <v>432</v>
      </c>
      <c r="BP828" t="s">
        <v>74</v>
      </c>
      <c r="BQ828" t="s">
        <v>74</v>
      </c>
      <c r="BR828" t="s">
        <v>105</v>
      </c>
      <c r="BS828" t="s">
        <v>16136</v>
      </c>
      <c r="BT828" t="str">
        <f>HYPERLINK("https%3A%2F%2Fwww.webofscience.com%2Fwos%2Fwoscc%2Ffull-record%2FWOS:000416211200004","View Full Record in Web of Science")</f>
        <v>View Full Record in Web of Science</v>
      </c>
    </row>
    <row r="829" spans="1:72" x14ac:dyDescent="0.15">
      <c r="A829" t="s">
        <v>72</v>
      </c>
      <c r="B829" t="s">
        <v>16137</v>
      </c>
      <c r="C829" t="s">
        <v>74</v>
      </c>
      <c r="D829" t="s">
        <v>74</v>
      </c>
      <c r="E829" t="s">
        <v>74</v>
      </c>
      <c r="F829" t="s">
        <v>16138</v>
      </c>
      <c r="G829" t="s">
        <v>74</v>
      </c>
      <c r="H829" t="s">
        <v>74</v>
      </c>
      <c r="I829" t="s">
        <v>16139</v>
      </c>
      <c r="J829" t="s">
        <v>1100</v>
      </c>
      <c r="K829" t="s">
        <v>74</v>
      </c>
      <c r="L829" t="s">
        <v>74</v>
      </c>
      <c r="M829" t="s">
        <v>78</v>
      </c>
      <c r="N829" t="s">
        <v>289</v>
      </c>
      <c r="O829" t="s">
        <v>74</v>
      </c>
      <c r="P829" t="s">
        <v>74</v>
      </c>
      <c r="Q829" t="s">
        <v>74</v>
      </c>
      <c r="R829" t="s">
        <v>74</v>
      </c>
      <c r="S829" t="s">
        <v>74</v>
      </c>
      <c r="T829" t="s">
        <v>16140</v>
      </c>
      <c r="U829" t="s">
        <v>16141</v>
      </c>
      <c r="V829" t="s">
        <v>16142</v>
      </c>
      <c r="W829" t="s">
        <v>16143</v>
      </c>
      <c r="X829" t="s">
        <v>16144</v>
      </c>
      <c r="Y829" t="s">
        <v>16145</v>
      </c>
      <c r="Z829" t="s">
        <v>16146</v>
      </c>
      <c r="AA829" t="s">
        <v>16147</v>
      </c>
      <c r="AB829" t="s">
        <v>16148</v>
      </c>
      <c r="AC829" t="s">
        <v>16149</v>
      </c>
      <c r="AD829" t="s">
        <v>6479</v>
      </c>
      <c r="AE829" t="s">
        <v>74</v>
      </c>
      <c r="AF829" t="s">
        <v>74</v>
      </c>
      <c r="AG829">
        <v>90</v>
      </c>
      <c r="AH829">
        <v>439</v>
      </c>
      <c r="AI829">
        <v>476</v>
      </c>
      <c r="AJ829">
        <v>47</v>
      </c>
      <c r="AK829">
        <v>891</v>
      </c>
      <c r="AL829" t="s">
        <v>807</v>
      </c>
      <c r="AM829" t="s">
        <v>808</v>
      </c>
      <c r="AN829" t="s">
        <v>809</v>
      </c>
      <c r="AO829" t="s">
        <v>1113</v>
      </c>
      <c r="AP829" t="s">
        <v>1114</v>
      </c>
      <c r="AQ829" t="s">
        <v>74</v>
      </c>
      <c r="AR829" t="s">
        <v>1115</v>
      </c>
      <c r="AS829" t="s">
        <v>1116</v>
      </c>
      <c r="AT829" t="s">
        <v>15948</v>
      </c>
      <c r="AU829">
        <v>2017</v>
      </c>
      <c r="AV829">
        <v>598</v>
      </c>
      <c r="AW829" t="s">
        <v>74</v>
      </c>
      <c r="AX829" t="s">
        <v>74</v>
      </c>
      <c r="AY829" t="s">
        <v>74</v>
      </c>
      <c r="AZ829" t="s">
        <v>74</v>
      </c>
      <c r="BA829" t="s">
        <v>74</v>
      </c>
      <c r="BB829">
        <v>220</v>
      </c>
      <c r="BC829">
        <v>227</v>
      </c>
      <c r="BD829" t="s">
        <v>74</v>
      </c>
      <c r="BE829" t="s">
        <v>16150</v>
      </c>
      <c r="BF829" t="str">
        <f>HYPERLINK("http://dx.doi.org/10.1016/j.scitotenv.2017.03.283","http://dx.doi.org/10.1016/j.scitotenv.2017.03.283")</f>
        <v>http://dx.doi.org/10.1016/j.scitotenv.2017.03.283</v>
      </c>
      <c r="BG829" t="s">
        <v>74</v>
      </c>
      <c r="BH829" t="s">
        <v>74</v>
      </c>
      <c r="BI829">
        <v>8</v>
      </c>
      <c r="BJ829" t="s">
        <v>1119</v>
      </c>
      <c r="BK829" t="s">
        <v>101</v>
      </c>
      <c r="BL829" t="s">
        <v>1120</v>
      </c>
      <c r="BM829" t="s">
        <v>16151</v>
      </c>
      <c r="BN829">
        <v>28441600</v>
      </c>
      <c r="BO829" t="s">
        <v>8718</v>
      </c>
      <c r="BP829" t="s">
        <v>4700</v>
      </c>
      <c r="BQ829" t="s">
        <v>4701</v>
      </c>
      <c r="BR829" t="s">
        <v>105</v>
      </c>
      <c r="BS829" t="s">
        <v>16152</v>
      </c>
      <c r="BT829" t="str">
        <f>HYPERLINK("https%3A%2F%2Fwww.webofscience.com%2Fwos%2Fwoscc%2Ffull-record%2FWOS:000404504000025","View Full Record in Web of Science")</f>
        <v>View Full Record in Web of Science</v>
      </c>
    </row>
    <row r="830" spans="1:72" x14ac:dyDescent="0.15">
      <c r="A830" t="s">
        <v>72</v>
      </c>
      <c r="B830" t="s">
        <v>16153</v>
      </c>
      <c r="C830" t="s">
        <v>74</v>
      </c>
      <c r="D830" t="s">
        <v>74</v>
      </c>
      <c r="E830" t="s">
        <v>74</v>
      </c>
      <c r="F830" t="s">
        <v>16154</v>
      </c>
      <c r="G830" t="s">
        <v>74</v>
      </c>
      <c r="H830" t="s">
        <v>74</v>
      </c>
      <c r="I830" t="s">
        <v>16155</v>
      </c>
      <c r="J830" t="s">
        <v>16156</v>
      </c>
      <c r="K830" t="s">
        <v>74</v>
      </c>
      <c r="L830" t="s">
        <v>74</v>
      </c>
      <c r="M830" t="s">
        <v>78</v>
      </c>
      <c r="N830" t="s">
        <v>79</v>
      </c>
      <c r="O830" t="s">
        <v>74</v>
      </c>
      <c r="P830" t="s">
        <v>74</v>
      </c>
      <c r="Q830" t="s">
        <v>74</v>
      </c>
      <c r="R830" t="s">
        <v>74</v>
      </c>
      <c r="S830" t="s">
        <v>74</v>
      </c>
      <c r="T830" t="s">
        <v>16157</v>
      </c>
      <c r="U830" t="s">
        <v>16158</v>
      </c>
      <c r="V830" t="s">
        <v>16159</v>
      </c>
      <c r="W830" t="s">
        <v>16160</v>
      </c>
      <c r="X830" t="s">
        <v>1843</v>
      </c>
      <c r="Y830" t="s">
        <v>16161</v>
      </c>
      <c r="Z830" t="s">
        <v>16162</v>
      </c>
      <c r="AA830" t="s">
        <v>16163</v>
      </c>
      <c r="AB830" t="s">
        <v>16164</v>
      </c>
      <c r="AC830" t="s">
        <v>16165</v>
      </c>
      <c r="AD830" t="s">
        <v>16166</v>
      </c>
      <c r="AE830" t="s">
        <v>16167</v>
      </c>
      <c r="AF830" t="s">
        <v>74</v>
      </c>
      <c r="AG830">
        <v>54</v>
      </c>
      <c r="AH830">
        <v>20</v>
      </c>
      <c r="AI830">
        <v>24</v>
      </c>
      <c r="AJ830">
        <v>1</v>
      </c>
      <c r="AK830">
        <v>27</v>
      </c>
      <c r="AL830" t="s">
        <v>485</v>
      </c>
      <c r="AM830" t="s">
        <v>486</v>
      </c>
      <c r="AN830" t="s">
        <v>487</v>
      </c>
      <c r="AO830" t="s">
        <v>16168</v>
      </c>
      <c r="AP830" t="s">
        <v>74</v>
      </c>
      <c r="AQ830" t="s">
        <v>74</v>
      </c>
      <c r="AR830" t="s">
        <v>16169</v>
      </c>
      <c r="AS830" t="s">
        <v>16170</v>
      </c>
      <c r="AT830" t="s">
        <v>16171</v>
      </c>
      <c r="AU830">
        <v>2017</v>
      </c>
      <c r="AV830">
        <v>8</v>
      </c>
      <c r="AW830" t="s">
        <v>74</v>
      </c>
      <c r="AX830" t="s">
        <v>74</v>
      </c>
      <c r="AY830" t="s">
        <v>74</v>
      </c>
      <c r="AZ830" t="s">
        <v>74</v>
      </c>
      <c r="BA830" t="s">
        <v>74</v>
      </c>
      <c r="BB830" t="s">
        <v>74</v>
      </c>
      <c r="BC830" t="s">
        <v>74</v>
      </c>
      <c r="BD830">
        <v>2235</v>
      </c>
      <c r="BE830" t="s">
        <v>16172</v>
      </c>
      <c r="BF830" t="str">
        <f>HYPERLINK("http://dx.doi.org/10.3389/fmicb.2017.02235","http://dx.doi.org/10.3389/fmicb.2017.02235")</f>
        <v>http://dx.doi.org/10.3389/fmicb.2017.02235</v>
      </c>
      <c r="BG830" t="s">
        <v>74</v>
      </c>
      <c r="BH830" t="s">
        <v>74</v>
      </c>
      <c r="BI830">
        <v>12</v>
      </c>
      <c r="BJ830" t="s">
        <v>3806</v>
      </c>
      <c r="BK830" t="s">
        <v>101</v>
      </c>
      <c r="BL830" t="s">
        <v>3806</v>
      </c>
      <c r="BM830" t="s">
        <v>16173</v>
      </c>
      <c r="BN830">
        <v>29184546</v>
      </c>
      <c r="BO830" t="s">
        <v>681</v>
      </c>
      <c r="BP830" t="s">
        <v>74</v>
      </c>
      <c r="BQ830" t="s">
        <v>74</v>
      </c>
      <c r="BR830" t="s">
        <v>105</v>
      </c>
      <c r="BS830" t="s">
        <v>16174</v>
      </c>
      <c r="BT830" t="str">
        <f>HYPERLINK("https%3A%2F%2Fwww.webofscience.com%2Fwos%2Fwoscc%2Ffull-record%2FWOS:000415034400001","View Full Record in Web of Science")</f>
        <v>View Full Record in Web of Science</v>
      </c>
    </row>
    <row r="831" spans="1:72" x14ac:dyDescent="0.15">
      <c r="A831" t="s">
        <v>72</v>
      </c>
      <c r="B831" t="s">
        <v>16175</v>
      </c>
      <c r="C831" t="s">
        <v>74</v>
      </c>
      <c r="D831" t="s">
        <v>74</v>
      </c>
      <c r="E831" t="s">
        <v>74</v>
      </c>
      <c r="F831" t="s">
        <v>16176</v>
      </c>
      <c r="G831" t="s">
        <v>74</v>
      </c>
      <c r="H831" t="s">
        <v>74</v>
      </c>
      <c r="I831" t="s">
        <v>16177</v>
      </c>
      <c r="J831" t="s">
        <v>16178</v>
      </c>
      <c r="K831" t="s">
        <v>74</v>
      </c>
      <c r="L831" t="s">
        <v>74</v>
      </c>
      <c r="M831" t="s">
        <v>78</v>
      </c>
      <c r="N831" t="s">
        <v>79</v>
      </c>
      <c r="O831" t="s">
        <v>74</v>
      </c>
      <c r="P831" t="s">
        <v>74</v>
      </c>
      <c r="Q831" t="s">
        <v>74</v>
      </c>
      <c r="R831" t="s">
        <v>74</v>
      </c>
      <c r="S831" t="s">
        <v>74</v>
      </c>
      <c r="T831" t="s">
        <v>16179</v>
      </c>
      <c r="U831" t="s">
        <v>16180</v>
      </c>
      <c r="V831" t="s">
        <v>16181</v>
      </c>
      <c r="W831" t="s">
        <v>16182</v>
      </c>
      <c r="X831" t="s">
        <v>16183</v>
      </c>
      <c r="Y831" t="s">
        <v>16184</v>
      </c>
      <c r="Z831" t="s">
        <v>16185</v>
      </c>
      <c r="AA831" t="s">
        <v>16186</v>
      </c>
      <c r="AB831" t="s">
        <v>16187</v>
      </c>
      <c r="AC831" t="s">
        <v>16188</v>
      </c>
      <c r="AD831" t="s">
        <v>10583</v>
      </c>
      <c r="AE831" t="s">
        <v>16189</v>
      </c>
      <c r="AF831" t="s">
        <v>74</v>
      </c>
      <c r="AG831">
        <v>57</v>
      </c>
      <c r="AH831">
        <v>5</v>
      </c>
      <c r="AI831">
        <v>5</v>
      </c>
      <c r="AJ831">
        <v>1</v>
      </c>
      <c r="AK831">
        <v>14</v>
      </c>
      <c r="AL831" t="s">
        <v>16190</v>
      </c>
      <c r="AM831" t="s">
        <v>16191</v>
      </c>
      <c r="AN831" t="s">
        <v>16192</v>
      </c>
      <c r="AO831" t="s">
        <v>16193</v>
      </c>
      <c r="AP831" t="s">
        <v>16194</v>
      </c>
      <c r="AQ831" t="s">
        <v>74</v>
      </c>
      <c r="AR831" t="s">
        <v>16195</v>
      </c>
      <c r="AS831" t="s">
        <v>16196</v>
      </c>
      <c r="AT831" t="s">
        <v>16197</v>
      </c>
      <c r="AU831">
        <v>2017</v>
      </c>
      <c r="AV831">
        <v>36</v>
      </c>
      <c r="AW831" t="s">
        <v>74</v>
      </c>
      <c r="AX831" t="s">
        <v>74</v>
      </c>
      <c r="AY831" t="s">
        <v>74</v>
      </c>
      <c r="AZ831" t="s">
        <v>74</v>
      </c>
      <c r="BA831" t="s">
        <v>74</v>
      </c>
      <c r="BB831" t="s">
        <v>74</v>
      </c>
      <c r="BC831" t="s">
        <v>74</v>
      </c>
      <c r="BD831">
        <v>1390385</v>
      </c>
      <c r="BE831" t="s">
        <v>16198</v>
      </c>
      <c r="BF831" t="str">
        <f>HYPERLINK("http://dx.doi.org/10.1080/17518369.2017.1390385","http://dx.doi.org/10.1080/17518369.2017.1390385")</f>
        <v>http://dx.doi.org/10.1080/17518369.2017.1390385</v>
      </c>
      <c r="BG831" t="s">
        <v>74</v>
      </c>
      <c r="BH831" t="s">
        <v>74</v>
      </c>
      <c r="BI831">
        <v>10</v>
      </c>
      <c r="BJ831" t="s">
        <v>16199</v>
      </c>
      <c r="BK831" t="s">
        <v>101</v>
      </c>
      <c r="BL831" t="s">
        <v>16200</v>
      </c>
      <c r="BM831" t="s">
        <v>16201</v>
      </c>
      <c r="BN831" t="s">
        <v>74</v>
      </c>
      <c r="BO831" t="s">
        <v>494</v>
      </c>
      <c r="BP831" t="s">
        <v>74</v>
      </c>
      <c r="BQ831" t="s">
        <v>74</v>
      </c>
      <c r="BR831" t="s">
        <v>105</v>
      </c>
      <c r="BS831" t="s">
        <v>16202</v>
      </c>
      <c r="BT831" t="str">
        <f>HYPERLINK("https%3A%2F%2Fwww.webofscience.com%2Fwos%2Fwoscc%2Ffull-record%2FWOS:000416974600001","View Full Record in Web of Science")</f>
        <v>View Full Record in Web of Science</v>
      </c>
    </row>
    <row r="832" spans="1:72" x14ac:dyDescent="0.15">
      <c r="A832" t="s">
        <v>72</v>
      </c>
      <c r="B832" t="s">
        <v>16203</v>
      </c>
      <c r="C832" t="s">
        <v>74</v>
      </c>
      <c r="D832" t="s">
        <v>74</v>
      </c>
      <c r="E832" t="s">
        <v>74</v>
      </c>
      <c r="F832" t="s">
        <v>16204</v>
      </c>
      <c r="G832" t="s">
        <v>74</v>
      </c>
      <c r="H832" t="s">
        <v>74</v>
      </c>
      <c r="I832" t="s">
        <v>16205</v>
      </c>
      <c r="J832" t="s">
        <v>11642</v>
      </c>
      <c r="K832" t="s">
        <v>74</v>
      </c>
      <c r="L832" t="s">
        <v>74</v>
      </c>
      <c r="M832" t="s">
        <v>78</v>
      </c>
      <c r="N832" t="s">
        <v>79</v>
      </c>
      <c r="O832" t="s">
        <v>74</v>
      </c>
      <c r="P832" t="s">
        <v>74</v>
      </c>
      <c r="Q832" t="s">
        <v>74</v>
      </c>
      <c r="R832" t="s">
        <v>74</v>
      </c>
      <c r="S832" t="s">
        <v>74</v>
      </c>
      <c r="T832" t="s">
        <v>74</v>
      </c>
      <c r="U832" t="s">
        <v>16206</v>
      </c>
      <c r="V832" t="s">
        <v>16207</v>
      </c>
      <c r="W832" t="s">
        <v>16208</v>
      </c>
      <c r="X832" t="s">
        <v>16209</v>
      </c>
      <c r="Y832" t="s">
        <v>16210</v>
      </c>
      <c r="Z832" t="s">
        <v>16211</v>
      </c>
      <c r="AA832" t="s">
        <v>16212</v>
      </c>
      <c r="AB832" t="s">
        <v>16213</v>
      </c>
      <c r="AC832" t="s">
        <v>16214</v>
      </c>
      <c r="AD832" t="s">
        <v>16215</v>
      </c>
      <c r="AE832" t="s">
        <v>16216</v>
      </c>
      <c r="AF832" t="s">
        <v>74</v>
      </c>
      <c r="AG832">
        <v>72</v>
      </c>
      <c r="AH832">
        <v>121</v>
      </c>
      <c r="AI832">
        <v>133</v>
      </c>
      <c r="AJ832">
        <v>4</v>
      </c>
      <c r="AK832">
        <v>37</v>
      </c>
      <c r="AL832" t="s">
        <v>892</v>
      </c>
      <c r="AM832" t="s">
        <v>698</v>
      </c>
      <c r="AN832" t="s">
        <v>699</v>
      </c>
      <c r="AO832" t="s">
        <v>11654</v>
      </c>
      <c r="AP832" t="s">
        <v>74</v>
      </c>
      <c r="AQ832" t="s">
        <v>74</v>
      </c>
      <c r="AR832" t="s">
        <v>11655</v>
      </c>
      <c r="AS832" t="s">
        <v>11656</v>
      </c>
      <c r="AT832" t="s">
        <v>16197</v>
      </c>
      <c r="AU832">
        <v>2017</v>
      </c>
      <c r="AV832">
        <v>7</v>
      </c>
      <c r="AW832" t="s">
        <v>74</v>
      </c>
      <c r="AX832" t="s">
        <v>74</v>
      </c>
      <c r="AY832" t="s">
        <v>74</v>
      </c>
      <c r="AZ832" t="s">
        <v>74</v>
      </c>
      <c r="BA832" t="s">
        <v>74</v>
      </c>
      <c r="BB832" t="s">
        <v>74</v>
      </c>
      <c r="BC832" t="s">
        <v>74</v>
      </c>
      <c r="BD832">
        <v>15391</v>
      </c>
      <c r="BE832" t="s">
        <v>16217</v>
      </c>
      <c r="BF832" t="str">
        <f>HYPERLINK("http://dx.doi.org/10.1038/s41598-017-15473-8","http://dx.doi.org/10.1038/s41598-017-15473-8")</f>
        <v>http://dx.doi.org/10.1038/s41598-017-15473-8</v>
      </c>
      <c r="BG832" t="s">
        <v>74</v>
      </c>
      <c r="BH832" t="s">
        <v>74</v>
      </c>
      <c r="BI832">
        <v>14</v>
      </c>
      <c r="BJ832" t="s">
        <v>129</v>
      </c>
      <c r="BK832" t="s">
        <v>101</v>
      </c>
      <c r="BL832" t="s">
        <v>130</v>
      </c>
      <c r="BM832" t="s">
        <v>16218</v>
      </c>
      <c r="BN832">
        <v>29133812</v>
      </c>
      <c r="BO832" t="s">
        <v>681</v>
      </c>
      <c r="BP832" t="s">
        <v>74</v>
      </c>
      <c r="BQ832" t="s">
        <v>74</v>
      </c>
      <c r="BR832" t="s">
        <v>105</v>
      </c>
      <c r="BS832" t="s">
        <v>16219</v>
      </c>
      <c r="BT832" t="str">
        <f>HYPERLINK("https%3A%2F%2Fwww.webofscience.com%2Fwos%2Fwoscc%2Ffull-record%2FWOS:000415022900027","View Full Record in Web of Science")</f>
        <v>View Full Record in Web of Science</v>
      </c>
    </row>
    <row r="833" spans="1:72" x14ac:dyDescent="0.15">
      <c r="A833" t="s">
        <v>72</v>
      </c>
      <c r="B833" t="s">
        <v>16220</v>
      </c>
      <c r="C833" t="s">
        <v>74</v>
      </c>
      <c r="D833" t="s">
        <v>74</v>
      </c>
      <c r="E833" t="s">
        <v>74</v>
      </c>
      <c r="F833" t="s">
        <v>16221</v>
      </c>
      <c r="G833" t="s">
        <v>74</v>
      </c>
      <c r="H833" t="s">
        <v>74</v>
      </c>
      <c r="I833" t="s">
        <v>16222</v>
      </c>
      <c r="J833" t="s">
        <v>217</v>
      </c>
      <c r="K833" t="s">
        <v>74</v>
      </c>
      <c r="L833" t="s">
        <v>74</v>
      </c>
      <c r="M833" t="s">
        <v>78</v>
      </c>
      <c r="N833" t="s">
        <v>79</v>
      </c>
      <c r="O833" t="s">
        <v>74</v>
      </c>
      <c r="P833" t="s">
        <v>74</v>
      </c>
      <c r="Q833" t="s">
        <v>74</v>
      </c>
      <c r="R833" t="s">
        <v>74</v>
      </c>
      <c r="S833" t="s">
        <v>74</v>
      </c>
      <c r="T833" t="s">
        <v>74</v>
      </c>
      <c r="U833" t="s">
        <v>16223</v>
      </c>
      <c r="V833" t="s">
        <v>16224</v>
      </c>
      <c r="W833" t="s">
        <v>16225</v>
      </c>
      <c r="X833" t="s">
        <v>16226</v>
      </c>
      <c r="Y833" t="s">
        <v>16227</v>
      </c>
      <c r="Z833" t="s">
        <v>16228</v>
      </c>
      <c r="AA833" t="s">
        <v>16229</v>
      </c>
      <c r="AB833" t="s">
        <v>16230</v>
      </c>
      <c r="AC833" t="s">
        <v>16231</v>
      </c>
      <c r="AD833" t="s">
        <v>16232</v>
      </c>
      <c r="AE833" t="s">
        <v>16233</v>
      </c>
      <c r="AF833" t="s">
        <v>74</v>
      </c>
      <c r="AG833">
        <v>36</v>
      </c>
      <c r="AH833">
        <v>47</v>
      </c>
      <c r="AI833">
        <v>53</v>
      </c>
      <c r="AJ833">
        <v>1</v>
      </c>
      <c r="AK833">
        <v>21</v>
      </c>
      <c r="AL833" t="s">
        <v>149</v>
      </c>
      <c r="AM833" t="s">
        <v>150</v>
      </c>
      <c r="AN833" t="s">
        <v>151</v>
      </c>
      <c r="AO833" t="s">
        <v>229</v>
      </c>
      <c r="AP833" t="s">
        <v>230</v>
      </c>
      <c r="AQ833" t="s">
        <v>74</v>
      </c>
      <c r="AR833" t="s">
        <v>217</v>
      </c>
      <c r="AS833" t="s">
        <v>231</v>
      </c>
      <c r="AT833" t="s">
        <v>16197</v>
      </c>
      <c r="AU833">
        <v>2017</v>
      </c>
      <c r="AV833">
        <v>11</v>
      </c>
      <c r="AW833">
        <v>6</v>
      </c>
      <c r="AX833" t="s">
        <v>74</v>
      </c>
      <c r="AY833" t="s">
        <v>74</v>
      </c>
      <c r="AZ833" t="s">
        <v>74</v>
      </c>
      <c r="BA833" t="s">
        <v>74</v>
      </c>
      <c r="BB833">
        <v>2571</v>
      </c>
      <c r="BC833">
        <v>2593</v>
      </c>
      <c r="BD833" t="s">
        <v>74</v>
      </c>
      <c r="BE833" t="s">
        <v>16234</v>
      </c>
      <c r="BF833" t="str">
        <f>HYPERLINK("http://dx.doi.org/10.5194/tc-11-2571-2017","http://dx.doi.org/10.5194/tc-11-2571-2017")</f>
        <v>http://dx.doi.org/10.5194/tc-11-2571-2017</v>
      </c>
      <c r="BG833" t="s">
        <v>74</v>
      </c>
      <c r="BH833" t="s">
        <v>74</v>
      </c>
      <c r="BI833">
        <v>23</v>
      </c>
      <c r="BJ833" t="s">
        <v>233</v>
      </c>
      <c r="BK833" t="s">
        <v>101</v>
      </c>
      <c r="BL833" t="s">
        <v>234</v>
      </c>
      <c r="BM833" t="s">
        <v>16235</v>
      </c>
      <c r="BN833" t="s">
        <v>74</v>
      </c>
      <c r="BO833" t="s">
        <v>236</v>
      </c>
      <c r="BP833" t="s">
        <v>74</v>
      </c>
      <c r="BQ833" t="s">
        <v>74</v>
      </c>
      <c r="BR833" t="s">
        <v>105</v>
      </c>
      <c r="BS833" t="s">
        <v>16236</v>
      </c>
      <c r="BT833" t="str">
        <f>HYPERLINK("https%3A%2F%2Fwww.webofscience.com%2Fwos%2Fwoscc%2Ffull-record%2FWOS:000415096200001","View Full Record in Web of Science")</f>
        <v>View Full Record in Web of Science</v>
      </c>
    </row>
    <row r="834" spans="1:72" x14ac:dyDescent="0.15">
      <c r="A834" t="s">
        <v>72</v>
      </c>
      <c r="B834" t="s">
        <v>16237</v>
      </c>
      <c r="C834" t="s">
        <v>74</v>
      </c>
      <c r="D834" t="s">
        <v>74</v>
      </c>
      <c r="E834" t="s">
        <v>74</v>
      </c>
      <c r="F834" t="s">
        <v>16238</v>
      </c>
      <c r="G834" t="s">
        <v>74</v>
      </c>
      <c r="H834" t="s">
        <v>74</v>
      </c>
      <c r="I834" t="s">
        <v>16239</v>
      </c>
      <c r="J834" t="s">
        <v>16240</v>
      </c>
      <c r="K834" t="s">
        <v>74</v>
      </c>
      <c r="L834" t="s">
        <v>74</v>
      </c>
      <c r="M834" t="s">
        <v>78</v>
      </c>
      <c r="N834" t="s">
        <v>79</v>
      </c>
      <c r="O834" t="s">
        <v>74</v>
      </c>
      <c r="P834" t="s">
        <v>74</v>
      </c>
      <c r="Q834" t="s">
        <v>74</v>
      </c>
      <c r="R834" t="s">
        <v>74</v>
      </c>
      <c r="S834" t="s">
        <v>74</v>
      </c>
      <c r="T834" t="s">
        <v>16241</v>
      </c>
      <c r="U834" t="s">
        <v>16242</v>
      </c>
      <c r="V834" t="s">
        <v>16243</v>
      </c>
      <c r="W834" t="s">
        <v>16244</v>
      </c>
      <c r="X834" t="s">
        <v>16245</v>
      </c>
      <c r="Y834" t="s">
        <v>16246</v>
      </c>
      <c r="Z834" t="s">
        <v>16247</v>
      </c>
      <c r="AA834" t="s">
        <v>16248</v>
      </c>
      <c r="AB834" t="s">
        <v>16249</v>
      </c>
      <c r="AC834" t="s">
        <v>16250</v>
      </c>
      <c r="AD834" t="s">
        <v>16251</v>
      </c>
      <c r="AE834" t="s">
        <v>16252</v>
      </c>
      <c r="AF834" t="s">
        <v>74</v>
      </c>
      <c r="AG834">
        <v>63</v>
      </c>
      <c r="AH834">
        <v>11</v>
      </c>
      <c r="AI834">
        <v>12</v>
      </c>
      <c r="AJ834">
        <v>2</v>
      </c>
      <c r="AK834">
        <v>29</v>
      </c>
      <c r="AL834" t="s">
        <v>578</v>
      </c>
      <c r="AM834" t="s">
        <v>92</v>
      </c>
      <c r="AN834" t="s">
        <v>579</v>
      </c>
      <c r="AO834" t="s">
        <v>74</v>
      </c>
      <c r="AP834" t="s">
        <v>16253</v>
      </c>
      <c r="AQ834" t="s">
        <v>74</v>
      </c>
      <c r="AR834" t="s">
        <v>16254</v>
      </c>
      <c r="AS834" t="s">
        <v>16255</v>
      </c>
      <c r="AT834" t="s">
        <v>16256</v>
      </c>
      <c r="AU834">
        <v>2017</v>
      </c>
      <c r="AV834">
        <v>17</v>
      </c>
      <c r="AW834" t="s">
        <v>74</v>
      </c>
      <c r="AX834" t="s">
        <v>74</v>
      </c>
      <c r="AY834" t="s">
        <v>74</v>
      </c>
      <c r="AZ834" t="s">
        <v>74</v>
      </c>
      <c r="BA834" t="s">
        <v>74</v>
      </c>
      <c r="BB834" t="s">
        <v>74</v>
      </c>
      <c r="BC834" t="s">
        <v>74</v>
      </c>
      <c r="BD834">
        <v>34</v>
      </c>
      <c r="BE834" t="s">
        <v>16257</v>
      </c>
      <c r="BF834" t="str">
        <f>HYPERLINK("http://dx.doi.org/10.1186/s12898-017-0144-x","http://dx.doi.org/10.1186/s12898-017-0144-x")</f>
        <v>http://dx.doi.org/10.1186/s12898-017-0144-x</v>
      </c>
      <c r="BG834" t="s">
        <v>74</v>
      </c>
      <c r="BH834" t="s">
        <v>74</v>
      </c>
      <c r="BI834">
        <v>10</v>
      </c>
      <c r="BJ834" t="s">
        <v>5502</v>
      </c>
      <c r="BK834" t="s">
        <v>101</v>
      </c>
      <c r="BL834" t="s">
        <v>1120</v>
      </c>
      <c r="BM834" t="s">
        <v>16258</v>
      </c>
      <c r="BN834">
        <v>29126411</v>
      </c>
      <c r="BO834" t="s">
        <v>703</v>
      </c>
      <c r="BP834" t="s">
        <v>74</v>
      </c>
      <c r="BQ834" t="s">
        <v>74</v>
      </c>
      <c r="BR834" t="s">
        <v>105</v>
      </c>
      <c r="BS834" t="s">
        <v>16259</v>
      </c>
      <c r="BT834" t="str">
        <f>HYPERLINK("https%3A%2F%2Fwww.webofscience.com%2Fwos%2Fwoscc%2Ffull-record%2FWOS:000414993900001","View Full Record in Web of Science")</f>
        <v>View Full Record in Web of Science</v>
      </c>
    </row>
    <row r="835" spans="1:72" x14ac:dyDescent="0.15">
      <c r="A835" t="s">
        <v>72</v>
      </c>
      <c r="B835" t="s">
        <v>16260</v>
      </c>
      <c r="C835" t="s">
        <v>74</v>
      </c>
      <c r="D835" t="s">
        <v>74</v>
      </c>
      <c r="E835" t="s">
        <v>74</v>
      </c>
      <c r="F835" t="s">
        <v>16261</v>
      </c>
      <c r="G835" t="s">
        <v>74</v>
      </c>
      <c r="H835" t="s">
        <v>74</v>
      </c>
      <c r="I835" t="s">
        <v>16262</v>
      </c>
      <c r="J835" t="s">
        <v>16263</v>
      </c>
      <c r="K835" t="s">
        <v>74</v>
      </c>
      <c r="L835" t="s">
        <v>74</v>
      </c>
      <c r="M835" t="s">
        <v>78</v>
      </c>
      <c r="N835" t="s">
        <v>79</v>
      </c>
      <c r="O835" t="s">
        <v>74</v>
      </c>
      <c r="P835" t="s">
        <v>74</v>
      </c>
      <c r="Q835" t="s">
        <v>74</v>
      </c>
      <c r="R835" t="s">
        <v>74</v>
      </c>
      <c r="S835" t="s">
        <v>74</v>
      </c>
      <c r="T835" t="s">
        <v>16264</v>
      </c>
      <c r="U835" t="s">
        <v>16265</v>
      </c>
      <c r="V835" t="s">
        <v>16266</v>
      </c>
      <c r="W835" t="s">
        <v>16267</v>
      </c>
      <c r="X835" t="s">
        <v>16268</v>
      </c>
      <c r="Y835" t="s">
        <v>16269</v>
      </c>
      <c r="Z835" t="s">
        <v>16270</v>
      </c>
      <c r="AA835" t="s">
        <v>16271</v>
      </c>
      <c r="AB835" t="s">
        <v>16272</v>
      </c>
      <c r="AC835" t="s">
        <v>16273</v>
      </c>
      <c r="AD835" t="s">
        <v>16273</v>
      </c>
      <c r="AE835" t="s">
        <v>16274</v>
      </c>
      <c r="AF835" t="s">
        <v>74</v>
      </c>
      <c r="AG835">
        <v>34</v>
      </c>
      <c r="AH835">
        <v>5</v>
      </c>
      <c r="AI835">
        <v>5</v>
      </c>
      <c r="AJ835">
        <v>0</v>
      </c>
      <c r="AK835">
        <v>5</v>
      </c>
      <c r="AL835" t="s">
        <v>485</v>
      </c>
      <c r="AM835" t="s">
        <v>486</v>
      </c>
      <c r="AN835" t="s">
        <v>604</v>
      </c>
      <c r="AO835" t="s">
        <v>74</v>
      </c>
      <c r="AP835" t="s">
        <v>16275</v>
      </c>
      <c r="AQ835" t="s">
        <v>74</v>
      </c>
      <c r="AR835" t="s">
        <v>16276</v>
      </c>
      <c r="AS835" t="s">
        <v>16277</v>
      </c>
      <c r="AT835" t="s">
        <v>16256</v>
      </c>
      <c r="AU835">
        <v>2017</v>
      </c>
      <c r="AV835">
        <v>8</v>
      </c>
      <c r="AW835" t="s">
        <v>74</v>
      </c>
      <c r="AX835" t="s">
        <v>74</v>
      </c>
      <c r="AY835" t="s">
        <v>74</v>
      </c>
      <c r="AZ835" t="s">
        <v>74</v>
      </c>
      <c r="BA835" t="s">
        <v>74</v>
      </c>
      <c r="BB835" t="s">
        <v>74</v>
      </c>
      <c r="BC835" t="s">
        <v>74</v>
      </c>
      <c r="BD835">
        <v>909</v>
      </c>
      <c r="BE835" t="s">
        <v>16278</v>
      </c>
      <c r="BF835" t="str">
        <f>HYPERLINK("http://dx.doi.org/10.3389/fphys.2017.00909","http://dx.doi.org/10.3389/fphys.2017.00909")</f>
        <v>http://dx.doi.org/10.3389/fphys.2017.00909</v>
      </c>
      <c r="BG835" t="s">
        <v>74</v>
      </c>
      <c r="BH835" t="s">
        <v>74</v>
      </c>
      <c r="BI835">
        <v>9</v>
      </c>
      <c r="BJ835" t="s">
        <v>16279</v>
      </c>
      <c r="BK835" t="s">
        <v>101</v>
      </c>
      <c r="BL835" t="s">
        <v>16279</v>
      </c>
      <c r="BM835" t="s">
        <v>16280</v>
      </c>
      <c r="BN835">
        <v>29176953</v>
      </c>
      <c r="BO835" t="s">
        <v>2474</v>
      </c>
      <c r="BP835" t="s">
        <v>74</v>
      </c>
      <c r="BQ835" t="s">
        <v>74</v>
      </c>
      <c r="BR835" t="s">
        <v>105</v>
      </c>
      <c r="BS835" t="s">
        <v>16281</v>
      </c>
      <c r="BT835" t="str">
        <f>HYPERLINK("https%3A%2F%2Fwww.webofscience.com%2Fwos%2Fwoscc%2Ffull-record%2FWOS:000414857300001","View Full Record in Web of Science")</f>
        <v>View Full Record in Web of Science</v>
      </c>
    </row>
    <row r="836" spans="1:72" x14ac:dyDescent="0.15">
      <c r="A836" t="s">
        <v>72</v>
      </c>
      <c r="B836" t="s">
        <v>16282</v>
      </c>
      <c r="C836" t="s">
        <v>74</v>
      </c>
      <c r="D836" t="s">
        <v>74</v>
      </c>
      <c r="E836" t="s">
        <v>74</v>
      </c>
      <c r="F836" t="s">
        <v>16283</v>
      </c>
      <c r="G836" t="s">
        <v>74</v>
      </c>
      <c r="H836" t="s">
        <v>74</v>
      </c>
      <c r="I836" t="s">
        <v>16284</v>
      </c>
      <c r="J836" t="s">
        <v>11744</v>
      </c>
      <c r="K836" t="s">
        <v>74</v>
      </c>
      <c r="L836" t="s">
        <v>74</v>
      </c>
      <c r="M836" t="s">
        <v>78</v>
      </c>
      <c r="N836" t="s">
        <v>79</v>
      </c>
      <c r="O836" t="s">
        <v>74</v>
      </c>
      <c r="P836" t="s">
        <v>74</v>
      </c>
      <c r="Q836" t="s">
        <v>74</v>
      </c>
      <c r="R836" t="s">
        <v>74</v>
      </c>
      <c r="S836" t="s">
        <v>74</v>
      </c>
      <c r="T836" t="s">
        <v>74</v>
      </c>
      <c r="U836" t="s">
        <v>16285</v>
      </c>
      <c r="V836" t="s">
        <v>16286</v>
      </c>
      <c r="W836" t="s">
        <v>16287</v>
      </c>
      <c r="X836" t="s">
        <v>16288</v>
      </c>
      <c r="Y836" t="s">
        <v>16289</v>
      </c>
      <c r="Z836" t="s">
        <v>16290</v>
      </c>
      <c r="AA836" t="s">
        <v>16291</v>
      </c>
      <c r="AB836" t="s">
        <v>16292</v>
      </c>
      <c r="AC836" t="s">
        <v>16293</v>
      </c>
      <c r="AD836" t="s">
        <v>16294</v>
      </c>
      <c r="AE836" t="s">
        <v>16295</v>
      </c>
      <c r="AF836" t="s">
        <v>74</v>
      </c>
      <c r="AG836">
        <v>134</v>
      </c>
      <c r="AH836">
        <v>110</v>
      </c>
      <c r="AI836">
        <v>115</v>
      </c>
      <c r="AJ836">
        <v>7</v>
      </c>
      <c r="AK836">
        <v>38</v>
      </c>
      <c r="AL836" t="s">
        <v>149</v>
      </c>
      <c r="AM836" t="s">
        <v>150</v>
      </c>
      <c r="AN836" t="s">
        <v>151</v>
      </c>
      <c r="AO836" t="s">
        <v>11756</v>
      </c>
      <c r="AP836" t="s">
        <v>11757</v>
      </c>
      <c r="AQ836" t="s">
        <v>74</v>
      </c>
      <c r="AR836" t="s">
        <v>11758</v>
      </c>
      <c r="AS836" t="s">
        <v>11759</v>
      </c>
      <c r="AT836" t="s">
        <v>16256</v>
      </c>
      <c r="AU836">
        <v>2017</v>
      </c>
      <c r="AV836">
        <v>13</v>
      </c>
      <c r="AW836">
        <v>11</v>
      </c>
      <c r="AX836" t="s">
        <v>74</v>
      </c>
      <c r="AY836" t="s">
        <v>74</v>
      </c>
      <c r="AZ836" t="s">
        <v>74</v>
      </c>
      <c r="BA836" t="s">
        <v>74</v>
      </c>
      <c r="BB836">
        <v>1491</v>
      </c>
      <c r="BC836">
        <v>1513</v>
      </c>
      <c r="BD836" t="s">
        <v>74</v>
      </c>
      <c r="BE836" t="s">
        <v>16296</v>
      </c>
      <c r="BF836" t="str">
        <f>HYPERLINK("http://dx.doi.org/10.5194/cp-13-1491-2017","http://dx.doi.org/10.5194/cp-13-1491-2017")</f>
        <v>http://dx.doi.org/10.5194/cp-13-1491-2017</v>
      </c>
      <c r="BG836" t="s">
        <v>74</v>
      </c>
      <c r="BH836" t="s">
        <v>74</v>
      </c>
      <c r="BI836">
        <v>23</v>
      </c>
      <c r="BJ836" t="s">
        <v>10260</v>
      </c>
      <c r="BK836" t="s">
        <v>101</v>
      </c>
      <c r="BL836" t="s">
        <v>10261</v>
      </c>
      <c r="BM836" t="s">
        <v>16297</v>
      </c>
      <c r="BN836" t="s">
        <v>74</v>
      </c>
      <c r="BO836" t="s">
        <v>5413</v>
      </c>
      <c r="BP836" t="s">
        <v>74</v>
      </c>
      <c r="BQ836" t="s">
        <v>74</v>
      </c>
      <c r="BR836" t="s">
        <v>105</v>
      </c>
      <c r="BS836" t="s">
        <v>16298</v>
      </c>
      <c r="BT836" t="str">
        <f>HYPERLINK("https%3A%2F%2Fwww.webofscience.com%2Fwos%2Fwoscc%2Ffull-record%2FWOS:000414951400001","View Full Record in Web of Science")</f>
        <v>View Full Record in Web of Science</v>
      </c>
    </row>
    <row r="837" spans="1:72" x14ac:dyDescent="0.15">
      <c r="A837" t="s">
        <v>72</v>
      </c>
      <c r="B837" t="s">
        <v>16299</v>
      </c>
      <c r="C837" t="s">
        <v>74</v>
      </c>
      <c r="D837" t="s">
        <v>74</v>
      </c>
      <c r="E837" t="s">
        <v>74</v>
      </c>
      <c r="F837" t="s">
        <v>16300</v>
      </c>
      <c r="G837" t="s">
        <v>74</v>
      </c>
      <c r="H837" t="s">
        <v>74</v>
      </c>
      <c r="I837" t="s">
        <v>16301</v>
      </c>
      <c r="J837" t="s">
        <v>16302</v>
      </c>
      <c r="K837" t="s">
        <v>74</v>
      </c>
      <c r="L837" t="s">
        <v>74</v>
      </c>
      <c r="M837" t="s">
        <v>78</v>
      </c>
      <c r="N837" t="s">
        <v>79</v>
      </c>
      <c r="O837" t="s">
        <v>74</v>
      </c>
      <c r="P837" t="s">
        <v>74</v>
      </c>
      <c r="Q837" t="s">
        <v>74</v>
      </c>
      <c r="R837" t="s">
        <v>74</v>
      </c>
      <c r="S837" t="s">
        <v>74</v>
      </c>
      <c r="T837" t="s">
        <v>16303</v>
      </c>
      <c r="U837" t="s">
        <v>16304</v>
      </c>
      <c r="V837" t="s">
        <v>16305</v>
      </c>
      <c r="W837" t="s">
        <v>16306</v>
      </c>
      <c r="X837" t="s">
        <v>16307</v>
      </c>
      <c r="Y837" t="s">
        <v>16308</v>
      </c>
      <c r="Z837" t="s">
        <v>16309</v>
      </c>
      <c r="AA837" t="s">
        <v>16310</v>
      </c>
      <c r="AB837" t="s">
        <v>16311</v>
      </c>
      <c r="AC837" t="s">
        <v>16312</v>
      </c>
      <c r="AD837" t="s">
        <v>16313</v>
      </c>
      <c r="AE837" t="s">
        <v>16314</v>
      </c>
      <c r="AF837" t="s">
        <v>74</v>
      </c>
      <c r="AG837">
        <v>77</v>
      </c>
      <c r="AH837">
        <v>40</v>
      </c>
      <c r="AI837">
        <v>44</v>
      </c>
      <c r="AJ837">
        <v>1</v>
      </c>
      <c r="AK837">
        <v>27</v>
      </c>
      <c r="AL837" t="s">
        <v>485</v>
      </c>
      <c r="AM837" t="s">
        <v>486</v>
      </c>
      <c r="AN837" t="s">
        <v>604</v>
      </c>
      <c r="AO837" t="s">
        <v>16315</v>
      </c>
      <c r="AP837" t="s">
        <v>74</v>
      </c>
      <c r="AQ837" t="s">
        <v>74</v>
      </c>
      <c r="AR837" t="s">
        <v>16316</v>
      </c>
      <c r="AS837" t="s">
        <v>16317</v>
      </c>
      <c r="AT837" t="s">
        <v>16256</v>
      </c>
      <c r="AU837">
        <v>2017</v>
      </c>
      <c r="AV837">
        <v>5</v>
      </c>
      <c r="AW837" t="s">
        <v>74</v>
      </c>
      <c r="AX837" t="s">
        <v>74</v>
      </c>
      <c r="AY837" t="s">
        <v>74</v>
      </c>
      <c r="AZ837" t="s">
        <v>74</v>
      </c>
      <c r="BA837" t="s">
        <v>74</v>
      </c>
      <c r="BB837" t="s">
        <v>74</v>
      </c>
      <c r="BC837" t="s">
        <v>74</v>
      </c>
      <c r="BD837">
        <v>137</v>
      </c>
      <c r="BE837" t="s">
        <v>16318</v>
      </c>
      <c r="BF837" t="str">
        <f>HYPERLINK("http://dx.doi.org/10.3389/fevo.2017.00137","http://dx.doi.org/10.3389/fevo.2017.00137")</f>
        <v>http://dx.doi.org/10.3389/fevo.2017.00137</v>
      </c>
      <c r="BG837" t="s">
        <v>74</v>
      </c>
      <c r="BH837" t="s">
        <v>74</v>
      </c>
      <c r="BI837">
        <v>11</v>
      </c>
      <c r="BJ837" t="s">
        <v>5502</v>
      </c>
      <c r="BK837" t="s">
        <v>101</v>
      </c>
      <c r="BL837" t="s">
        <v>1120</v>
      </c>
      <c r="BM837" t="s">
        <v>16319</v>
      </c>
      <c r="BN837" t="s">
        <v>74</v>
      </c>
      <c r="BO837" t="s">
        <v>16320</v>
      </c>
      <c r="BP837" t="s">
        <v>74</v>
      </c>
      <c r="BQ837" t="s">
        <v>74</v>
      </c>
      <c r="BR837" t="s">
        <v>105</v>
      </c>
      <c r="BS837" t="s">
        <v>16321</v>
      </c>
      <c r="BT837" t="str">
        <f>HYPERLINK("https%3A%2F%2Fwww.webofscience.com%2Fwos%2Fwoscc%2Ffull-record%2FWOS:000451605900001","View Full Record in Web of Science")</f>
        <v>View Full Record in Web of Science</v>
      </c>
    </row>
    <row r="838" spans="1:72" x14ac:dyDescent="0.15">
      <c r="A838" t="s">
        <v>72</v>
      </c>
      <c r="B838" t="s">
        <v>16322</v>
      </c>
      <c r="C838" t="s">
        <v>74</v>
      </c>
      <c r="D838" t="s">
        <v>74</v>
      </c>
      <c r="E838" t="s">
        <v>74</v>
      </c>
      <c r="F838" t="s">
        <v>16323</v>
      </c>
      <c r="G838" t="s">
        <v>74</v>
      </c>
      <c r="H838" t="s">
        <v>74</v>
      </c>
      <c r="I838" t="s">
        <v>16324</v>
      </c>
      <c r="J838" t="s">
        <v>11642</v>
      </c>
      <c r="K838" t="s">
        <v>74</v>
      </c>
      <c r="L838" t="s">
        <v>74</v>
      </c>
      <c r="M838" t="s">
        <v>78</v>
      </c>
      <c r="N838" t="s">
        <v>79</v>
      </c>
      <c r="O838" t="s">
        <v>74</v>
      </c>
      <c r="P838" t="s">
        <v>74</v>
      </c>
      <c r="Q838" t="s">
        <v>74</v>
      </c>
      <c r="R838" t="s">
        <v>74</v>
      </c>
      <c r="S838" t="s">
        <v>74</v>
      </c>
      <c r="T838" t="s">
        <v>74</v>
      </c>
      <c r="U838" t="s">
        <v>16325</v>
      </c>
      <c r="V838" t="s">
        <v>16326</v>
      </c>
      <c r="W838" t="s">
        <v>16327</v>
      </c>
      <c r="X838" t="s">
        <v>16328</v>
      </c>
      <c r="Y838" t="s">
        <v>16329</v>
      </c>
      <c r="Z838" t="s">
        <v>16330</v>
      </c>
      <c r="AA838" t="s">
        <v>74</v>
      </c>
      <c r="AB838" t="s">
        <v>16331</v>
      </c>
      <c r="AC838" t="s">
        <v>16332</v>
      </c>
      <c r="AD838" t="s">
        <v>16333</v>
      </c>
      <c r="AE838" t="s">
        <v>16334</v>
      </c>
      <c r="AF838" t="s">
        <v>74</v>
      </c>
      <c r="AG838">
        <v>63</v>
      </c>
      <c r="AH838">
        <v>62</v>
      </c>
      <c r="AI838">
        <v>66</v>
      </c>
      <c r="AJ838">
        <v>0</v>
      </c>
      <c r="AK838">
        <v>15</v>
      </c>
      <c r="AL838" t="s">
        <v>892</v>
      </c>
      <c r="AM838" t="s">
        <v>698</v>
      </c>
      <c r="AN838" t="s">
        <v>699</v>
      </c>
      <c r="AO838" t="s">
        <v>11654</v>
      </c>
      <c r="AP838" t="s">
        <v>74</v>
      </c>
      <c r="AQ838" t="s">
        <v>74</v>
      </c>
      <c r="AR838" t="s">
        <v>11655</v>
      </c>
      <c r="AS838" t="s">
        <v>11656</v>
      </c>
      <c r="AT838" t="s">
        <v>16256</v>
      </c>
      <c r="AU838">
        <v>2017</v>
      </c>
      <c r="AV838">
        <v>7</v>
      </c>
      <c r="AW838" t="s">
        <v>74</v>
      </c>
      <c r="AX838" t="s">
        <v>74</v>
      </c>
      <c r="AY838" t="s">
        <v>74</v>
      </c>
      <c r="AZ838" t="s">
        <v>74</v>
      </c>
      <c r="BA838" t="s">
        <v>74</v>
      </c>
      <c r="BB838" t="s">
        <v>74</v>
      </c>
      <c r="BC838" t="s">
        <v>74</v>
      </c>
      <c r="BD838">
        <v>15348</v>
      </c>
      <c r="BE838" t="s">
        <v>16335</v>
      </c>
      <c r="BF838" t="str">
        <f>HYPERLINK("http://dx.doi.org/10.1038/s41598-017-15598-w","http://dx.doi.org/10.1038/s41598-017-15598-w")</f>
        <v>http://dx.doi.org/10.1038/s41598-017-15598-w</v>
      </c>
      <c r="BG838" t="s">
        <v>74</v>
      </c>
      <c r="BH838" t="s">
        <v>74</v>
      </c>
      <c r="BI838">
        <v>11</v>
      </c>
      <c r="BJ838" t="s">
        <v>129</v>
      </c>
      <c r="BK838" t="s">
        <v>101</v>
      </c>
      <c r="BL838" t="s">
        <v>130</v>
      </c>
      <c r="BM838" t="s">
        <v>16336</v>
      </c>
      <c r="BN838">
        <v>29127335</v>
      </c>
      <c r="BO838" t="s">
        <v>681</v>
      </c>
      <c r="BP838" t="s">
        <v>74</v>
      </c>
      <c r="BQ838" t="s">
        <v>74</v>
      </c>
      <c r="BR838" t="s">
        <v>105</v>
      </c>
      <c r="BS838" t="s">
        <v>16337</v>
      </c>
      <c r="BT838" t="str">
        <f>HYPERLINK("https%3A%2F%2Fwww.webofscience.com%2Fwos%2Fwoscc%2Ffull-record%2FWOS:000414917800088","View Full Record in Web of Science")</f>
        <v>View Full Record in Web of Science</v>
      </c>
    </row>
    <row r="839" spans="1:72" x14ac:dyDescent="0.15">
      <c r="A839" t="s">
        <v>72</v>
      </c>
      <c r="B839" t="s">
        <v>16338</v>
      </c>
      <c r="C839" t="s">
        <v>74</v>
      </c>
      <c r="D839" t="s">
        <v>74</v>
      </c>
      <c r="E839" t="s">
        <v>74</v>
      </c>
      <c r="F839" t="s">
        <v>16339</v>
      </c>
      <c r="G839" t="s">
        <v>74</v>
      </c>
      <c r="H839" t="s">
        <v>74</v>
      </c>
      <c r="I839" t="s">
        <v>16340</v>
      </c>
      <c r="J839" t="s">
        <v>16341</v>
      </c>
      <c r="K839" t="s">
        <v>74</v>
      </c>
      <c r="L839" t="s">
        <v>74</v>
      </c>
      <c r="M839" t="s">
        <v>78</v>
      </c>
      <c r="N839" t="s">
        <v>79</v>
      </c>
      <c r="O839" t="s">
        <v>74</v>
      </c>
      <c r="P839" t="s">
        <v>74</v>
      </c>
      <c r="Q839" t="s">
        <v>74</v>
      </c>
      <c r="R839" t="s">
        <v>74</v>
      </c>
      <c r="S839" t="s">
        <v>74</v>
      </c>
      <c r="T839" t="s">
        <v>74</v>
      </c>
      <c r="U839" t="s">
        <v>16342</v>
      </c>
      <c r="V839" t="s">
        <v>16343</v>
      </c>
      <c r="W839" t="s">
        <v>16344</v>
      </c>
      <c r="X839" t="s">
        <v>16345</v>
      </c>
      <c r="Y839" t="s">
        <v>16346</v>
      </c>
      <c r="Z839" t="s">
        <v>16347</v>
      </c>
      <c r="AA839" t="s">
        <v>16348</v>
      </c>
      <c r="AB839" t="s">
        <v>16349</v>
      </c>
      <c r="AC839" t="s">
        <v>16350</v>
      </c>
      <c r="AD839" t="s">
        <v>16351</v>
      </c>
      <c r="AE839" t="s">
        <v>16352</v>
      </c>
      <c r="AF839" t="s">
        <v>74</v>
      </c>
      <c r="AG839">
        <v>85</v>
      </c>
      <c r="AH839">
        <v>17</v>
      </c>
      <c r="AI839">
        <v>22</v>
      </c>
      <c r="AJ839">
        <v>3</v>
      </c>
      <c r="AK839">
        <v>63</v>
      </c>
      <c r="AL839" t="s">
        <v>9024</v>
      </c>
      <c r="AM839" t="s">
        <v>272</v>
      </c>
      <c r="AN839" t="s">
        <v>9025</v>
      </c>
      <c r="AO839" t="s">
        <v>16353</v>
      </c>
      <c r="AP839" t="s">
        <v>74</v>
      </c>
      <c r="AQ839" t="s">
        <v>74</v>
      </c>
      <c r="AR839" t="s">
        <v>16354</v>
      </c>
      <c r="AS839" t="s">
        <v>16355</v>
      </c>
      <c r="AT839" t="s">
        <v>16356</v>
      </c>
      <c r="AU839">
        <v>2017</v>
      </c>
      <c r="AV839">
        <v>121</v>
      </c>
      <c r="AW839">
        <v>44</v>
      </c>
      <c r="AX839" t="s">
        <v>74</v>
      </c>
      <c r="AY839" t="s">
        <v>74</v>
      </c>
      <c r="AZ839" t="s">
        <v>74</v>
      </c>
      <c r="BA839" t="s">
        <v>74</v>
      </c>
      <c r="BB839">
        <v>8474</v>
      </c>
      <c r="BC839">
        <v>8483</v>
      </c>
      <c r="BD839" t="s">
        <v>74</v>
      </c>
      <c r="BE839" t="s">
        <v>16357</v>
      </c>
      <c r="BF839" t="str">
        <f>HYPERLINK("http://dx.doi.org/10.1021/acs.jpca.7b08839","http://dx.doi.org/10.1021/acs.jpca.7b08839")</f>
        <v>http://dx.doi.org/10.1021/acs.jpca.7b08839</v>
      </c>
      <c r="BG839" t="s">
        <v>74</v>
      </c>
      <c r="BH839" t="s">
        <v>74</v>
      </c>
      <c r="BI839">
        <v>10</v>
      </c>
      <c r="BJ839" t="s">
        <v>16358</v>
      </c>
      <c r="BK839" t="s">
        <v>101</v>
      </c>
      <c r="BL839" t="s">
        <v>16359</v>
      </c>
      <c r="BM839" t="s">
        <v>16360</v>
      </c>
      <c r="BN839">
        <v>29035054</v>
      </c>
      <c r="BO839" t="s">
        <v>74</v>
      </c>
      <c r="BP839" t="s">
        <v>74</v>
      </c>
      <c r="BQ839" t="s">
        <v>74</v>
      </c>
      <c r="BR839" t="s">
        <v>105</v>
      </c>
      <c r="BS839" t="s">
        <v>16361</v>
      </c>
      <c r="BT839" t="str">
        <f>HYPERLINK("https%3A%2F%2Fwww.webofscience.com%2Fwos%2Fwoscc%2Ffull-record%2FWOS:000415141000017","View Full Record in Web of Science")</f>
        <v>View Full Record in Web of Science</v>
      </c>
    </row>
    <row r="840" spans="1:72" x14ac:dyDescent="0.15">
      <c r="A840" t="s">
        <v>72</v>
      </c>
      <c r="B840" t="s">
        <v>16362</v>
      </c>
      <c r="C840" t="s">
        <v>74</v>
      </c>
      <c r="D840" t="s">
        <v>74</v>
      </c>
      <c r="E840" t="s">
        <v>74</v>
      </c>
      <c r="F840" t="s">
        <v>16363</v>
      </c>
      <c r="G840" t="s">
        <v>74</v>
      </c>
      <c r="H840" t="s">
        <v>74</v>
      </c>
      <c r="I840" t="s">
        <v>16364</v>
      </c>
      <c r="J840" t="s">
        <v>1549</v>
      </c>
      <c r="K840" t="s">
        <v>74</v>
      </c>
      <c r="L840" t="s">
        <v>74</v>
      </c>
      <c r="M840" t="s">
        <v>78</v>
      </c>
      <c r="N840" t="s">
        <v>79</v>
      </c>
      <c r="O840" t="s">
        <v>74</v>
      </c>
      <c r="P840" t="s">
        <v>74</v>
      </c>
      <c r="Q840" t="s">
        <v>74</v>
      </c>
      <c r="R840" t="s">
        <v>74</v>
      </c>
      <c r="S840" t="s">
        <v>74</v>
      </c>
      <c r="T840" t="s">
        <v>74</v>
      </c>
      <c r="U840" t="s">
        <v>16365</v>
      </c>
      <c r="V840" t="s">
        <v>16366</v>
      </c>
      <c r="W840" t="s">
        <v>16367</v>
      </c>
      <c r="X840" t="s">
        <v>16368</v>
      </c>
      <c r="Y840" t="s">
        <v>16369</v>
      </c>
      <c r="Z840" t="s">
        <v>16370</v>
      </c>
      <c r="AA840" t="s">
        <v>16371</v>
      </c>
      <c r="AB840" t="s">
        <v>16372</v>
      </c>
      <c r="AC840" t="s">
        <v>16373</v>
      </c>
      <c r="AD840" t="s">
        <v>2532</v>
      </c>
      <c r="AE840" t="s">
        <v>16374</v>
      </c>
      <c r="AF840" t="s">
        <v>74</v>
      </c>
      <c r="AG840">
        <v>96</v>
      </c>
      <c r="AH840">
        <v>73</v>
      </c>
      <c r="AI840">
        <v>75</v>
      </c>
      <c r="AJ840">
        <v>3</v>
      </c>
      <c r="AK840">
        <v>55</v>
      </c>
      <c r="AL840" t="s">
        <v>673</v>
      </c>
      <c r="AM840" t="s">
        <v>92</v>
      </c>
      <c r="AN840" t="s">
        <v>674</v>
      </c>
      <c r="AO840" t="s">
        <v>1561</v>
      </c>
      <c r="AP840" t="s">
        <v>1562</v>
      </c>
      <c r="AQ840" t="s">
        <v>74</v>
      </c>
      <c r="AR840" t="s">
        <v>1549</v>
      </c>
      <c r="AS840" t="s">
        <v>1563</v>
      </c>
      <c r="AT840" t="s">
        <v>16356</v>
      </c>
      <c r="AU840">
        <v>2017</v>
      </c>
      <c r="AV840">
        <v>551</v>
      </c>
      <c r="AW840">
        <v>7679</v>
      </c>
      <c r="AX840" t="s">
        <v>74</v>
      </c>
      <c r="AY840" t="s">
        <v>74</v>
      </c>
      <c r="AZ840" t="s">
        <v>74</v>
      </c>
      <c r="BA840" t="s">
        <v>74</v>
      </c>
      <c r="BB840">
        <v>181</v>
      </c>
      <c r="BC840" t="s">
        <v>1565</v>
      </c>
      <c r="BD840" t="s">
        <v>74</v>
      </c>
      <c r="BE840" t="s">
        <v>16375</v>
      </c>
      <c r="BF840" t="str">
        <f>HYPERLINK("http://dx.doi.org/10.1038/nature24472","http://dx.doi.org/10.1038/nature24472")</f>
        <v>http://dx.doi.org/10.1038/nature24472</v>
      </c>
      <c r="BG840" t="s">
        <v>74</v>
      </c>
      <c r="BH840" t="s">
        <v>74</v>
      </c>
      <c r="BI840">
        <v>18</v>
      </c>
      <c r="BJ840" t="s">
        <v>129</v>
      </c>
      <c r="BK840" t="s">
        <v>101</v>
      </c>
      <c r="BL840" t="s">
        <v>130</v>
      </c>
      <c r="BM840" t="s">
        <v>16376</v>
      </c>
      <c r="BN840">
        <v>29120416</v>
      </c>
      <c r="BO840" t="s">
        <v>432</v>
      </c>
      <c r="BP840" t="s">
        <v>74</v>
      </c>
      <c r="BQ840" t="s">
        <v>74</v>
      </c>
      <c r="BR840" t="s">
        <v>105</v>
      </c>
      <c r="BS840" t="s">
        <v>16377</v>
      </c>
      <c r="BT840" t="str">
        <f>HYPERLINK("https%3A%2F%2Fwww.webofscience.com%2Fwos%2Fwoscc%2Ffull-record%2FWOS:000414734200038","View Full Record in Web of Science")</f>
        <v>View Full Record in Web of Science</v>
      </c>
    </row>
    <row r="841" spans="1:72" x14ac:dyDescent="0.15">
      <c r="A841" t="s">
        <v>72</v>
      </c>
      <c r="B841" t="s">
        <v>16378</v>
      </c>
      <c r="C841" t="s">
        <v>74</v>
      </c>
      <c r="D841" t="s">
        <v>74</v>
      </c>
      <c r="E841" t="s">
        <v>74</v>
      </c>
      <c r="F841" t="s">
        <v>16379</v>
      </c>
      <c r="G841" t="s">
        <v>74</v>
      </c>
      <c r="H841" t="s">
        <v>74</v>
      </c>
      <c r="I841" t="s">
        <v>16380</v>
      </c>
      <c r="J841" t="s">
        <v>16381</v>
      </c>
      <c r="K841" t="s">
        <v>74</v>
      </c>
      <c r="L841" t="s">
        <v>74</v>
      </c>
      <c r="M841" t="s">
        <v>78</v>
      </c>
      <c r="N841" t="s">
        <v>79</v>
      </c>
      <c r="O841" t="s">
        <v>74</v>
      </c>
      <c r="P841" t="s">
        <v>74</v>
      </c>
      <c r="Q841" t="s">
        <v>74</v>
      </c>
      <c r="R841" t="s">
        <v>74</v>
      </c>
      <c r="S841" t="s">
        <v>74</v>
      </c>
      <c r="T841" t="s">
        <v>74</v>
      </c>
      <c r="U841" t="s">
        <v>74</v>
      </c>
      <c r="V841" t="s">
        <v>16382</v>
      </c>
      <c r="W841" t="s">
        <v>16383</v>
      </c>
      <c r="X841" t="s">
        <v>16384</v>
      </c>
      <c r="Y841" t="s">
        <v>16385</v>
      </c>
      <c r="Z841" t="s">
        <v>16386</v>
      </c>
      <c r="AA841" t="s">
        <v>16387</v>
      </c>
      <c r="AB841" t="s">
        <v>16388</v>
      </c>
      <c r="AC841" t="s">
        <v>16389</v>
      </c>
      <c r="AD841" t="s">
        <v>16390</v>
      </c>
      <c r="AE841" t="s">
        <v>16391</v>
      </c>
      <c r="AF841" t="s">
        <v>74</v>
      </c>
      <c r="AG841">
        <v>46</v>
      </c>
      <c r="AH841">
        <v>28</v>
      </c>
      <c r="AI841">
        <v>32</v>
      </c>
      <c r="AJ841">
        <v>1</v>
      </c>
      <c r="AK841">
        <v>7</v>
      </c>
      <c r="AL841" t="s">
        <v>16392</v>
      </c>
      <c r="AM841" t="s">
        <v>16393</v>
      </c>
      <c r="AN841" t="s">
        <v>16394</v>
      </c>
      <c r="AO841" t="s">
        <v>16395</v>
      </c>
      <c r="AP841" t="s">
        <v>16396</v>
      </c>
      <c r="AQ841" t="s">
        <v>74</v>
      </c>
      <c r="AR841" t="s">
        <v>16397</v>
      </c>
      <c r="AS841" t="s">
        <v>16398</v>
      </c>
      <c r="AT841" t="s">
        <v>16356</v>
      </c>
      <c r="AU841">
        <v>2017</v>
      </c>
      <c r="AV841">
        <v>96</v>
      </c>
      <c r="AW841">
        <v>10</v>
      </c>
      <c r="AX841" t="s">
        <v>74</v>
      </c>
      <c r="AY841" t="s">
        <v>74</v>
      </c>
      <c r="AZ841" t="s">
        <v>74</v>
      </c>
      <c r="BA841" t="s">
        <v>74</v>
      </c>
      <c r="BB841" t="s">
        <v>74</v>
      </c>
      <c r="BC841" t="s">
        <v>74</v>
      </c>
      <c r="BD841">
        <v>102003</v>
      </c>
      <c r="BE841" t="s">
        <v>16399</v>
      </c>
      <c r="BF841" t="str">
        <f>HYPERLINK("http://dx.doi.org/10.1103/PhysRevD.96.102003","http://dx.doi.org/10.1103/PhysRevD.96.102003")</f>
        <v>http://dx.doi.org/10.1103/PhysRevD.96.102003</v>
      </c>
      <c r="BG841" t="s">
        <v>74</v>
      </c>
      <c r="BH841" t="s">
        <v>74</v>
      </c>
      <c r="BI841">
        <v>7</v>
      </c>
      <c r="BJ841" t="s">
        <v>6324</v>
      </c>
      <c r="BK841" t="s">
        <v>101</v>
      </c>
      <c r="BL841" t="s">
        <v>2082</v>
      </c>
      <c r="BM841" t="s">
        <v>16400</v>
      </c>
      <c r="BN841" t="s">
        <v>74</v>
      </c>
      <c r="BO841" t="s">
        <v>16401</v>
      </c>
      <c r="BP841" t="s">
        <v>74</v>
      </c>
      <c r="BQ841" t="s">
        <v>74</v>
      </c>
      <c r="BR841" t="s">
        <v>105</v>
      </c>
      <c r="BS841" t="s">
        <v>16402</v>
      </c>
      <c r="BT841" t="str">
        <f>HYPERLINK("https%3A%2F%2Fwww.webofscience.com%2Fwos%2Fwoscc%2Ffull-record%2FWOS:000414740300001","View Full Record in Web of Science")</f>
        <v>View Full Record in Web of Science</v>
      </c>
    </row>
    <row r="842" spans="1:72" x14ac:dyDescent="0.15">
      <c r="A842" t="s">
        <v>72</v>
      </c>
      <c r="B842" t="s">
        <v>16403</v>
      </c>
      <c r="C842" t="s">
        <v>74</v>
      </c>
      <c r="D842" t="s">
        <v>74</v>
      </c>
      <c r="E842" t="s">
        <v>74</v>
      </c>
      <c r="F842" t="s">
        <v>16404</v>
      </c>
      <c r="G842" t="s">
        <v>74</v>
      </c>
      <c r="H842" t="s">
        <v>74</v>
      </c>
      <c r="I842" t="s">
        <v>16405</v>
      </c>
      <c r="J842" t="s">
        <v>110</v>
      </c>
      <c r="K842" t="s">
        <v>74</v>
      </c>
      <c r="L842" t="s">
        <v>74</v>
      </c>
      <c r="M842" t="s">
        <v>78</v>
      </c>
      <c r="N842" t="s">
        <v>79</v>
      </c>
      <c r="O842" t="s">
        <v>74</v>
      </c>
      <c r="P842" t="s">
        <v>74</v>
      </c>
      <c r="Q842" t="s">
        <v>74</v>
      </c>
      <c r="R842" t="s">
        <v>74</v>
      </c>
      <c r="S842" t="s">
        <v>74</v>
      </c>
      <c r="T842" t="s">
        <v>74</v>
      </c>
      <c r="U842" t="s">
        <v>16406</v>
      </c>
      <c r="V842" t="s">
        <v>16407</v>
      </c>
      <c r="W842" t="s">
        <v>16408</v>
      </c>
      <c r="X842" t="s">
        <v>16409</v>
      </c>
      <c r="Y842" t="s">
        <v>16410</v>
      </c>
      <c r="Z842" t="s">
        <v>16411</v>
      </c>
      <c r="AA842" t="s">
        <v>74</v>
      </c>
      <c r="AB842" t="s">
        <v>16412</v>
      </c>
      <c r="AC842" t="s">
        <v>16413</v>
      </c>
      <c r="AD842" t="s">
        <v>16414</v>
      </c>
      <c r="AE842" t="s">
        <v>16415</v>
      </c>
      <c r="AF842" t="s">
        <v>74</v>
      </c>
      <c r="AG842">
        <v>74</v>
      </c>
      <c r="AH842">
        <v>23</v>
      </c>
      <c r="AI842">
        <v>23</v>
      </c>
      <c r="AJ842">
        <v>0</v>
      </c>
      <c r="AK842">
        <v>15</v>
      </c>
      <c r="AL842" t="s">
        <v>122</v>
      </c>
      <c r="AM842" t="s">
        <v>123</v>
      </c>
      <c r="AN842" t="s">
        <v>124</v>
      </c>
      <c r="AO842" t="s">
        <v>125</v>
      </c>
      <c r="AP842" t="s">
        <v>74</v>
      </c>
      <c r="AQ842" t="s">
        <v>74</v>
      </c>
      <c r="AR842" t="s">
        <v>110</v>
      </c>
      <c r="AS842" t="s">
        <v>126</v>
      </c>
      <c r="AT842" t="s">
        <v>16416</v>
      </c>
      <c r="AU842">
        <v>2017</v>
      </c>
      <c r="AV842">
        <v>12</v>
      </c>
      <c r="AW842">
        <v>11</v>
      </c>
      <c r="AX842" t="s">
        <v>74</v>
      </c>
      <c r="AY842" t="s">
        <v>74</v>
      </c>
      <c r="AZ842" t="s">
        <v>74</v>
      </c>
      <c r="BA842" t="s">
        <v>74</v>
      </c>
      <c r="BB842" t="s">
        <v>74</v>
      </c>
      <c r="BC842" t="s">
        <v>74</v>
      </c>
      <c r="BD842" t="s">
        <v>16417</v>
      </c>
      <c r="BE842" t="s">
        <v>16418</v>
      </c>
      <c r="BF842" t="str">
        <f>HYPERLINK("http://dx.doi.org/10.1371/Journal.pone.0186756","http://dx.doi.org/10.1371/Journal.pone.0186756")</f>
        <v>http://dx.doi.org/10.1371/Journal.pone.0186756</v>
      </c>
      <c r="BG842" t="s">
        <v>74</v>
      </c>
      <c r="BH842" t="s">
        <v>74</v>
      </c>
      <c r="BI842">
        <v>15</v>
      </c>
      <c r="BJ842" t="s">
        <v>129</v>
      </c>
      <c r="BK842" t="s">
        <v>101</v>
      </c>
      <c r="BL842" t="s">
        <v>130</v>
      </c>
      <c r="BM842" t="s">
        <v>16419</v>
      </c>
      <c r="BN842">
        <v>29117262</v>
      </c>
      <c r="BO842" t="s">
        <v>560</v>
      </c>
      <c r="BP842" t="s">
        <v>74</v>
      </c>
      <c r="BQ842" t="s">
        <v>74</v>
      </c>
      <c r="BR842" t="s">
        <v>105</v>
      </c>
      <c r="BS842" t="s">
        <v>16420</v>
      </c>
      <c r="BT842" t="str">
        <f>HYPERLINK("https%3A%2F%2Fwww.webofscience.com%2Fwos%2Fwoscc%2Ffull-record%2FWOS:000414659600015","View Full Record in Web of Science")</f>
        <v>View Full Record in Web of Science</v>
      </c>
    </row>
    <row r="843" spans="1:72" x14ac:dyDescent="0.15">
      <c r="A843" t="s">
        <v>72</v>
      </c>
      <c r="B843" t="s">
        <v>16421</v>
      </c>
      <c r="C843" t="s">
        <v>74</v>
      </c>
      <c r="D843" t="s">
        <v>74</v>
      </c>
      <c r="E843" t="s">
        <v>74</v>
      </c>
      <c r="F843" t="s">
        <v>16422</v>
      </c>
      <c r="G843" t="s">
        <v>74</v>
      </c>
      <c r="H843" t="s">
        <v>74</v>
      </c>
      <c r="I843" t="s">
        <v>16423</v>
      </c>
      <c r="J843" t="s">
        <v>11642</v>
      </c>
      <c r="K843" t="s">
        <v>74</v>
      </c>
      <c r="L843" t="s">
        <v>74</v>
      </c>
      <c r="M843" t="s">
        <v>78</v>
      </c>
      <c r="N843" t="s">
        <v>79</v>
      </c>
      <c r="O843" t="s">
        <v>74</v>
      </c>
      <c r="P843" t="s">
        <v>74</v>
      </c>
      <c r="Q843" t="s">
        <v>74</v>
      </c>
      <c r="R843" t="s">
        <v>74</v>
      </c>
      <c r="S843" t="s">
        <v>74</v>
      </c>
      <c r="T843" t="s">
        <v>74</v>
      </c>
      <c r="U843" t="s">
        <v>16424</v>
      </c>
      <c r="V843" t="s">
        <v>16425</v>
      </c>
      <c r="W843" t="s">
        <v>16426</v>
      </c>
      <c r="X843" t="s">
        <v>16427</v>
      </c>
      <c r="Y843" t="s">
        <v>16428</v>
      </c>
      <c r="Z843" t="s">
        <v>16429</v>
      </c>
      <c r="AA843" t="s">
        <v>16430</v>
      </c>
      <c r="AB843" t="s">
        <v>16431</v>
      </c>
      <c r="AC843" t="s">
        <v>16432</v>
      </c>
      <c r="AD843" t="s">
        <v>16433</v>
      </c>
      <c r="AE843" t="s">
        <v>16434</v>
      </c>
      <c r="AF843" t="s">
        <v>74</v>
      </c>
      <c r="AG843">
        <v>21</v>
      </c>
      <c r="AH843">
        <v>6</v>
      </c>
      <c r="AI843">
        <v>6</v>
      </c>
      <c r="AJ843">
        <v>2</v>
      </c>
      <c r="AK843">
        <v>17</v>
      </c>
      <c r="AL843" t="s">
        <v>892</v>
      </c>
      <c r="AM843" t="s">
        <v>698</v>
      </c>
      <c r="AN843" t="s">
        <v>699</v>
      </c>
      <c r="AO843" t="s">
        <v>11654</v>
      </c>
      <c r="AP843" t="s">
        <v>74</v>
      </c>
      <c r="AQ843" t="s">
        <v>74</v>
      </c>
      <c r="AR843" t="s">
        <v>11655</v>
      </c>
      <c r="AS843" t="s">
        <v>11656</v>
      </c>
      <c r="AT843" t="s">
        <v>16435</v>
      </c>
      <c r="AU843">
        <v>2017</v>
      </c>
      <c r="AV843">
        <v>7</v>
      </c>
      <c r="AW843" t="s">
        <v>74</v>
      </c>
      <c r="AX843" t="s">
        <v>74</v>
      </c>
      <c r="AY843" t="s">
        <v>74</v>
      </c>
      <c r="AZ843" t="s">
        <v>74</v>
      </c>
      <c r="BA843" t="s">
        <v>74</v>
      </c>
      <c r="BB843" t="s">
        <v>74</v>
      </c>
      <c r="BC843" t="s">
        <v>74</v>
      </c>
      <c r="BD843">
        <v>14667</v>
      </c>
      <c r="BE843" t="s">
        <v>16436</v>
      </c>
      <c r="BF843" t="str">
        <f>HYPERLINK("http://dx.doi.org/10.1038/s41598-017-15371-z","http://dx.doi.org/10.1038/s41598-017-15371-z")</f>
        <v>http://dx.doi.org/10.1038/s41598-017-15371-z</v>
      </c>
      <c r="BG843" t="s">
        <v>74</v>
      </c>
      <c r="BH843" t="s">
        <v>74</v>
      </c>
      <c r="BI843">
        <v>7</v>
      </c>
      <c r="BJ843" t="s">
        <v>129</v>
      </c>
      <c r="BK843" t="s">
        <v>101</v>
      </c>
      <c r="BL843" t="s">
        <v>130</v>
      </c>
      <c r="BM843" t="s">
        <v>16437</v>
      </c>
      <c r="BN843">
        <v>29116260</v>
      </c>
      <c r="BO843" t="s">
        <v>681</v>
      </c>
      <c r="BP843" t="s">
        <v>74</v>
      </c>
      <c r="BQ843" t="s">
        <v>74</v>
      </c>
      <c r="BR843" t="s">
        <v>105</v>
      </c>
      <c r="BS843" t="s">
        <v>16438</v>
      </c>
      <c r="BT843" t="str">
        <f>HYPERLINK("https%3A%2F%2Fwww.webofscience.com%2Fwos%2Fwoscc%2Ffull-record%2FWOS:000414566600036","View Full Record in Web of Science")</f>
        <v>View Full Record in Web of Science</v>
      </c>
    </row>
    <row r="844" spans="1:72" x14ac:dyDescent="0.15">
      <c r="A844" t="s">
        <v>72</v>
      </c>
      <c r="B844" t="s">
        <v>16439</v>
      </c>
      <c r="C844" t="s">
        <v>74</v>
      </c>
      <c r="D844" t="s">
        <v>74</v>
      </c>
      <c r="E844" t="s">
        <v>74</v>
      </c>
      <c r="F844" t="s">
        <v>16440</v>
      </c>
      <c r="G844" t="s">
        <v>74</v>
      </c>
      <c r="H844" t="s">
        <v>74</v>
      </c>
      <c r="I844" t="s">
        <v>16441</v>
      </c>
      <c r="J844" t="s">
        <v>635</v>
      </c>
      <c r="K844" t="s">
        <v>74</v>
      </c>
      <c r="L844" t="s">
        <v>74</v>
      </c>
      <c r="M844" t="s">
        <v>78</v>
      </c>
      <c r="N844" t="s">
        <v>79</v>
      </c>
      <c r="O844" t="s">
        <v>74</v>
      </c>
      <c r="P844" t="s">
        <v>74</v>
      </c>
      <c r="Q844" t="s">
        <v>74</v>
      </c>
      <c r="R844" t="s">
        <v>74</v>
      </c>
      <c r="S844" t="s">
        <v>74</v>
      </c>
      <c r="T844" t="s">
        <v>16442</v>
      </c>
      <c r="U844" t="s">
        <v>16443</v>
      </c>
      <c r="V844" t="s">
        <v>16444</v>
      </c>
      <c r="W844" t="s">
        <v>16445</v>
      </c>
      <c r="X844" t="s">
        <v>16446</v>
      </c>
      <c r="Y844" t="s">
        <v>16447</v>
      </c>
      <c r="Z844" t="s">
        <v>16448</v>
      </c>
      <c r="AA844" t="s">
        <v>74</v>
      </c>
      <c r="AB844" t="s">
        <v>16449</v>
      </c>
      <c r="AC844" t="s">
        <v>16450</v>
      </c>
      <c r="AD844" t="s">
        <v>16451</v>
      </c>
      <c r="AE844" t="s">
        <v>16452</v>
      </c>
      <c r="AF844" t="s">
        <v>74</v>
      </c>
      <c r="AG844">
        <v>34</v>
      </c>
      <c r="AH844">
        <v>7</v>
      </c>
      <c r="AI844">
        <v>9</v>
      </c>
      <c r="AJ844">
        <v>1</v>
      </c>
      <c r="AK844">
        <v>20</v>
      </c>
      <c r="AL844" t="s">
        <v>648</v>
      </c>
      <c r="AM844" t="s">
        <v>649</v>
      </c>
      <c r="AN844" t="s">
        <v>650</v>
      </c>
      <c r="AO844" t="s">
        <v>651</v>
      </c>
      <c r="AP844" t="s">
        <v>652</v>
      </c>
      <c r="AQ844" t="s">
        <v>74</v>
      </c>
      <c r="AR844" t="s">
        <v>635</v>
      </c>
      <c r="AS844" t="s">
        <v>653</v>
      </c>
      <c r="AT844" t="s">
        <v>16435</v>
      </c>
      <c r="AU844">
        <v>2017</v>
      </c>
      <c r="AV844">
        <v>4344</v>
      </c>
      <c r="AW844">
        <v>2</v>
      </c>
      <c r="AX844" t="s">
        <v>74</v>
      </c>
      <c r="AY844" t="s">
        <v>74</v>
      </c>
      <c r="AZ844" t="s">
        <v>74</v>
      </c>
      <c r="BA844" t="s">
        <v>74</v>
      </c>
      <c r="BB844">
        <v>345</v>
      </c>
      <c r="BC844">
        <v>356</v>
      </c>
      <c r="BD844" t="s">
        <v>74</v>
      </c>
      <c r="BE844" t="s">
        <v>16453</v>
      </c>
      <c r="BF844" t="str">
        <f>HYPERLINK("http://dx.doi.org/10.11646/zootaxa.4344.2.9","http://dx.doi.org/10.11646/zootaxa.4344.2.9")</f>
        <v>http://dx.doi.org/10.11646/zootaxa.4344.2.9</v>
      </c>
      <c r="BG844" t="s">
        <v>74</v>
      </c>
      <c r="BH844" t="s">
        <v>74</v>
      </c>
      <c r="BI844">
        <v>12</v>
      </c>
      <c r="BJ844" t="s">
        <v>655</v>
      </c>
      <c r="BK844" t="s">
        <v>101</v>
      </c>
      <c r="BL844" t="s">
        <v>655</v>
      </c>
      <c r="BM844" t="s">
        <v>16454</v>
      </c>
      <c r="BN844">
        <v>29245637</v>
      </c>
      <c r="BO844" t="s">
        <v>74</v>
      </c>
      <c r="BP844" t="s">
        <v>74</v>
      </c>
      <c r="BQ844" t="s">
        <v>74</v>
      </c>
      <c r="BR844" t="s">
        <v>105</v>
      </c>
      <c r="BS844" t="s">
        <v>16455</v>
      </c>
      <c r="BT844" t="str">
        <f>HYPERLINK("https%3A%2F%2Fwww.webofscience.com%2Fwos%2Fwoscc%2Ffull-record%2FWOS:000414406300009","View Full Record in Web of Science")</f>
        <v>View Full Record in Web of Science</v>
      </c>
    </row>
    <row r="845" spans="1:72" x14ac:dyDescent="0.15">
      <c r="A845" t="s">
        <v>72</v>
      </c>
      <c r="B845" t="s">
        <v>16456</v>
      </c>
      <c r="C845" t="s">
        <v>74</v>
      </c>
      <c r="D845" t="s">
        <v>74</v>
      </c>
      <c r="E845" t="s">
        <v>74</v>
      </c>
      <c r="F845" t="s">
        <v>16457</v>
      </c>
      <c r="G845" t="s">
        <v>74</v>
      </c>
      <c r="H845" t="s">
        <v>74</v>
      </c>
      <c r="I845" t="s">
        <v>16458</v>
      </c>
      <c r="J845" t="s">
        <v>137</v>
      </c>
      <c r="K845" t="s">
        <v>74</v>
      </c>
      <c r="L845" t="s">
        <v>74</v>
      </c>
      <c r="M845" t="s">
        <v>78</v>
      </c>
      <c r="N845" t="s">
        <v>79</v>
      </c>
      <c r="O845" t="s">
        <v>74</v>
      </c>
      <c r="P845" t="s">
        <v>74</v>
      </c>
      <c r="Q845" t="s">
        <v>74</v>
      </c>
      <c r="R845" t="s">
        <v>74</v>
      </c>
      <c r="S845" t="s">
        <v>74</v>
      </c>
      <c r="T845" t="s">
        <v>74</v>
      </c>
      <c r="U845" t="s">
        <v>16459</v>
      </c>
      <c r="V845" t="s">
        <v>16460</v>
      </c>
      <c r="W845" t="s">
        <v>16461</v>
      </c>
      <c r="X845" t="s">
        <v>16462</v>
      </c>
      <c r="Y845" t="s">
        <v>16463</v>
      </c>
      <c r="Z845" t="s">
        <v>16464</v>
      </c>
      <c r="AA845" t="s">
        <v>16465</v>
      </c>
      <c r="AB845" t="s">
        <v>16466</v>
      </c>
      <c r="AC845" t="s">
        <v>16467</v>
      </c>
      <c r="AD845" t="s">
        <v>16468</v>
      </c>
      <c r="AE845" t="s">
        <v>16469</v>
      </c>
      <c r="AF845" t="s">
        <v>74</v>
      </c>
      <c r="AG845">
        <v>113</v>
      </c>
      <c r="AH845">
        <v>25</v>
      </c>
      <c r="AI845">
        <v>26</v>
      </c>
      <c r="AJ845">
        <v>1</v>
      </c>
      <c r="AK845">
        <v>30</v>
      </c>
      <c r="AL845" t="s">
        <v>149</v>
      </c>
      <c r="AM845" t="s">
        <v>150</v>
      </c>
      <c r="AN845" t="s">
        <v>151</v>
      </c>
      <c r="AO845" t="s">
        <v>152</v>
      </c>
      <c r="AP845" t="s">
        <v>153</v>
      </c>
      <c r="AQ845" t="s">
        <v>74</v>
      </c>
      <c r="AR845" t="s">
        <v>137</v>
      </c>
      <c r="AS845" t="s">
        <v>154</v>
      </c>
      <c r="AT845" t="s">
        <v>16435</v>
      </c>
      <c r="AU845">
        <v>2017</v>
      </c>
      <c r="AV845">
        <v>14</v>
      </c>
      <c r="AW845">
        <v>21</v>
      </c>
      <c r="AX845" t="s">
        <v>74</v>
      </c>
      <c r="AY845" t="s">
        <v>74</v>
      </c>
      <c r="AZ845" t="s">
        <v>74</v>
      </c>
      <c r="BA845" t="s">
        <v>74</v>
      </c>
      <c r="BB845">
        <v>4905</v>
      </c>
      <c r="BC845">
        <v>4925</v>
      </c>
      <c r="BD845" t="s">
        <v>74</v>
      </c>
      <c r="BE845" t="s">
        <v>16470</v>
      </c>
      <c r="BF845" t="str">
        <f>HYPERLINK("http://dx.doi.org/10.5194/bg-14-4905-2017","http://dx.doi.org/10.5194/bg-14-4905-2017")</f>
        <v>http://dx.doi.org/10.5194/bg-14-4905-2017</v>
      </c>
      <c r="BG845" t="s">
        <v>74</v>
      </c>
      <c r="BH845" t="s">
        <v>74</v>
      </c>
      <c r="BI845">
        <v>21</v>
      </c>
      <c r="BJ845" t="s">
        <v>157</v>
      </c>
      <c r="BK845" t="s">
        <v>101</v>
      </c>
      <c r="BL845" t="s">
        <v>158</v>
      </c>
      <c r="BM845" t="s">
        <v>16471</v>
      </c>
      <c r="BN845" t="s">
        <v>74</v>
      </c>
      <c r="BO845" t="s">
        <v>15134</v>
      </c>
      <c r="BP845" t="s">
        <v>74</v>
      </c>
      <c r="BQ845" t="s">
        <v>74</v>
      </c>
      <c r="BR845" t="s">
        <v>105</v>
      </c>
      <c r="BS845" t="s">
        <v>16472</v>
      </c>
      <c r="BT845" t="str">
        <f>HYPERLINK("https%3A%2F%2Fwww.webofscience.com%2Fwos%2Fwoscc%2Ffull-record%2FWOS:000414517200002","View Full Record in Web of Science")</f>
        <v>View Full Record in Web of Science</v>
      </c>
    </row>
    <row r="846" spans="1:72" x14ac:dyDescent="0.15">
      <c r="A846" t="s">
        <v>72</v>
      </c>
      <c r="B846" t="s">
        <v>16473</v>
      </c>
      <c r="C846" t="s">
        <v>74</v>
      </c>
      <c r="D846" t="s">
        <v>74</v>
      </c>
      <c r="E846" t="s">
        <v>74</v>
      </c>
      <c r="F846" t="s">
        <v>16474</v>
      </c>
      <c r="G846" t="s">
        <v>74</v>
      </c>
      <c r="H846" t="s">
        <v>74</v>
      </c>
      <c r="I846" t="s">
        <v>16475</v>
      </c>
      <c r="J846" t="s">
        <v>12400</v>
      </c>
      <c r="K846" t="s">
        <v>74</v>
      </c>
      <c r="L846" t="s">
        <v>74</v>
      </c>
      <c r="M846" t="s">
        <v>78</v>
      </c>
      <c r="N846" t="s">
        <v>79</v>
      </c>
      <c r="O846" t="s">
        <v>74</v>
      </c>
      <c r="P846" t="s">
        <v>74</v>
      </c>
      <c r="Q846" t="s">
        <v>74</v>
      </c>
      <c r="R846" t="s">
        <v>74</v>
      </c>
      <c r="S846" t="s">
        <v>74</v>
      </c>
      <c r="T846" t="s">
        <v>74</v>
      </c>
      <c r="U846" t="s">
        <v>16476</v>
      </c>
      <c r="V846" t="s">
        <v>16477</v>
      </c>
      <c r="W846" t="s">
        <v>16478</v>
      </c>
      <c r="X846" t="s">
        <v>16479</v>
      </c>
      <c r="Y846" t="s">
        <v>16480</v>
      </c>
      <c r="Z846" t="s">
        <v>16481</v>
      </c>
      <c r="AA846" t="s">
        <v>16482</v>
      </c>
      <c r="AB846" t="s">
        <v>16483</v>
      </c>
      <c r="AC846" t="s">
        <v>16484</v>
      </c>
      <c r="AD846" t="s">
        <v>16485</v>
      </c>
      <c r="AE846" t="s">
        <v>16486</v>
      </c>
      <c r="AF846" t="s">
        <v>74</v>
      </c>
      <c r="AG846">
        <v>210</v>
      </c>
      <c r="AH846">
        <v>165</v>
      </c>
      <c r="AI846">
        <v>187</v>
      </c>
      <c r="AJ846">
        <v>6</v>
      </c>
      <c r="AK846">
        <v>64</v>
      </c>
      <c r="AL846" t="s">
        <v>149</v>
      </c>
      <c r="AM846" t="s">
        <v>150</v>
      </c>
      <c r="AN846" t="s">
        <v>151</v>
      </c>
      <c r="AO846" t="s">
        <v>12412</v>
      </c>
      <c r="AP846" t="s">
        <v>12413</v>
      </c>
      <c r="AQ846" t="s">
        <v>74</v>
      </c>
      <c r="AR846" t="s">
        <v>12414</v>
      </c>
      <c r="AS846" t="s">
        <v>12415</v>
      </c>
      <c r="AT846" t="s">
        <v>16435</v>
      </c>
      <c r="AU846">
        <v>2017</v>
      </c>
      <c r="AV846">
        <v>10</v>
      </c>
      <c r="AW846">
        <v>11</v>
      </c>
      <c r="AX846" t="s">
        <v>74</v>
      </c>
      <c r="AY846" t="s">
        <v>74</v>
      </c>
      <c r="AZ846" t="s">
        <v>74</v>
      </c>
      <c r="BA846" t="s">
        <v>74</v>
      </c>
      <c r="BB846">
        <v>3979</v>
      </c>
      <c r="BC846">
        <v>4003</v>
      </c>
      <c r="BD846" t="s">
        <v>74</v>
      </c>
      <c r="BE846" t="s">
        <v>16487</v>
      </c>
      <c r="BF846" t="str">
        <f>HYPERLINK("http://dx.doi.org/10.5194/gmd-10-3979-2017","http://dx.doi.org/10.5194/gmd-10-3979-2017")</f>
        <v>http://dx.doi.org/10.5194/gmd-10-3979-2017</v>
      </c>
      <c r="BG846" t="s">
        <v>74</v>
      </c>
      <c r="BH846" t="s">
        <v>74</v>
      </c>
      <c r="BI846">
        <v>25</v>
      </c>
      <c r="BJ846" t="s">
        <v>280</v>
      </c>
      <c r="BK846" t="s">
        <v>101</v>
      </c>
      <c r="BL846" t="s">
        <v>281</v>
      </c>
      <c r="BM846" t="s">
        <v>16488</v>
      </c>
      <c r="BN846" t="s">
        <v>74</v>
      </c>
      <c r="BO846" t="s">
        <v>11819</v>
      </c>
      <c r="BP846" t="s">
        <v>74</v>
      </c>
      <c r="BQ846" t="s">
        <v>74</v>
      </c>
      <c r="BR846" t="s">
        <v>105</v>
      </c>
      <c r="BS846" t="s">
        <v>16489</v>
      </c>
      <c r="BT846" t="str">
        <f>HYPERLINK("https%3A%2F%2Fwww.webofscience.com%2Fwos%2Fwoscc%2Ffull-record%2FWOS:000414561900001","View Full Record in Web of Science")</f>
        <v>View Full Record in Web of Science</v>
      </c>
    </row>
    <row r="847" spans="1:72" x14ac:dyDescent="0.15">
      <c r="A847" t="s">
        <v>72</v>
      </c>
      <c r="B847" t="s">
        <v>16490</v>
      </c>
      <c r="C847" t="s">
        <v>74</v>
      </c>
      <c r="D847" t="s">
        <v>74</v>
      </c>
      <c r="E847" t="s">
        <v>74</v>
      </c>
      <c r="F847" t="s">
        <v>16491</v>
      </c>
      <c r="G847" t="s">
        <v>74</v>
      </c>
      <c r="H847" t="s">
        <v>74</v>
      </c>
      <c r="I847" t="s">
        <v>16492</v>
      </c>
      <c r="J847" t="s">
        <v>12400</v>
      </c>
      <c r="K847" t="s">
        <v>74</v>
      </c>
      <c r="L847" t="s">
        <v>74</v>
      </c>
      <c r="M847" t="s">
        <v>78</v>
      </c>
      <c r="N847" t="s">
        <v>79</v>
      </c>
      <c r="O847" t="s">
        <v>74</v>
      </c>
      <c r="P847" t="s">
        <v>74</v>
      </c>
      <c r="Q847" t="s">
        <v>74</v>
      </c>
      <c r="R847" t="s">
        <v>74</v>
      </c>
      <c r="S847" t="s">
        <v>74</v>
      </c>
      <c r="T847" t="s">
        <v>74</v>
      </c>
      <c r="U847" t="s">
        <v>16493</v>
      </c>
      <c r="V847" t="s">
        <v>16494</v>
      </c>
      <c r="W847" t="s">
        <v>16495</v>
      </c>
      <c r="X847" t="s">
        <v>16496</v>
      </c>
      <c r="Y847" t="s">
        <v>16497</v>
      </c>
      <c r="Z847" t="s">
        <v>16498</v>
      </c>
      <c r="AA847" t="s">
        <v>16499</v>
      </c>
      <c r="AB847" t="s">
        <v>16500</v>
      </c>
      <c r="AC847" t="s">
        <v>16501</v>
      </c>
      <c r="AD847" t="s">
        <v>16502</v>
      </c>
      <c r="AE847" t="s">
        <v>16503</v>
      </c>
      <c r="AF847" t="s">
        <v>74</v>
      </c>
      <c r="AG847">
        <v>183</v>
      </c>
      <c r="AH847">
        <v>134</v>
      </c>
      <c r="AI847">
        <v>136</v>
      </c>
      <c r="AJ847">
        <v>5</v>
      </c>
      <c r="AK847">
        <v>52</v>
      </c>
      <c r="AL847" t="s">
        <v>149</v>
      </c>
      <c r="AM847" t="s">
        <v>150</v>
      </c>
      <c r="AN847" t="s">
        <v>151</v>
      </c>
      <c r="AO847" t="s">
        <v>12412</v>
      </c>
      <c r="AP847" t="s">
        <v>12413</v>
      </c>
      <c r="AQ847" t="s">
        <v>74</v>
      </c>
      <c r="AR847" t="s">
        <v>12414</v>
      </c>
      <c r="AS847" t="s">
        <v>12415</v>
      </c>
      <c r="AT847" t="s">
        <v>16435</v>
      </c>
      <c r="AU847">
        <v>2017</v>
      </c>
      <c r="AV847">
        <v>10</v>
      </c>
      <c r="AW847">
        <v>11</v>
      </c>
      <c r="AX847" t="s">
        <v>74</v>
      </c>
      <c r="AY847" t="s">
        <v>74</v>
      </c>
      <c r="AZ847" t="s">
        <v>74</v>
      </c>
      <c r="BA847" t="s">
        <v>74</v>
      </c>
      <c r="BB847">
        <v>4005</v>
      </c>
      <c r="BC847">
        <v>4033</v>
      </c>
      <c r="BD847" t="s">
        <v>74</v>
      </c>
      <c r="BE847" t="s">
        <v>16504</v>
      </c>
      <c r="BF847" t="str">
        <f>HYPERLINK("http://dx.doi.org/10.5194/gmd-10-4005-2017","http://dx.doi.org/10.5194/gmd-10-4005-2017")</f>
        <v>http://dx.doi.org/10.5194/gmd-10-4005-2017</v>
      </c>
      <c r="BG847" t="s">
        <v>74</v>
      </c>
      <c r="BH847" t="s">
        <v>74</v>
      </c>
      <c r="BI847">
        <v>29</v>
      </c>
      <c r="BJ847" t="s">
        <v>280</v>
      </c>
      <c r="BK847" t="s">
        <v>101</v>
      </c>
      <c r="BL847" t="s">
        <v>281</v>
      </c>
      <c r="BM847" t="s">
        <v>16505</v>
      </c>
      <c r="BN847" t="s">
        <v>74</v>
      </c>
      <c r="BO847" t="s">
        <v>16506</v>
      </c>
      <c r="BP847" t="s">
        <v>74</v>
      </c>
      <c r="BQ847" t="s">
        <v>74</v>
      </c>
      <c r="BR847" t="s">
        <v>105</v>
      </c>
      <c r="BS847" t="s">
        <v>16507</v>
      </c>
      <c r="BT847" t="str">
        <f>HYPERLINK("https%3A%2F%2Fwww.webofscience.com%2Fwos%2Fwoscc%2Ffull-record%2FWOS:000414599900001","View Full Record in Web of Science")</f>
        <v>View Full Record in Web of Science</v>
      </c>
    </row>
    <row r="848" spans="1:72" x14ac:dyDescent="0.15">
      <c r="A848" t="s">
        <v>72</v>
      </c>
      <c r="B848" t="s">
        <v>16508</v>
      </c>
      <c r="C848" t="s">
        <v>74</v>
      </c>
      <c r="D848" t="s">
        <v>74</v>
      </c>
      <c r="E848" t="s">
        <v>74</v>
      </c>
      <c r="F848" t="s">
        <v>16509</v>
      </c>
      <c r="G848" t="s">
        <v>74</v>
      </c>
      <c r="H848" t="s">
        <v>74</v>
      </c>
      <c r="I848" t="s">
        <v>16510</v>
      </c>
      <c r="J848" t="s">
        <v>15402</v>
      </c>
      <c r="K848" t="s">
        <v>74</v>
      </c>
      <c r="L848" t="s">
        <v>74</v>
      </c>
      <c r="M848" t="s">
        <v>78</v>
      </c>
      <c r="N848" t="s">
        <v>79</v>
      </c>
      <c r="O848" t="s">
        <v>74</v>
      </c>
      <c r="P848" t="s">
        <v>74</v>
      </c>
      <c r="Q848" t="s">
        <v>74</v>
      </c>
      <c r="R848" t="s">
        <v>74</v>
      </c>
      <c r="S848" t="s">
        <v>74</v>
      </c>
      <c r="T848" t="s">
        <v>74</v>
      </c>
      <c r="U848" t="s">
        <v>16511</v>
      </c>
      <c r="V848" t="s">
        <v>16512</v>
      </c>
      <c r="W848" t="s">
        <v>16513</v>
      </c>
      <c r="X848" t="s">
        <v>16514</v>
      </c>
      <c r="Y848" t="s">
        <v>16515</v>
      </c>
      <c r="Z848" t="s">
        <v>16516</v>
      </c>
      <c r="AA848" t="s">
        <v>16517</v>
      </c>
      <c r="AB848" t="s">
        <v>16518</v>
      </c>
      <c r="AC848" t="s">
        <v>16519</v>
      </c>
      <c r="AD848" t="s">
        <v>16520</v>
      </c>
      <c r="AE848" t="s">
        <v>16521</v>
      </c>
      <c r="AF848" t="s">
        <v>74</v>
      </c>
      <c r="AG848">
        <v>79</v>
      </c>
      <c r="AH848">
        <v>15</v>
      </c>
      <c r="AI848">
        <v>16</v>
      </c>
      <c r="AJ848">
        <v>1</v>
      </c>
      <c r="AK848">
        <v>16</v>
      </c>
      <c r="AL848" t="s">
        <v>149</v>
      </c>
      <c r="AM848" t="s">
        <v>150</v>
      </c>
      <c r="AN848" t="s">
        <v>151</v>
      </c>
      <c r="AO848" t="s">
        <v>15414</v>
      </c>
      <c r="AP848" t="s">
        <v>74</v>
      </c>
      <c r="AQ848" t="s">
        <v>74</v>
      </c>
      <c r="AR848" t="s">
        <v>15416</v>
      </c>
      <c r="AS848" t="s">
        <v>15417</v>
      </c>
      <c r="AT848" t="s">
        <v>16435</v>
      </c>
      <c r="AU848">
        <v>2017</v>
      </c>
      <c r="AV848">
        <v>13</v>
      </c>
      <c r="AW848">
        <v>6</v>
      </c>
      <c r="AX848" t="s">
        <v>74</v>
      </c>
      <c r="AY848" t="s">
        <v>74</v>
      </c>
      <c r="AZ848" t="s">
        <v>74</v>
      </c>
      <c r="BA848" t="s">
        <v>74</v>
      </c>
      <c r="BB848">
        <v>851</v>
      </c>
      <c r="BC848">
        <v>872</v>
      </c>
      <c r="BD848" t="s">
        <v>74</v>
      </c>
      <c r="BE848" t="s">
        <v>16522</v>
      </c>
      <c r="BF848" t="str">
        <f>HYPERLINK("http://dx.doi.org/10.5194/os-13-851-2017","http://dx.doi.org/10.5194/os-13-851-2017")</f>
        <v>http://dx.doi.org/10.5194/os-13-851-2017</v>
      </c>
      <c r="BG848" t="s">
        <v>74</v>
      </c>
      <c r="BH848" t="s">
        <v>74</v>
      </c>
      <c r="BI848">
        <v>22</v>
      </c>
      <c r="BJ848" t="s">
        <v>4750</v>
      </c>
      <c r="BK848" t="s">
        <v>101</v>
      </c>
      <c r="BL848" t="s">
        <v>4750</v>
      </c>
      <c r="BM848" t="s">
        <v>16523</v>
      </c>
      <c r="BN848" t="s">
        <v>74</v>
      </c>
      <c r="BO848" t="s">
        <v>212</v>
      </c>
      <c r="BP848" t="s">
        <v>74</v>
      </c>
      <c r="BQ848" t="s">
        <v>74</v>
      </c>
      <c r="BR848" t="s">
        <v>105</v>
      </c>
      <c r="BS848" t="s">
        <v>16524</v>
      </c>
      <c r="BT848" t="str">
        <f>HYPERLINK("https%3A%2F%2Fwww.webofscience.com%2Fwos%2Fwoscc%2Ffull-record%2FWOS:000414601400001","View Full Record in Web of Science")</f>
        <v>View Full Record in Web of Science</v>
      </c>
    </row>
    <row r="849" spans="1:72" x14ac:dyDescent="0.15">
      <c r="A849" t="s">
        <v>72</v>
      </c>
      <c r="B849" t="s">
        <v>16525</v>
      </c>
      <c r="C849" t="s">
        <v>74</v>
      </c>
      <c r="D849" t="s">
        <v>74</v>
      </c>
      <c r="E849" t="s">
        <v>74</v>
      </c>
      <c r="F849" t="s">
        <v>16526</v>
      </c>
      <c r="G849" t="s">
        <v>74</v>
      </c>
      <c r="H849" t="s">
        <v>74</v>
      </c>
      <c r="I849" t="s">
        <v>16527</v>
      </c>
      <c r="J849" t="s">
        <v>901</v>
      </c>
      <c r="K849" t="s">
        <v>74</v>
      </c>
      <c r="L849" t="s">
        <v>74</v>
      </c>
      <c r="M849" t="s">
        <v>78</v>
      </c>
      <c r="N849" t="s">
        <v>79</v>
      </c>
      <c r="O849" t="s">
        <v>74</v>
      </c>
      <c r="P849" t="s">
        <v>74</v>
      </c>
      <c r="Q849" t="s">
        <v>74</v>
      </c>
      <c r="R849" t="s">
        <v>74</v>
      </c>
      <c r="S849" t="s">
        <v>74</v>
      </c>
      <c r="T849" t="s">
        <v>16528</v>
      </c>
      <c r="U849" t="s">
        <v>16529</v>
      </c>
      <c r="V849" t="s">
        <v>16530</v>
      </c>
      <c r="W849" t="s">
        <v>16531</v>
      </c>
      <c r="X849" t="s">
        <v>16532</v>
      </c>
      <c r="Y849" t="s">
        <v>16533</v>
      </c>
      <c r="Z849" t="s">
        <v>14219</v>
      </c>
      <c r="AA849" t="s">
        <v>16534</v>
      </c>
      <c r="AB849" t="s">
        <v>14221</v>
      </c>
      <c r="AC849" t="s">
        <v>16535</v>
      </c>
      <c r="AD849" t="s">
        <v>16536</v>
      </c>
      <c r="AE849" t="s">
        <v>16537</v>
      </c>
      <c r="AF849" t="s">
        <v>74</v>
      </c>
      <c r="AG849">
        <v>45</v>
      </c>
      <c r="AH849">
        <v>30</v>
      </c>
      <c r="AI849">
        <v>31</v>
      </c>
      <c r="AJ849">
        <v>0</v>
      </c>
      <c r="AK849">
        <v>31</v>
      </c>
      <c r="AL849" t="s">
        <v>913</v>
      </c>
      <c r="AM849" t="s">
        <v>92</v>
      </c>
      <c r="AN849" t="s">
        <v>914</v>
      </c>
      <c r="AO849" t="s">
        <v>915</v>
      </c>
      <c r="AP849" t="s">
        <v>74</v>
      </c>
      <c r="AQ849" t="s">
        <v>74</v>
      </c>
      <c r="AR849" t="s">
        <v>901</v>
      </c>
      <c r="AS849" t="s">
        <v>916</v>
      </c>
      <c r="AT849" t="s">
        <v>16435</v>
      </c>
      <c r="AU849">
        <v>2017</v>
      </c>
      <c r="AV849">
        <v>5</v>
      </c>
      <c r="AW849" t="s">
        <v>74</v>
      </c>
      <c r="AX849" t="s">
        <v>74</v>
      </c>
      <c r="AY849" t="s">
        <v>74</v>
      </c>
      <c r="AZ849" t="s">
        <v>74</v>
      </c>
      <c r="BA849" t="s">
        <v>74</v>
      </c>
      <c r="BB849" t="s">
        <v>74</v>
      </c>
      <c r="BC849" t="s">
        <v>74</v>
      </c>
      <c r="BD849" t="s">
        <v>16538</v>
      </c>
      <c r="BE849" t="s">
        <v>16539</v>
      </c>
      <c r="BF849" t="str">
        <f>HYPERLINK("http://dx.doi.org/10.7717/peerj.3977","http://dx.doi.org/10.7717/peerj.3977")</f>
        <v>http://dx.doi.org/10.7717/peerj.3977</v>
      </c>
      <c r="BG849" t="s">
        <v>74</v>
      </c>
      <c r="BH849" t="s">
        <v>74</v>
      </c>
      <c r="BI849">
        <v>22</v>
      </c>
      <c r="BJ849" t="s">
        <v>129</v>
      </c>
      <c r="BK849" t="s">
        <v>101</v>
      </c>
      <c r="BL849" t="s">
        <v>130</v>
      </c>
      <c r="BM849" t="s">
        <v>16540</v>
      </c>
      <c r="BN849">
        <v>29134141</v>
      </c>
      <c r="BO849" t="s">
        <v>494</v>
      </c>
      <c r="BP849" t="s">
        <v>74</v>
      </c>
      <c r="BQ849" t="s">
        <v>74</v>
      </c>
      <c r="BR849" t="s">
        <v>105</v>
      </c>
      <c r="BS849" t="s">
        <v>16541</v>
      </c>
      <c r="BT849" t="str">
        <f>HYPERLINK("https%3A%2F%2Fwww.webofscience.com%2Fwos%2Fwoscc%2Ffull-record%2FWOS:000414571600002","View Full Record in Web of Science")</f>
        <v>View Full Record in Web of Science</v>
      </c>
    </row>
    <row r="850" spans="1:72" x14ac:dyDescent="0.15">
      <c r="A850" t="s">
        <v>72</v>
      </c>
      <c r="B850" t="s">
        <v>16542</v>
      </c>
      <c r="C850" t="s">
        <v>74</v>
      </c>
      <c r="D850" t="s">
        <v>74</v>
      </c>
      <c r="E850" t="s">
        <v>74</v>
      </c>
      <c r="F850" t="s">
        <v>16543</v>
      </c>
      <c r="G850" t="s">
        <v>74</v>
      </c>
      <c r="H850" t="s">
        <v>74</v>
      </c>
      <c r="I850" t="s">
        <v>16544</v>
      </c>
      <c r="J850" t="s">
        <v>1730</v>
      </c>
      <c r="K850" t="s">
        <v>74</v>
      </c>
      <c r="L850" t="s">
        <v>74</v>
      </c>
      <c r="M850" t="s">
        <v>78</v>
      </c>
      <c r="N850" t="s">
        <v>79</v>
      </c>
      <c r="O850" t="s">
        <v>74</v>
      </c>
      <c r="P850" t="s">
        <v>74</v>
      </c>
      <c r="Q850" t="s">
        <v>74</v>
      </c>
      <c r="R850" t="s">
        <v>74</v>
      </c>
      <c r="S850" t="s">
        <v>74</v>
      </c>
      <c r="T850" t="s">
        <v>16545</v>
      </c>
      <c r="U850" t="s">
        <v>16546</v>
      </c>
      <c r="V850" t="s">
        <v>16547</v>
      </c>
      <c r="W850" t="s">
        <v>16548</v>
      </c>
      <c r="X850" t="s">
        <v>16549</v>
      </c>
      <c r="Y850" t="s">
        <v>16550</v>
      </c>
      <c r="Z850" t="s">
        <v>16551</v>
      </c>
      <c r="AA850" t="s">
        <v>16552</v>
      </c>
      <c r="AB850" t="s">
        <v>16553</v>
      </c>
      <c r="AC850" t="s">
        <v>16554</v>
      </c>
      <c r="AD850" t="s">
        <v>16555</v>
      </c>
      <c r="AE850" t="s">
        <v>16556</v>
      </c>
      <c r="AF850" t="s">
        <v>74</v>
      </c>
      <c r="AG850">
        <v>62</v>
      </c>
      <c r="AH850">
        <v>148</v>
      </c>
      <c r="AI850">
        <v>172</v>
      </c>
      <c r="AJ850">
        <v>9</v>
      </c>
      <c r="AK850">
        <v>92</v>
      </c>
      <c r="AL850" t="s">
        <v>1743</v>
      </c>
      <c r="AM850" t="s">
        <v>272</v>
      </c>
      <c r="AN850" t="s">
        <v>1744</v>
      </c>
      <c r="AO850" t="s">
        <v>1745</v>
      </c>
      <c r="AP850" t="s">
        <v>74</v>
      </c>
      <c r="AQ850" t="s">
        <v>74</v>
      </c>
      <c r="AR850" t="s">
        <v>1747</v>
      </c>
      <c r="AS850" t="s">
        <v>1748</v>
      </c>
      <c r="AT850" t="s">
        <v>16435</v>
      </c>
      <c r="AU850">
        <v>2017</v>
      </c>
      <c r="AV850">
        <v>114</v>
      </c>
      <c r="AW850">
        <v>45</v>
      </c>
      <c r="AX850" t="s">
        <v>74</v>
      </c>
      <c r="AY850" t="s">
        <v>74</v>
      </c>
      <c r="AZ850" t="s">
        <v>74</v>
      </c>
      <c r="BA850" t="s">
        <v>74</v>
      </c>
      <c r="BB850">
        <v>11861</v>
      </c>
      <c r="BC850">
        <v>11866</v>
      </c>
      <c r="BD850" t="s">
        <v>74</v>
      </c>
      <c r="BE850" t="s">
        <v>16557</v>
      </c>
      <c r="BF850" t="str">
        <f>HYPERLINK("http://dx.doi.org/10.1073/pnas.1703568114","http://dx.doi.org/10.1073/pnas.1703568114")</f>
        <v>http://dx.doi.org/10.1073/pnas.1703568114</v>
      </c>
      <c r="BG850" t="s">
        <v>74</v>
      </c>
      <c r="BH850" t="s">
        <v>74</v>
      </c>
      <c r="BI850">
        <v>6</v>
      </c>
      <c r="BJ850" t="s">
        <v>129</v>
      </c>
      <c r="BK850" t="s">
        <v>101</v>
      </c>
      <c r="BL850" t="s">
        <v>130</v>
      </c>
      <c r="BM850" t="s">
        <v>16558</v>
      </c>
      <c r="BN850">
        <v>29078274</v>
      </c>
      <c r="BO850" t="s">
        <v>6488</v>
      </c>
      <c r="BP850" t="s">
        <v>74</v>
      </c>
      <c r="BQ850" t="s">
        <v>74</v>
      </c>
      <c r="BR850" t="s">
        <v>105</v>
      </c>
      <c r="BS850" t="s">
        <v>16559</v>
      </c>
      <c r="BT850" t="str">
        <f>HYPERLINK("https%3A%2F%2Fwww.webofscience.com%2Fwos%2Fwoscc%2Ffull-record%2FWOS:000414631200053","View Full Record in Web of Science")</f>
        <v>View Full Record in Web of Science</v>
      </c>
    </row>
    <row r="851" spans="1:72" x14ac:dyDescent="0.15">
      <c r="A851" t="s">
        <v>72</v>
      </c>
      <c r="B851" t="s">
        <v>16560</v>
      </c>
      <c r="C851" t="s">
        <v>74</v>
      </c>
      <c r="D851" t="s">
        <v>74</v>
      </c>
      <c r="E851" t="s">
        <v>74</v>
      </c>
      <c r="F851" t="s">
        <v>16561</v>
      </c>
      <c r="G851" t="s">
        <v>74</v>
      </c>
      <c r="H851" t="s">
        <v>74</v>
      </c>
      <c r="I851" t="s">
        <v>16562</v>
      </c>
      <c r="J851" t="s">
        <v>110</v>
      </c>
      <c r="K851" t="s">
        <v>74</v>
      </c>
      <c r="L851" t="s">
        <v>74</v>
      </c>
      <c r="M851" t="s">
        <v>78</v>
      </c>
      <c r="N851" t="s">
        <v>79</v>
      </c>
      <c r="O851" t="s">
        <v>74</v>
      </c>
      <c r="P851" t="s">
        <v>74</v>
      </c>
      <c r="Q851" t="s">
        <v>74</v>
      </c>
      <c r="R851" t="s">
        <v>74</v>
      </c>
      <c r="S851" t="s">
        <v>74</v>
      </c>
      <c r="T851" t="s">
        <v>74</v>
      </c>
      <c r="U851" t="s">
        <v>16563</v>
      </c>
      <c r="V851" t="s">
        <v>16564</v>
      </c>
      <c r="W851" t="s">
        <v>16565</v>
      </c>
      <c r="X851" t="s">
        <v>16566</v>
      </c>
      <c r="Y851" t="s">
        <v>16567</v>
      </c>
      <c r="Z851" t="s">
        <v>16568</v>
      </c>
      <c r="AA851" t="s">
        <v>74</v>
      </c>
      <c r="AB851" t="s">
        <v>16569</v>
      </c>
      <c r="AC851" t="s">
        <v>16570</v>
      </c>
      <c r="AD851" t="s">
        <v>16571</v>
      </c>
      <c r="AE851" t="s">
        <v>16572</v>
      </c>
      <c r="AF851" t="s">
        <v>74</v>
      </c>
      <c r="AG851">
        <v>61</v>
      </c>
      <c r="AH851">
        <v>14</v>
      </c>
      <c r="AI851">
        <v>17</v>
      </c>
      <c r="AJ851">
        <v>2</v>
      </c>
      <c r="AK851">
        <v>21</v>
      </c>
      <c r="AL851" t="s">
        <v>122</v>
      </c>
      <c r="AM851" t="s">
        <v>123</v>
      </c>
      <c r="AN851" t="s">
        <v>124</v>
      </c>
      <c r="AO851" t="s">
        <v>125</v>
      </c>
      <c r="AP851" t="s">
        <v>74</v>
      </c>
      <c r="AQ851" t="s">
        <v>74</v>
      </c>
      <c r="AR851" t="s">
        <v>110</v>
      </c>
      <c r="AS851" t="s">
        <v>126</v>
      </c>
      <c r="AT851" t="s">
        <v>16573</v>
      </c>
      <c r="AU851">
        <v>2017</v>
      </c>
      <c r="AV851">
        <v>12</v>
      </c>
      <c r="AW851">
        <v>11</v>
      </c>
      <c r="AX851" t="s">
        <v>74</v>
      </c>
      <c r="AY851" t="s">
        <v>74</v>
      </c>
      <c r="AZ851" t="s">
        <v>74</v>
      </c>
      <c r="BA851" t="s">
        <v>74</v>
      </c>
      <c r="BB851" t="s">
        <v>74</v>
      </c>
      <c r="BC851" t="s">
        <v>74</v>
      </c>
      <c r="BD851" t="s">
        <v>16574</v>
      </c>
      <c r="BE851" t="s">
        <v>16575</v>
      </c>
      <c r="BF851" t="str">
        <f>HYPERLINK("http://dx.doi.org/10.1371/journal.pone.0187169","http://dx.doi.org/10.1371/journal.pone.0187169")</f>
        <v>http://dx.doi.org/10.1371/journal.pone.0187169</v>
      </c>
      <c r="BG851" t="s">
        <v>74</v>
      </c>
      <c r="BH851" t="s">
        <v>74</v>
      </c>
      <c r="BI851">
        <v>19</v>
      </c>
      <c r="BJ851" t="s">
        <v>129</v>
      </c>
      <c r="BK851" t="s">
        <v>101</v>
      </c>
      <c r="BL851" t="s">
        <v>130</v>
      </c>
      <c r="BM851" t="s">
        <v>16576</v>
      </c>
      <c r="BN851">
        <v>29108002</v>
      </c>
      <c r="BO851" t="s">
        <v>630</v>
      </c>
      <c r="BP851" t="s">
        <v>74</v>
      </c>
      <c r="BQ851" t="s">
        <v>74</v>
      </c>
      <c r="BR851" t="s">
        <v>105</v>
      </c>
      <c r="BS851" t="s">
        <v>16577</v>
      </c>
      <c r="BT851" t="str">
        <f>HYPERLINK("https%3A%2F%2Fwww.webofscience.com%2Fwos%2Fwoscc%2Ffull-record%2FWOS:000414424600017","View Full Record in Web of Science")</f>
        <v>View Full Record in Web of Science</v>
      </c>
    </row>
    <row r="852" spans="1:72" x14ac:dyDescent="0.15">
      <c r="A852" t="s">
        <v>72</v>
      </c>
      <c r="B852" t="s">
        <v>16578</v>
      </c>
      <c r="C852" t="s">
        <v>74</v>
      </c>
      <c r="D852" t="s">
        <v>74</v>
      </c>
      <c r="E852" t="s">
        <v>74</v>
      </c>
      <c r="F852" t="s">
        <v>16579</v>
      </c>
      <c r="G852" t="s">
        <v>74</v>
      </c>
      <c r="H852" t="s">
        <v>74</v>
      </c>
      <c r="I852" t="s">
        <v>16580</v>
      </c>
      <c r="J852" t="s">
        <v>165</v>
      </c>
      <c r="K852" t="s">
        <v>74</v>
      </c>
      <c r="L852" t="s">
        <v>74</v>
      </c>
      <c r="M852" t="s">
        <v>78</v>
      </c>
      <c r="N852" t="s">
        <v>79</v>
      </c>
      <c r="O852" t="s">
        <v>74</v>
      </c>
      <c r="P852" t="s">
        <v>74</v>
      </c>
      <c r="Q852" t="s">
        <v>74</v>
      </c>
      <c r="R852" t="s">
        <v>74</v>
      </c>
      <c r="S852" t="s">
        <v>74</v>
      </c>
      <c r="T852" t="s">
        <v>74</v>
      </c>
      <c r="U852" t="s">
        <v>16581</v>
      </c>
      <c r="V852" t="s">
        <v>16582</v>
      </c>
      <c r="W852" t="s">
        <v>16583</v>
      </c>
      <c r="X852" t="s">
        <v>16584</v>
      </c>
      <c r="Y852" t="s">
        <v>16585</v>
      </c>
      <c r="Z852" t="s">
        <v>16586</v>
      </c>
      <c r="AA852" t="s">
        <v>16587</v>
      </c>
      <c r="AB852" t="s">
        <v>16588</v>
      </c>
      <c r="AC852" t="s">
        <v>16589</v>
      </c>
      <c r="AD852" t="s">
        <v>16590</v>
      </c>
      <c r="AE852" t="s">
        <v>16591</v>
      </c>
      <c r="AF852" t="s">
        <v>74</v>
      </c>
      <c r="AG852">
        <v>87</v>
      </c>
      <c r="AH852">
        <v>26</v>
      </c>
      <c r="AI852">
        <v>27</v>
      </c>
      <c r="AJ852">
        <v>2</v>
      </c>
      <c r="AK852">
        <v>16</v>
      </c>
      <c r="AL852" t="s">
        <v>149</v>
      </c>
      <c r="AM852" t="s">
        <v>150</v>
      </c>
      <c r="AN852" t="s">
        <v>151</v>
      </c>
      <c r="AO852" t="s">
        <v>177</v>
      </c>
      <c r="AP852" t="s">
        <v>178</v>
      </c>
      <c r="AQ852" t="s">
        <v>74</v>
      </c>
      <c r="AR852" t="s">
        <v>179</v>
      </c>
      <c r="AS852" t="s">
        <v>180</v>
      </c>
      <c r="AT852" t="s">
        <v>16573</v>
      </c>
      <c r="AU852">
        <v>2017</v>
      </c>
      <c r="AV852">
        <v>17</v>
      </c>
      <c r="AW852">
        <v>21</v>
      </c>
      <c r="AX852" t="s">
        <v>74</v>
      </c>
      <c r="AY852" t="s">
        <v>74</v>
      </c>
      <c r="AZ852" t="s">
        <v>74</v>
      </c>
      <c r="BA852" t="s">
        <v>74</v>
      </c>
      <c r="BB852">
        <v>13049</v>
      </c>
      <c r="BC852">
        <v>13070</v>
      </c>
      <c r="BD852" t="s">
        <v>74</v>
      </c>
      <c r="BE852" t="s">
        <v>16592</v>
      </c>
      <c r="BF852" t="str">
        <f>HYPERLINK("http://dx.doi.org/10.5194/acp-17-13049-2017","http://dx.doi.org/10.5194/acp-17-13049-2017")</f>
        <v>http://dx.doi.org/10.5194/acp-17-13049-2017</v>
      </c>
      <c r="BG852" t="s">
        <v>74</v>
      </c>
      <c r="BH852" t="s">
        <v>74</v>
      </c>
      <c r="BI852">
        <v>22</v>
      </c>
      <c r="BJ852" t="s">
        <v>183</v>
      </c>
      <c r="BK852" t="s">
        <v>101</v>
      </c>
      <c r="BL852" t="s">
        <v>184</v>
      </c>
      <c r="BM852" t="s">
        <v>16593</v>
      </c>
      <c r="BN852" t="s">
        <v>74</v>
      </c>
      <c r="BO852" t="s">
        <v>876</v>
      </c>
      <c r="BP852" t="s">
        <v>74</v>
      </c>
      <c r="BQ852" t="s">
        <v>74</v>
      </c>
      <c r="BR852" t="s">
        <v>105</v>
      </c>
      <c r="BS852" t="s">
        <v>16594</v>
      </c>
      <c r="BT852" t="str">
        <f>HYPERLINK("https%3A%2F%2Fwww.webofscience.com%2Fwos%2Fwoscc%2Ffull-record%2FWOS:000414516100004","View Full Record in Web of Science")</f>
        <v>View Full Record in Web of Science</v>
      </c>
    </row>
    <row r="853" spans="1:72" x14ac:dyDescent="0.15">
      <c r="A853" t="s">
        <v>72</v>
      </c>
      <c r="B853" t="s">
        <v>16595</v>
      </c>
      <c r="C853" t="s">
        <v>74</v>
      </c>
      <c r="D853" t="s">
        <v>74</v>
      </c>
      <c r="E853" t="s">
        <v>74</v>
      </c>
      <c r="F853" t="s">
        <v>16596</v>
      </c>
      <c r="G853" t="s">
        <v>74</v>
      </c>
      <c r="H853" t="s">
        <v>74</v>
      </c>
      <c r="I853" t="s">
        <v>16597</v>
      </c>
      <c r="J853" t="s">
        <v>15581</v>
      </c>
      <c r="K853" t="s">
        <v>74</v>
      </c>
      <c r="L853" t="s">
        <v>74</v>
      </c>
      <c r="M853" t="s">
        <v>78</v>
      </c>
      <c r="N853" t="s">
        <v>79</v>
      </c>
      <c r="O853" t="s">
        <v>74</v>
      </c>
      <c r="P853" t="s">
        <v>74</v>
      </c>
      <c r="Q853" t="s">
        <v>74</v>
      </c>
      <c r="R853" t="s">
        <v>74</v>
      </c>
      <c r="S853" t="s">
        <v>74</v>
      </c>
      <c r="T853" t="s">
        <v>74</v>
      </c>
      <c r="U853" t="s">
        <v>16598</v>
      </c>
      <c r="V853" t="s">
        <v>16599</v>
      </c>
      <c r="W853" t="s">
        <v>16600</v>
      </c>
      <c r="X853" t="s">
        <v>16601</v>
      </c>
      <c r="Y853" t="s">
        <v>16602</v>
      </c>
      <c r="Z853" t="s">
        <v>16603</v>
      </c>
      <c r="AA853" t="s">
        <v>16604</v>
      </c>
      <c r="AB853" t="s">
        <v>16605</v>
      </c>
      <c r="AC853" t="s">
        <v>16606</v>
      </c>
      <c r="AD853" t="s">
        <v>16607</v>
      </c>
      <c r="AE853" t="s">
        <v>16608</v>
      </c>
      <c r="AF853" t="s">
        <v>74</v>
      </c>
      <c r="AG853">
        <v>89</v>
      </c>
      <c r="AH853">
        <v>165</v>
      </c>
      <c r="AI853">
        <v>184</v>
      </c>
      <c r="AJ853">
        <v>4</v>
      </c>
      <c r="AK853">
        <v>35</v>
      </c>
      <c r="AL853" t="s">
        <v>149</v>
      </c>
      <c r="AM853" t="s">
        <v>150</v>
      </c>
      <c r="AN853" t="s">
        <v>151</v>
      </c>
      <c r="AO853" t="s">
        <v>15593</v>
      </c>
      <c r="AP853" t="s">
        <v>15594</v>
      </c>
      <c r="AQ853" t="s">
        <v>74</v>
      </c>
      <c r="AR853" t="s">
        <v>15595</v>
      </c>
      <c r="AS853" t="s">
        <v>15596</v>
      </c>
      <c r="AT853" t="s">
        <v>16573</v>
      </c>
      <c r="AU853">
        <v>2017</v>
      </c>
      <c r="AV853">
        <v>9</v>
      </c>
      <c r="AW853">
        <v>2</v>
      </c>
      <c r="AX853" t="s">
        <v>74</v>
      </c>
      <c r="AY853" t="s">
        <v>74</v>
      </c>
      <c r="AZ853" t="s">
        <v>74</v>
      </c>
      <c r="BA853" t="s">
        <v>74</v>
      </c>
      <c r="BB853">
        <v>809</v>
      </c>
      <c r="BC853">
        <v>831</v>
      </c>
      <c r="BD853" t="s">
        <v>74</v>
      </c>
      <c r="BE853" t="s">
        <v>16609</v>
      </c>
      <c r="BF853" t="str">
        <f>HYPERLINK("http://dx.doi.org/10.5194/essd-9-809-2017","http://dx.doi.org/10.5194/essd-9-809-2017")</f>
        <v>http://dx.doi.org/10.5194/essd-9-809-2017</v>
      </c>
      <c r="BG853" t="s">
        <v>74</v>
      </c>
      <c r="BH853" t="s">
        <v>74</v>
      </c>
      <c r="BI853">
        <v>23</v>
      </c>
      <c r="BJ853" t="s">
        <v>10260</v>
      </c>
      <c r="BK853" t="s">
        <v>101</v>
      </c>
      <c r="BL853" t="s">
        <v>10261</v>
      </c>
      <c r="BM853" t="s">
        <v>16610</v>
      </c>
      <c r="BN853" t="s">
        <v>74</v>
      </c>
      <c r="BO853" t="s">
        <v>16611</v>
      </c>
      <c r="BP853" t="s">
        <v>74</v>
      </c>
      <c r="BQ853" t="s">
        <v>74</v>
      </c>
      <c r="BR853" t="s">
        <v>105</v>
      </c>
      <c r="BS853" t="s">
        <v>16612</v>
      </c>
      <c r="BT853" t="str">
        <f>HYPERLINK("https%3A%2F%2Fwww.webofscience.com%2Fwos%2Fwoscc%2Ffull-record%2FWOS:000414435800001","View Full Record in Web of Science")</f>
        <v>View Full Record in Web of Science</v>
      </c>
    </row>
    <row r="854" spans="1:72" x14ac:dyDescent="0.15">
      <c r="A854" t="s">
        <v>72</v>
      </c>
      <c r="B854" t="s">
        <v>16613</v>
      </c>
      <c r="C854" t="s">
        <v>74</v>
      </c>
      <c r="D854" t="s">
        <v>74</v>
      </c>
      <c r="E854" t="s">
        <v>74</v>
      </c>
      <c r="F854" t="s">
        <v>16614</v>
      </c>
      <c r="G854" t="s">
        <v>74</v>
      </c>
      <c r="H854" t="s">
        <v>74</v>
      </c>
      <c r="I854" t="s">
        <v>16615</v>
      </c>
      <c r="J854" t="s">
        <v>499</v>
      </c>
      <c r="K854" t="s">
        <v>74</v>
      </c>
      <c r="L854" t="s">
        <v>74</v>
      </c>
      <c r="M854" t="s">
        <v>78</v>
      </c>
      <c r="N854" t="s">
        <v>79</v>
      </c>
      <c r="O854" t="s">
        <v>74</v>
      </c>
      <c r="P854" t="s">
        <v>74</v>
      </c>
      <c r="Q854" t="s">
        <v>74</v>
      </c>
      <c r="R854" t="s">
        <v>74</v>
      </c>
      <c r="S854" t="s">
        <v>74</v>
      </c>
      <c r="T854" t="s">
        <v>16616</v>
      </c>
      <c r="U854" t="s">
        <v>16617</v>
      </c>
      <c r="V854" t="s">
        <v>16618</v>
      </c>
      <c r="W854" t="s">
        <v>16619</v>
      </c>
      <c r="X854" t="s">
        <v>16620</v>
      </c>
      <c r="Y854" t="s">
        <v>16621</v>
      </c>
      <c r="Z854" t="s">
        <v>16622</v>
      </c>
      <c r="AA854" t="s">
        <v>16623</v>
      </c>
      <c r="AB854" t="s">
        <v>16624</v>
      </c>
      <c r="AC854" t="s">
        <v>16625</v>
      </c>
      <c r="AD854" t="s">
        <v>16626</v>
      </c>
      <c r="AE854" t="s">
        <v>16627</v>
      </c>
      <c r="AF854" t="s">
        <v>74</v>
      </c>
      <c r="AG854">
        <v>67</v>
      </c>
      <c r="AH854">
        <v>23</v>
      </c>
      <c r="AI854">
        <v>24</v>
      </c>
      <c r="AJ854">
        <v>1</v>
      </c>
      <c r="AK854">
        <v>32</v>
      </c>
      <c r="AL854" t="s">
        <v>512</v>
      </c>
      <c r="AM854" t="s">
        <v>513</v>
      </c>
      <c r="AN854" t="s">
        <v>514</v>
      </c>
      <c r="AO854" t="s">
        <v>515</v>
      </c>
      <c r="AP854" t="s">
        <v>516</v>
      </c>
      <c r="AQ854" t="s">
        <v>74</v>
      </c>
      <c r="AR854" t="s">
        <v>517</v>
      </c>
      <c r="AS854" t="s">
        <v>518</v>
      </c>
      <c r="AT854" t="s">
        <v>16573</v>
      </c>
      <c r="AU854">
        <v>2017</v>
      </c>
      <c r="AV854">
        <v>582</v>
      </c>
      <c r="AW854" t="s">
        <v>74</v>
      </c>
      <c r="AX854" t="s">
        <v>74</v>
      </c>
      <c r="AY854" t="s">
        <v>74</v>
      </c>
      <c r="AZ854" t="s">
        <v>74</v>
      </c>
      <c r="BA854" t="s">
        <v>74</v>
      </c>
      <c r="BB854">
        <v>45</v>
      </c>
      <c r="BC854">
        <v>55</v>
      </c>
      <c r="BD854" t="s">
        <v>74</v>
      </c>
      <c r="BE854" t="s">
        <v>16628</v>
      </c>
      <c r="BF854" t="str">
        <f>HYPERLINK("http://dx.doi.org/10.3354/meps12321","http://dx.doi.org/10.3354/meps12321")</f>
        <v>http://dx.doi.org/10.3354/meps12321</v>
      </c>
      <c r="BG854" t="s">
        <v>74</v>
      </c>
      <c r="BH854" t="s">
        <v>74</v>
      </c>
      <c r="BI854">
        <v>11</v>
      </c>
      <c r="BJ854" t="s">
        <v>521</v>
      </c>
      <c r="BK854" t="s">
        <v>101</v>
      </c>
      <c r="BL854" t="s">
        <v>522</v>
      </c>
      <c r="BM854" t="s">
        <v>16629</v>
      </c>
      <c r="BN854" t="s">
        <v>74</v>
      </c>
      <c r="BO854" t="s">
        <v>542</v>
      </c>
      <c r="BP854" t="s">
        <v>74</v>
      </c>
      <c r="BQ854" t="s">
        <v>74</v>
      </c>
      <c r="BR854" t="s">
        <v>105</v>
      </c>
      <c r="BS854" t="s">
        <v>16630</v>
      </c>
      <c r="BT854" t="str">
        <f>HYPERLINK("https%3A%2F%2Fwww.webofscience.com%2Fwos%2Fwoscc%2Ffull-record%2FWOS:000414581400004","View Full Record in Web of Science")</f>
        <v>View Full Record in Web of Science</v>
      </c>
    </row>
    <row r="855" spans="1:72" x14ac:dyDescent="0.15">
      <c r="A855" t="s">
        <v>72</v>
      </c>
      <c r="B855" t="s">
        <v>16631</v>
      </c>
      <c r="C855" t="s">
        <v>74</v>
      </c>
      <c r="D855" t="s">
        <v>74</v>
      </c>
      <c r="E855" t="s">
        <v>74</v>
      </c>
      <c r="F855" t="s">
        <v>16632</v>
      </c>
      <c r="G855" t="s">
        <v>74</v>
      </c>
      <c r="H855" t="s">
        <v>74</v>
      </c>
      <c r="I855" t="s">
        <v>16633</v>
      </c>
      <c r="J855" t="s">
        <v>661</v>
      </c>
      <c r="K855" t="s">
        <v>74</v>
      </c>
      <c r="L855" t="s">
        <v>74</v>
      </c>
      <c r="M855" t="s">
        <v>78</v>
      </c>
      <c r="N855" t="s">
        <v>79</v>
      </c>
      <c r="O855" t="s">
        <v>74</v>
      </c>
      <c r="P855" t="s">
        <v>74</v>
      </c>
      <c r="Q855" t="s">
        <v>74</v>
      </c>
      <c r="R855" t="s">
        <v>74</v>
      </c>
      <c r="S855" t="s">
        <v>74</v>
      </c>
      <c r="T855" t="s">
        <v>74</v>
      </c>
      <c r="U855" t="s">
        <v>16634</v>
      </c>
      <c r="V855" t="s">
        <v>16635</v>
      </c>
      <c r="W855" t="s">
        <v>16636</v>
      </c>
      <c r="X855" t="s">
        <v>16637</v>
      </c>
      <c r="Y855" t="s">
        <v>16638</v>
      </c>
      <c r="Z855" t="s">
        <v>15671</v>
      </c>
      <c r="AA855" t="s">
        <v>16639</v>
      </c>
      <c r="AB855" t="s">
        <v>16640</v>
      </c>
      <c r="AC855" t="s">
        <v>74</v>
      </c>
      <c r="AD855" t="s">
        <v>74</v>
      </c>
      <c r="AE855" t="s">
        <v>74</v>
      </c>
      <c r="AF855" t="s">
        <v>74</v>
      </c>
      <c r="AG855">
        <v>68</v>
      </c>
      <c r="AH855">
        <v>66</v>
      </c>
      <c r="AI855">
        <v>67</v>
      </c>
      <c r="AJ855">
        <v>2</v>
      </c>
      <c r="AK855">
        <v>28</v>
      </c>
      <c r="AL855" t="s">
        <v>673</v>
      </c>
      <c r="AM855" t="s">
        <v>92</v>
      </c>
      <c r="AN855" t="s">
        <v>674</v>
      </c>
      <c r="AO855" t="s">
        <v>675</v>
      </c>
      <c r="AP855" t="s">
        <v>74</v>
      </c>
      <c r="AQ855" t="s">
        <v>74</v>
      </c>
      <c r="AR855" t="s">
        <v>676</v>
      </c>
      <c r="AS855" t="s">
        <v>677</v>
      </c>
      <c r="AT855" t="s">
        <v>16573</v>
      </c>
      <c r="AU855">
        <v>2017</v>
      </c>
      <c r="AV855">
        <v>8</v>
      </c>
      <c r="AW855" t="s">
        <v>74</v>
      </c>
      <c r="AX855" t="s">
        <v>74</v>
      </c>
      <c r="AY855" t="s">
        <v>74</v>
      </c>
      <c r="AZ855" t="s">
        <v>74</v>
      </c>
      <c r="BA855" t="s">
        <v>74</v>
      </c>
      <c r="BB855" t="s">
        <v>74</v>
      </c>
      <c r="BC855" t="s">
        <v>74</v>
      </c>
      <c r="BD855">
        <v>1334</v>
      </c>
      <c r="BE855" t="s">
        <v>16641</v>
      </c>
      <c r="BF855" t="str">
        <f>HYPERLINK("http://dx.doi.org/10.1038/s41467-017-01455-x","http://dx.doi.org/10.1038/s41467-017-01455-x")</f>
        <v>http://dx.doi.org/10.1038/s41467-017-01455-x</v>
      </c>
      <c r="BG855" t="s">
        <v>74</v>
      </c>
      <c r="BH855" t="s">
        <v>74</v>
      </c>
      <c r="BI855">
        <v>12</v>
      </c>
      <c r="BJ855" t="s">
        <v>129</v>
      </c>
      <c r="BK855" t="s">
        <v>101</v>
      </c>
      <c r="BL855" t="s">
        <v>130</v>
      </c>
      <c r="BM855" t="s">
        <v>16642</v>
      </c>
      <c r="BN855">
        <v>29109395</v>
      </c>
      <c r="BO855" t="s">
        <v>494</v>
      </c>
      <c r="BP855" t="s">
        <v>74</v>
      </c>
      <c r="BQ855" t="s">
        <v>74</v>
      </c>
      <c r="BR855" t="s">
        <v>105</v>
      </c>
      <c r="BS855" t="s">
        <v>16643</v>
      </c>
      <c r="BT855" t="str">
        <f>HYPERLINK("https%3A%2F%2Fwww.webofscience.com%2Fwos%2Fwoscc%2Ffull-record%2FWOS:000414422100019","View Full Record in Web of Science")</f>
        <v>View Full Record in Web of Science</v>
      </c>
    </row>
    <row r="856" spans="1:72" x14ac:dyDescent="0.15">
      <c r="A856" t="s">
        <v>72</v>
      </c>
      <c r="B856" t="s">
        <v>16644</v>
      </c>
      <c r="C856" t="s">
        <v>74</v>
      </c>
      <c r="D856" t="s">
        <v>74</v>
      </c>
      <c r="E856" t="s">
        <v>74</v>
      </c>
      <c r="F856" t="s">
        <v>16645</v>
      </c>
      <c r="G856" t="s">
        <v>74</v>
      </c>
      <c r="H856" t="s">
        <v>74</v>
      </c>
      <c r="I856" t="s">
        <v>16646</v>
      </c>
      <c r="J856" t="s">
        <v>165</v>
      </c>
      <c r="K856" t="s">
        <v>74</v>
      </c>
      <c r="L856" t="s">
        <v>74</v>
      </c>
      <c r="M856" t="s">
        <v>78</v>
      </c>
      <c r="N856" t="s">
        <v>79</v>
      </c>
      <c r="O856" t="s">
        <v>74</v>
      </c>
      <c r="P856" t="s">
        <v>74</v>
      </c>
      <c r="Q856" t="s">
        <v>74</v>
      </c>
      <c r="R856" t="s">
        <v>74</v>
      </c>
      <c r="S856" t="s">
        <v>74</v>
      </c>
      <c r="T856" t="s">
        <v>74</v>
      </c>
      <c r="U856" t="s">
        <v>16647</v>
      </c>
      <c r="V856" t="s">
        <v>16648</v>
      </c>
      <c r="W856" t="s">
        <v>16649</v>
      </c>
      <c r="X856" t="s">
        <v>16650</v>
      </c>
      <c r="Y856" t="s">
        <v>16651</v>
      </c>
      <c r="Z856" t="s">
        <v>16652</v>
      </c>
      <c r="AA856" t="s">
        <v>16653</v>
      </c>
      <c r="AB856" t="s">
        <v>16654</v>
      </c>
      <c r="AC856" t="s">
        <v>16655</v>
      </c>
      <c r="AD856" t="s">
        <v>16656</v>
      </c>
      <c r="AE856" t="s">
        <v>16657</v>
      </c>
      <c r="AF856" t="s">
        <v>74</v>
      </c>
      <c r="AG856">
        <v>65</v>
      </c>
      <c r="AH856">
        <v>21</v>
      </c>
      <c r="AI856">
        <v>25</v>
      </c>
      <c r="AJ856">
        <v>2</v>
      </c>
      <c r="AK856">
        <v>18</v>
      </c>
      <c r="AL856" t="s">
        <v>149</v>
      </c>
      <c r="AM856" t="s">
        <v>150</v>
      </c>
      <c r="AN856" t="s">
        <v>151</v>
      </c>
      <c r="AO856" t="s">
        <v>177</v>
      </c>
      <c r="AP856" t="s">
        <v>178</v>
      </c>
      <c r="AQ856" t="s">
        <v>74</v>
      </c>
      <c r="AR856" t="s">
        <v>179</v>
      </c>
      <c r="AS856" t="s">
        <v>180</v>
      </c>
      <c r="AT856" t="s">
        <v>16658</v>
      </c>
      <c r="AU856">
        <v>2017</v>
      </c>
      <c r="AV856">
        <v>17</v>
      </c>
      <c r="AW856">
        <v>21</v>
      </c>
      <c r="AX856" t="s">
        <v>74</v>
      </c>
      <c r="AY856" t="s">
        <v>74</v>
      </c>
      <c r="AZ856" t="s">
        <v>74</v>
      </c>
      <c r="BA856" t="s">
        <v>74</v>
      </c>
      <c r="BB856" t="s">
        <v>74</v>
      </c>
      <c r="BC856" t="s">
        <v>74</v>
      </c>
      <c r="BD856" t="s">
        <v>74</v>
      </c>
      <c r="BE856" t="s">
        <v>16659</v>
      </c>
      <c r="BF856" t="str">
        <f>HYPERLINK("http://dx.doi.org/10.5194/acp-17-12985-2017","http://dx.doi.org/10.5194/acp-17-12985-2017")</f>
        <v>http://dx.doi.org/10.5194/acp-17-12985-2017</v>
      </c>
      <c r="BG856" t="s">
        <v>74</v>
      </c>
      <c r="BH856" t="s">
        <v>74</v>
      </c>
      <c r="BI856">
        <v>15</v>
      </c>
      <c r="BJ856" t="s">
        <v>183</v>
      </c>
      <c r="BK856" t="s">
        <v>101</v>
      </c>
      <c r="BL856" t="s">
        <v>184</v>
      </c>
      <c r="BM856" t="s">
        <v>16660</v>
      </c>
      <c r="BN856" t="s">
        <v>74</v>
      </c>
      <c r="BO856" t="s">
        <v>236</v>
      </c>
      <c r="BP856" t="s">
        <v>74</v>
      </c>
      <c r="BQ856" t="s">
        <v>74</v>
      </c>
      <c r="BR856" t="s">
        <v>105</v>
      </c>
      <c r="BS856" t="s">
        <v>16661</v>
      </c>
      <c r="BT856" t="str">
        <f>HYPERLINK("https%3A%2F%2Fwww.webofscience.com%2Fwos%2Fwoscc%2Ffull-record%2FWOS:000414373700001","View Full Record in Web of Science")</f>
        <v>View Full Record in Web of Science</v>
      </c>
    </row>
    <row r="857" spans="1:72" x14ac:dyDescent="0.15">
      <c r="A857" t="s">
        <v>72</v>
      </c>
      <c r="B857" t="s">
        <v>16662</v>
      </c>
      <c r="C857" t="s">
        <v>74</v>
      </c>
      <c r="D857" t="s">
        <v>74</v>
      </c>
      <c r="E857" t="s">
        <v>74</v>
      </c>
      <c r="F857" t="s">
        <v>16663</v>
      </c>
      <c r="G857" t="s">
        <v>74</v>
      </c>
      <c r="H857" t="s">
        <v>74</v>
      </c>
      <c r="I857" t="s">
        <v>16664</v>
      </c>
      <c r="J857" t="s">
        <v>217</v>
      </c>
      <c r="K857" t="s">
        <v>74</v>
      </c>
      <c r="L857" t="s">
        <v>74</v>
      </c>
      <c r="M857" t="s">
        <v>78</v>
      </c>
      <c r="N857" t="s">
        <v>79</v>
      </c>
      <c r="O857" t="s">
        <v>74</v>
      </c>
      <c r="P857" t="s">
        <v>74</v>
      </c>
      <c r="Q857" t="s">
        <v>74</v>
      </c>
      <c r="R857" t="s">
        <v>74</v>
      </c>
      <c r="S857" t="s">
        <v>74</v>
      </c>
      <c r="T857" t="s">
        <v>74</v>
      </c>
      <c r="U857" t="s">
        <v>16665</v>
      </c>
      <c r="V857" t="s">
        <v>16666</v>
      </c>
      <c r="W857" t="s">
        <v>16667</v>
      </c>
      <c r="X857" t="s">
        <v>16668</v>
      </c>
      <c r="Y857" t="s">
        <v>16669</v>
      </c>
      <c r="Z857" t="s">
        <v>16670</v>
      </c>
      <c r="AA857" t="s">
        <v>74</v>
      </c>
      <c r="AB857" t="s">
        <v>16671</v>
      </c>
      <c r="AC857" t="s">
        <v>16672</v>
      </c>
      <c r="AD857" t="s">
        <v>16673</v>
      </c>
      <c r="AE857" t="s">
        <v>16674</v>
      </c>
      <c r="AF857" t="s">
        <v>74</v>
      </c>
      <c r="AG857">
        <v>84</v>
      </c>
      <c r="AH857">
        <v>15</v>
      </c>
      <c r="AI857">
        <v>15</v>
      </c>
      <c r="AJ857">
        <v>0</v>
      </c>
      <c r="AK857">
        <v>8</v>
      </c>
      <c r="AL857" t="s">
        <v>149</v>
      </c>
      <c r="AM857" t="s">
        <v>150</v>
      </c>
      <c r="AN857" t="s">
        <v>151</v>
      </c>
      <c r="AO857" t="s">
        <v>229</v>
      </c>
      <c r="AP857" t="s">
        <v>230</v>
      </c>
      <c r="AQ857" t="s">
        <v>74</v>
      </c>
      <c r="AR857" t="s">
        <v>217</v>
      </c>
      <c r="AS857" t="s">
        <v>231</v>
      </c>
      <c r="AT857" t="s">
        <v>16658</v>
      </c>
      <c r="AU857">
        <v>2017</v>
      </c>
      <c r="AV857">
        <v>11</v>
      </c>
      <c r="AW857">
        <v>6</v>
      </c>
      <c r="AX857" t="s">
        <v>74</v>
      </c>
      <c r="AY857" t="s">
        <v>74</v>
      </c>
      <c r="AZ857" t="s">
        <v>74</v>
      </c>
      <c r="BA857" t="s">
        <v>74</v>
      </c>
      <c r="BB857">
        <v>2439</v>
      </c>
      <c r="BC857">
        <v>2462</v>
      </c>
      <c r="BD857" t="s">
        <v>74</v>
      </c>
      <c r="BE857" t="s">
        <v>16675</v>
      </c>
      <c r="BF857" t="str">
        <f>HYPERLINK("http://dx.doi.org/10.5194/tc-11-2439-2017","http://dx.doi.org/10.5194/tc-11-2439-2017")</f>
        <v>http://dx.doi.org/10.5194/tc-11-2439-2017</v>
      </c>
      <c r="BG857" t="s">
        <v>74</v>
      </c>
      <c r="BH857" t="s">
        <v>74</v>
      </c>
      <c r="BI857">
        <v>24</v>
      </c>
      <c r="BJ857" t="s">
        <v>233</v>
      </c>
      <c r="BK857" t="s">
        <v>101</v>
      </c>
      <c r="BL857" t="s">
        <v>234</v>
      </c>
      <c r="BM857" t="s">
        <v>16676</v>
      </c>
      <c r="BN857" t="s">
        <v>74</v>
      </c>
      <c r="BO857" t="s">
        <v>236</v>
      </c>
      <c r="BP857" t="s">
        <v>74</v>
      </c>
      <c r="BQ857" t="s">
        <v>74</v>
      </c>
      <c r="BR857" t="s">
        <v>105</v>
      </c>
      <c r="BS857" t="s">
        <v>16677</v>
      </c>
      <c r="BT857" t="str">
        <f>HYPERLINK("https%3A%2F%2Fwww.webofscience.com%2Fwos%2Fwoscc%2Ffull-record%2FWOS:000414425000001","View Full Record in Web of Science")</f>
        <v>View Full Record in Web of Science</v>
      </c>
    </row>
    <row r="858" spans="1:72" x14ac:dyDescent="0.15">
      <c r="A858" t="s">
        <v>72</v>
      </c>
      <c r="B858" t="s">
        <v>8459</v>
      </c>
      <c r="C858" t="s">
        <v>74</v>
      </c>
      <c r="D858" t="s">
        <v>74</v>
      </c>
      <c r="E858" t="s">
        <v>74</v>
      </c>
      <c r="F858" t="s">
        <v>8459</v>
      </c>
      <c r="G858" t="s">
        <v>74</v>
      </c>
      <c r="H858" t="s">
        <v>74</v>
      </c>
      <c r="I858" t="s">
        <v>16678</v>
      </c>
      <c r="J858" t="s">
        <v>2787</v>
      </c>
      <c r="K858" t="s">
        <v>74</v>
      </c>
      <c r="L858" t="s">
        <v>74</v>
      </c>
      <c r="M858" t="s">
        <v>78</v>
      </c>
      <c r="N858" t="s">
        <v>6137</v>
      </c>
      <c r="O858" t="s">
        <v>74</v>
      </c>
      <c r="P858" t="s">
        <v>74</v>
      </c>
      <c r="Q858" t="s">
        <v>74</v>
      </c>
      <c r="R858" t="s">
        <v>74</v>
      </c>
      <c r="S858" t="s">
        <v>74</v>
      </c>
      <c r="T858" t="s">
        <v>74</v>
      </c>
      <c r="U858" t="s">
        <v>74</v>
      </c>
      <c r="V858" t="s">
        <v>74</v>
      </c>
      <c r="W858" t="s">
        <v>74</v>
      </c>
      <c r="X858" t="s">
        <v>74</v>
      </c>
      <c r="Y858" t="s">
        <v>74</v>
      </c>
      <c r="Z858" t="s">
        <v>74</v>
      </c>
      <c r="AA858" t="s">
        <v>74</v>
      </c>
      <c r="AB858" t="s">
        <v>74</v>
      </c>
      <c r="AC858" t="s">
        <v>74</v>
      </c>
      <c r="AD858" t="s">
        <v>74</v>
      </c>
      <c r="AE858" t="s">
        <v>74</v>
      </c>
      <c r="AF858" t="s">
        <v>74</v>
      </c>
      <c r="AG858">
        <v>0</v>
      </c>
      <c r="AH858">
        <v>0</v>
      </c>
      <c r="AI858">
        <v>0</v>
      </c>
      <c r="AJ858">
        <v>0</v>
      </c>
      <c r="AK858">
        <v>3</v>
      </c>
      <c r="AL858" t="s">
        <v>16679</v>
      </c>
      <c r="AM858" t="s">
        <v>272</v>
      </c>
      <c r="AN858" t="s">
        <v>16680</v>
      </c>
      <c r="AO858" t="s">
        <v>16681</v>
      </c>
      <c r="AP858" t="s">
        <v>16682</v>
      </c>
      <c r="AQ858" t="s">
        <v>74</v>
      </c>
      <c r="AR858" t="s">
        <v>2787</v>
      </c>
      <c r="AS858" t="s">
        <v>16683</v>
      </c>
      <c r="AT858" t="s">
        <v>16658</v>
      </c>
      <c r="AU858">
        <v>2017</v>
      </c>
      <c r="AV858">
        <v>358</v>
      </c>
      <c r="AW858">
        <v>6363</v>
      </c>
      <c r="AX858" t="s">
        <v>74</v>
      </c>
      <c r="AY858" t="s">
        <v>74</v>
      </c>
      <c r="AZ858" t="s">
        <v>74</v>
      </c>
      <c r="BA858" t="s">
        <v>74</v>
      </c>
      <c r="BB858">
        <v>570</v>
      </c>
      <c r="BC858">
        <v>570</v>
      </c>
      <c r="BD858" t="s">
        <v>74</v>
      </c>
      <c r="BE858" t="s">
        <v>74</v>
      </c>
      <c r="BF858" t="s">
        <v>74</v>
      </c>
      <c r="BG858" t="s">
        <v>74</v>
      </c>
      <c r="BH858" t="s">
        <v>74</v>
      </c>
      <c r="BI858">
        <v>1</v>
      </c>
      <c r="BJ858" t="s">
        <v>129</v>
      </c>
      <c r="BK858" t="s">
        <v>101</v>
      </c>
      <c r="BL858" t="s">
        <v>130</v>
      </c>
      <c r="BM858" t="s">
        <v>16684</v>
      </c>
      <c r="BN858" t="s">
        <v>74</v>
      </c>
      <c r="BO858" t="s">
        <v>74</v>
      </c>
      <c r="BP858" t="s">
        <v>74</v>
      </c>
      <c r="BQ858" t="s">
        <v>74</v>
      </c>
      <c r="BR858" t="s">
        <v>105</v>
      </c>
      <c r="BS858" t="s">
        <v>16685</v>
      </c>
      <c r="BT858" t="str">
        <f>HYPERLINK("https%3A%2F%2Fwww.webofscience.com%2Fwos%2Fwoscc%2Ffull-record%2FWOS:000414240500003","View Full Record in Web of Science")</f>
        <v>View Full Record in Web of Science</v>
      </c>
    </row>
    <row r="859" spans="1:72" x14ac:dyDescent="0.15">
      <c r="A859" t="s">
        <v>72</v>
      </c>
      <c r="B859" t="s">
        <v>16686</v>
      </c>
      <c r="C859" t="s">
        <v>74</v>
      </c>
      <c r="D859" t="s">
        <v>74</v>
      </c>
      <c r="E859" t="s">
        <v>74</v>
      </c>
      <c r="F859" t="s">
        <v>16687</v>
      </c>
      <c r="G859" t="s">
        <v>74</v>
      </c>
      <c r="H859" t="s">
        <v>74</v>
      </c>
      <c r="I859" t="s">
        <v>16688</v>
      </c>
      <c r="J859" t="s">
        <v>217</v>
      </c>
      <c r="K859" t="s">
        <v>74</v>
      </c>
      <c r="L859" t="s">
        <v>74</v>
      </c>
      <c r="M859" t="s">
        <v>78</v>
      </c>
      <c r="N859" t="s">
        <v>79</v>
      </c>
      <c r="O859" t="s">
        <v>74</v>
      </c>
      <c r="P859" t="s">
        <v>74</v>
      </c>
      <c r="Q859" t="s">
        <v>74</v>
      </c>
      <c r="R859" t="s">
        <v>74</v>
      </c>
      <c r="S859" t="s">
        <v>74</v>
      </c>
      <c r="T859" t="s">
        <v>74</v>
      </c>
      <c r="U859" t="s">
        <v>16689</v>
      </c>
      <c r="V859" t="s">
        <v>16690</v>
      </c>
      <c r="W859" t="s">
        <v>16691</v>
      </c>
      <c r="X859" t="s">
        <v>16692</v>
      </c>
      <c r="Y859" t="s">
        <v>16693</v>
      </c>
      <c r="Z859" t="s">
        <v>16694</v>
      </c>
      <c r="AA859" t="s">
        <v>16695</v>
      </c>
      <c r="AB859" t="s">
        <v>16696</v>
      </c>
      <c r="AC859" t="s">
        <v>16697</v>
      </c>
      <c r="AD859" t="s">
        <v>16698</v>
      </c>
      <c r="AE859" t="s">
        <v>16699</v>
      </c>
      <c r="AF859" t="s">
        <v>74</v>
      </c>
      <c r="AG859">
        <v>36</v>
      </c>
      <c r="AH859">
        <v>16</v>
      </c>
      <c r="AI859">
        <v>17</v>
      </c>
      <c r="AJ859">
        <v>1</v>
      </c>
      <c r="AK859">
        <v>9</v>
      </c>
      <c r="AL859" t="s">
        <v>149</v>
      </c>
      <c r="AM859" t="s">
        <v>150</v>
      </c>
      <c r="AN859" t="s">
        <v>151</v>
      </c>
      <c r="AO859" t="s">
        <v>229</v>
      </c>
      <c r="AP859" t="s">
        <v>230</v>
      </c>
      <c r="AQ859" t="s">
        <v>74</v>
      </c>
      <c r="AR859" t="s">
        <v>217</v>
      </c>
      <c r="AS859" t="s">
        <v>231</v>
      </c>
      <c r="AT859" t="s">
        <v>16658</v>
      </c>
      <c r="AU859">
        <v>2017</v>
      </c>
      <c r="AV859">
        <v>11</v>
      </c>
      <c r="AW859">
        <v>6</v>
      </c>
      <c r="AX859" t="s">
        <v>74</v>
      </c>
      <c r="AY859" t="s">
        <v>74</v>
      </c>
      <c r="AZ859" t="s">
        <v>74</v>
      </c>
      <c r="BA859" t="s">
        <v>74</v>
      </c>
      <c r="BB859">
        <v>2481</v>
      </c>
      <c r="BC859">
        <v>2490</v>
      </c>
      <c r="BD859" t="s">
        <v>74</v>
      </c>
      <c r="BE859" t="s">
        <v>16700</v>
      </c>
      <c r="BF859" t="str">
        <f>HYPERLINK("http://dx.doi.org/10.5194/tc-11-2481-2017","http://dx.doi.org/10.5194/tc-11-2481-2017")</f>
        <v>http://dx.doi.org/10.5194/tc-11-2481-2017</v>
      </c>
      <c r="BG859" t="s">
        <v>74</v>
      </c>
      <c r="BH859" t="s">
        <v>74</v>
      </c>
      <c r="BI859">
        <v>10</v>
      </c>
      <c r="BJ859" t="s">
        <v>233</v>
      </c>
      <c r="BK859" t="s">
        <v>101</v>
      </c>
      <c r="BL859" t="s">
        <v>234</v>
      </c>
      <c r="BM859" t="s">
        <v>16676</v>
      </c>
      <c r="BN859" t="s">
        <v>74</v>
      </c>
      <c r="BO859" t="s">
        <v>1498</v>
      </c>
      <c r="BP859" t="s">
        <v>74</v>
      </c>
      <c r="BQ859" t="s">
        <v>74</v>
      </c>
      <c r="BR859" t="s">
        <v>105</v>
      </c>
      <c r="BS859" t="s">
        <v>16701</v>
      </c>
      <c r="BT859" t="str">
        <f>HYPERLINK("https%3A%2F%2Fwww.webofscience.com%2Fwos%2Fwoscc%2Ffull-record%2FWOS:000414425000003","View Full Record in Web of Science")</f>
        <v>View Full Record in Web of Science</v>
      </c>
    </row>
    <row r="860" spans="1:72" x14ac:dyDescent="0.15">
      <c r="A860" t="s">
        <v>72</v>
      </c>
      <c r="B860" t="s">
        <v>16702</v>
      </c>
      <c r="C860" t="s">
        <v>74</v>
      </c>
      <c r="D860" t="s">
        <v>74</v>
      </c>
      <c r="E860" t="s">
        <v>74</v>
      </c>
      <c r="F860" t="s">
        <v>16703</v>
      </c>
      <c r="G860" t="s">
        <v>74</v>
      </c>
      <c r="H860" t="s">
        <v>74</v>
      </c>
      <c r="I860" t="s">
        <v>16704</v>
      </c>
      <c r="J860" t="s">
        <v>16156</v>
      </c>
      <c r="K860" t="s">
        <v>74</v>
      </c>
      <c r="L860" t="s">
        <v>74</v>
      </c>
      <c r="M860" t="s">
        <v>78</v>
      </c>
      <c r="N860" t="s">
        <v>79</v>
      </c>
      <c r="O860" t="s">
        <v>74</v>
      </c>
      <c r="P860" t="s">
        <v>74</v>
      </c>
      <c r="Q860" t="s">
        <v>74</v>
      </c>
      <c r="R860" t="s">
        <v>74</v>
      </c>
      <c r="S860" t="s">
        <v>74</v>
      </c>
      <c r="T860" t="s">
        <v>16705</v>
      </c>
      <c r="U860" t="s">
        <v>16706</v>
      </c>
      <c r="V860" t="s">
        <v>16707</v>
      </c>
      <c r="W860" t="s">
        <v>16708</v>
      </c>
      <c r="X860" t="s">
        <v>16709</v>
      </c>
      <c r="Y860" t="s">
        <v>16710</v>
      </c>
      <c r="Z860" t="s">
        <v>16711</v>
      </c>
      <c r="AA860" t="s">
        <v>74</v>
      </c>
      <c r="AB860" t="s">
        <v>16712</v>
      </c>
      <c r="AC860" t="s">
        <v>16713</v>
      </c>
      <c r="AD860" t="s">
        <v>16714</v>
      </c>
      <c r="AE860" t="s">
        <v>16715</v>
      </c>
      <c r="AF860" t="s">
        <v>74</v>
      </c>
      <c r="AG860">
        <v>102</v>
      </c>
      <c r="AH860">
        <v>34</v>
      </c>
      <c r="AI860">
        <v>40</v>
      </c>
      <c r="AJ860">
        <v>1</v>
      </c>
      <c r="AK860">
        <v>53</v>
      </c>
      <c r="AL860" t="s">
        <v>485</v>
      </c>
      <c r="AM860" t="s">
        <v>486</v>
      </c>
      <c r="AN860" t="s">
        <v>604</v>
      </c>
      <c r="AO860" t="s">
        <v>74</v>
      </c>
      <c r="AP860" t="s">
        <v>16168</v>
      </c>
      <c r="AQ860" t="s">
        <v>74</v>
      </c>
      <c r="AR860" t="s">
        <v>16169</v>
      </c>
      <c r="AS860" t="s">
        <v>16170</v>
      </c>
      <c r="AT860" t="s">
        <v>16658</v>
      </c>
      <c r="AU860">
        <v>2017</v>
      </c>
      <c r="AV860">
        <v>8</v>
      </c>
      <c r="AW860" t="s">
        <v>74</v>
      </c>
      <c r="AX860" t="s">
        <v>74</v>
      </c>
      <c r="AY860" t="s">
        <v>74</v>
      </c>
      <c r="AZ860" t="s">
        <v>74</v>
      </c>
      <c r="BA860" t="s">
        <v>74</v>
      </c>
      <c r="BB860" t="s">
        <v>74</v>
      </c>
      <c r="BC860" t="s">
        <v>74</v>
      </c>
      <c r="BD860">
        <v>2117</v>
      </c>
      <c r="BE860" t="s">
        <v>16716</v>
      </c>
      <c r="BF860" t="str">
        <f>HYPERLINK("http://dx.doi.org/10.3389/fmicb.2017.02117","http://dx.doi.org/10.3389/fmicb.2017.02117")</f>
        <v>http://dx.doi.org/10.3389/fmicb.2017.02117</v>
      </c>
      <c r="BG860" t="s">
        <v>74</v>
      </c>
      <c r="BH860" t="s">
        <v>74</v>
      </c>
      <c r="BI860">
        <v>13</v>
      </c>
      <c r="BJ860" t="s">
        <v>3806</v>
      </c>
      <c r="BK860" t="s">
        <v>101</v>
      </c>
      <c r="BL860" t="s">
        <v>3806</v>
      </c>
      <c r="BM860" t="s">
        <v>16717</v>
      </c>
      <c r="BN860">
        <v>29163409</v>
      </c>
      <c r="BO860" t="s">
        <v>494</v>
      </c>
      <c r="BP860" t="s">
        <v>74</v>
      </c>
      <c r="BQ860" t="s">
        <v>74</v>
      </c>
      <c r="BR860" t="s">
        <v>105</v>
      </c>
      <c r="BS860" t="s">
        <v>16718</v>
      </c>
      <c r="BT860" t="str">
        <f>HYPERLINK("https%3A%2F%2Fwww.webofscience.com%2Fwos%2Fwoscc%2Ffull-record%2FWOS:000414301100001","View Full Record in Web of Science")</f>
        <v>View Full Record in Web of Science</v>
      </c>
    </row>
    <row r="861" spans="1:72" x14ac:dyDescent="0.15">
      <c r="A861" t="s">
        <v>72</v>
      </c>
      <c r="B861" t="s">
        <v>16719</v>
      </c>
      <c r="C861" t="s">
        <v>74</v>
      </c>
      <c r="D861" t="s">
        <v>74</v>
      </c>
      <c r="E861" t="s">
        <v>74</v>
      </c>
      <c r="F861" t="s">
        <v>16720</v>
      </c>
      <c r="G861" t="s">
        <v>74</v>
      </c>
      <c r="H861" t="s">
        <v>74</v>
      </c>
      <c r="I861" t="s">
        <v>16721</v>
      </c>
      <c r="J861" t="s">
        <v>635</v>
      </c>
      <c r="K861" t="s">
        <v>74</v>
      </c>
      <c r="L861" t="s">
        <v>74</v>
      </c>
      <c r="M861" t="s">
        <v>78</v>
      </c>
      <c r="N861" t="s">
        <v>79</v>
      </c>
      <c r="O861" t="s">
        <v>74</v>
      </c>
      <c r="P861" t="s">
        <v>74</v>
      </c>
      <c r="Q861" t="s">
        <v>74</v>
      </c>
      <c r="R861" t="s">
        <v>74</v>
      </c>
      <c r="S861" t="s">
        <v>74</v>
      </c>
      <c r="T861" t="s">
        <v>16722</v>
      </c>
      <c r="U861" t="s">
        <v>16723</v>
      </c>
      <c r="V861" t="s">
        <v>16724</v>
      </c>
      <c r="W861" t="s">
        <v>16725</v>
      </c>
      <c r="X861" t="s">
        <v>16726</v>
      </c>
      <c r="Y861" t="s">
        <v>16727</v>
      </c>
      <c r="Z861" t="s">
        <v>16728</v>
      </c>
      <c r="AA861" t="s">
        <v>74</v>
      </c>
      <c r="AB861" t="s">
        <v>74</v>
      </c>
      <c r="AC861" t="s">
        <v>16729</v>
      </c>
      <c r="AD861" t="s">
        <v>16729</v>
      </c>
      <c r="AE861" t="s">
        <v>16730</v>
      </c>
      <c r="AF861" t="s">
        <v>74</v>
      </c>
      <c r="AG861">
        <v>116</v>
      </c>
      <c r="AH861">
        <v>5</v>
      </c>
      <c r="AI861">
        <v>6</v>
      </c>
      <c r="AJ861">
        <v>0</v>
      </c>
      <c r="AK861">
        <v>5</v>
      </c>
      <c r="AL861" t="s">
        <v>648</v>
      </c>
      <c r="AM861" t="s">
        <v>649</v>
      </c>
      <c r="AN861" t="s">
        <v>650</v>
      </c>
      <c r="AO861" t="s">
        <v>651</v>
      </c>
      <c r="AP861" t="s">
        <v>652</v>
      </c>
      <c r="AQ861" t="s">
        <v>74</v>
      </c>
      <c r="AR861" t="s">
        <v>635</v>
      </c>
      <c r="AS861" t="s">
        <v>653</v>
      </c>
      <c r="AT861" t="s">
        <v>16658</v>
      </c>
      <c r="AU861">
        <v>2017</v>
      </c>
      <c r="AV861">
        <v>4343</v>
      </c>
      <c r="AW861">
        <v>1</v>
      </c>
      <c r="AX861" t="s">
        <v>74</v>
      </c>
      <c r="AY861" t="s">
        <v>74</v>
      </c>
      <c r="AZ861" t="s">
        <v>74</v>
      </c>
      <c r="BA861" t="s">
        <v>74</v>
      </c>
      <c r="BB861">
        <v>1</v>
      </c>
      <c r="BC861">
        <v>98</v>
      </c>
      <c r="BD861" t="s">
        <v>74</v>
      </c>
      <c r="BE861" t="s">
        <v>16731</v>
      </c>
      <c r="BF861" t="str">
        <f>HYPERLINK("http://dx.doi.org/10.11646/zootaxa.4343.1.1","http://dx.doi.org/10.11646/zootaxa.4343.1.1")</f>
        <v>http://dx.doi.org/10.11646/zootaxa.4343.1.1</v>
      </c>
      <c r="BG861" t="s">
        <v>74</v>
      </c>
      <c r="BH861" t="s">
        <v>74</v>
      </c>
      <c r="BI861">
        <v>98</v>
      </c>
      <c r="BJ861" t="s">
        <v>655</v>
      </c>
      <c r="BK861" t="s">
        <v>101</v>
      </c>
      <c r="BL861" t="s">
        <v>655</v>
      </c>
      <c r="BM861" t="s">
        <v>16732</v>
      </c>
      <c r="BN861">
        <v>29245657</v>
      </c>
      <c r="BO861" t="s">
        <v>74</v>
      </c>
      <c r="BP861" t="s">
        <v>74</v>
      </c>
      <c r="BQ861" t="s">
        <v>74</v>
      </c>
      <c r="BR861" t="s">
        <v>105</v>
      </c>
      <c r="BS861" t="s">
        <v>16733</v>
      </c>
      <c r="BT861" t="str">
        <f>HYPERLINK("https%3A%2F%2Fwww.webofscience.com%2Fwos%2Fwoscc%2Ffull-record%2FWOS:000414245100001","View Full Record in Web of Science")</f>
        <v>View Full Record in Web of Science</v>
      </c>
    </row>
    <row r="862" spans="1:72" x14ac:dyDescent="0.15">
      <c r="A862" t="s">
        <v>72</v>
      </c>
      <c r="B862" t="s">
        <v>16734</v>
      </c>
      <c r="C862" t="s">
        <v>74</v>
      </c>
      <c r="D862" t="s">
        <v>74</v>
      </c>
      <c r="E862" t="s">
        <v>74</v>
      </c>
      <c r="F862" t="s">
        <v>16735</v>
      </c>
      <c r="G862" t="s">
        <v>74</v>
      </c>
      <c r="H862" t="s">
        <v>74</v>
      </c>
      <c r="I862" t="s">
        <v>16736</v>
      </c>
      <c r="J862" t="s">
        <v>16737</v>
      </c>
      <c r="K862" t="s">
        <v>74</v>
      </c>
      <c r="L862" t="s">
        <v>74</v>
      </c>
      <c r="M862" t="s">
        <v>78</v>
      </c>
      <c r="N862" t="s">
        <v>79</v>
      </c>
      <c r="O862" t="s">
        <v>74</v>
      </c>
      <c r="P862" t="s">
        <v>74</v>
      </c>
      <c r="Q862" t="s">
        <v>74</v>
      </c>
      <c r="R862" t="s">
        <v>74</v>
      </c>
      <c r="S862" t="s">
        <v>74</v>
      </c>
      <c r="T862" t="s">
        <v>16738</v>
      </c>
      <c r="U862" t="s">
        <v>16739</v>
      </c>
      <c r="V862" t="s">
        <v>16740</v>
      </c>
      <c r="W862" t="s">
        <v>16741</v>
      </c>
      <c r="X862" t="s">
        <v>16742</v>
      </c>
      <c r="Y862" t="s">
        <v>16743</v>
      </c>
      <c r="Z862" t="s">
        <v>16744</v>
      </c>
      <c r="AA862" t="s">
        <v>16745</v>
      </c>
      <c r="AB862" t="s">
        <v>16746</v>
      </c>
      <c r="AC862" t="s">
        <v>16747</v>
      </c>
      <c r="AD862" t="s">
        <v>16748</v>
      </c>
      <c r="AE862" t="s">
        <v>16749</v>
      </c>
      <c r="AF862" t="s">
        <v>74</v>
      </c>
      <c r="AG862">
        <v>42</v>
      </c>
      <c r="AH862">
        <v>18</v>
      </c>
      <c r="AI862">
        <v>18</v>
      </c>
      <c r="AJ862">
        <v>2</v>
      </c>
      <c r="AK862">
        <v>33</v>
      </c>
      <c r="AL862" t="s">
        <v>3906</v>
      </c>
      <c r="AM862" t="s">
        <v>3907</v>
      </c>
      <c r="AN862" t="s">
        <v>3908</v>
      </c>
      <c r="AO862" t="s">
        <v>16750</v>
      </c>
      <c r="AP862" t="s">
        <v>16751</v>
      </c>
      <c r="AQ862" t="s">
        <v>74</v>
      </c>
      <c r="AR862" t="s">
        <v>16752</v>
      </c>
      <c r="AS862" t="s">
        <v>16753</v>
      </c>
      <c r="AT862" t="s">
        <v>16754</v>
      </c>
      <c r="AU862">
        <v>2017</v>
      </c>
      <c r="AV862">
        <v>22</v>
      </c>
      <c r="AW862">
        <v>1</v>
      </c>
      <c r="AX862" t="s">
        <v>74</v>
      </c>
      <c r="AY862" t="s">
        <v>74</v>
      </c>
      <c r="AZ862" t="s">
        <v>74</v>
      </c>
      <c r="BA862" t="s">
        <v>74</v>
      </c>
      <c r="BB862" t="s">
        <v>74</v>
      </c>
      <c r="BC862" t="s">
        <v>74</v>
      </c>
      <c r="BD862">
        <v>2</v>
      </c>
      <c r="BE862" t="s">
        <v>16755</v>
      </c>
      <c r="BF862" t="str">
        <f>HYPERLINK("http://dx.doi.org/10.1007/s10291-017-0671-0","http://dx.doi.org/10.1007/s10291-017-0671-0")</f>
        <v>http://dx.doi.org/10.1007/s10291-017-0671-0</v>
      </c>
      <c r="BG862" t="s">
        <v>74</v>
      </c>
      <c r="BH862" t="s">
        <v>74</v>
      </c>
      <c r="BI862">
        <v>14</v>
      </c>
      <c r="BJ862" t="s">
        <v>12689</v>
      </c>
      <c r="BK862" t="s">
        <v>101</v>
      </c>
      <c r="BL862" t="s">
        <v>12689</v>
      </c>
      <c r="BM862" t="s">
        <v>16756</v>
      </c>
      <c r="BN862" t="s">
        <v>74</v>
      </c>
      <c r="BO862" t="s">
        <v>74</v>
      </c>
      <c r="BP862" t="s">
        <v>74</v>
      </c>
      <c r="BQ862" t="s">
        <v>74</v>
      </c>
      <c r="BR862" t="s">
        <v>105</v>
      </c>
      <c r="BS862" t="s">
        <v>16757</v>
      </c>
      <c r="BT862" t="str">
        <f>HYPERLINK("https%3A%2F%2Fwww.webofscience.com%2Fwos%2Fwoscc%2Ffull-record%2FWOS:000414458400001","View Full Record in Web of Science")</f>
        <v>View Full Record in Web of Science</v>
      </c>
    </row>
    <row r="863" spans="1:72" x14ac:dyDescent="0.15">
      <c r="A863" t="s">
        <v>72</v>
      </c>
      <c r="B863" t="s">
        <v>16758</v>
      </c>
      <c r="C863" t="s">
        <v>74</v>
      </c>
      <c r="D863" t="s">
        <v>74</v>
      </c>
      <c r="E863" t="s">
        <v>74</v>
      </c>
      <c r="F863" t="s">
        <v>16759</v>
      </c>
      <c r="G863" t="s">
        <v>74</v>
      </c>
      <c r="H863" t="s">
        <v>74</v>
      </c>
      <c r="I863" t="s">
        <v>16760</v>
      </c>
      <c r="J863" t="s">
        <v>217</v>
      </c>
      <c r="K863" t="s">
        <v>74</v>
      </c>
      <c r="L863" t="s">
        <v>74</v>
      </c>
      <c r="M863" t="s">
        <v>78</v>
      </c>
      <c r="N863" t="s">
        <v>79</v>
      </c>
      <c r="O863" t="s">
        <v>74</v>
      </c>
      <c r="P863" t="s">
        <v>74</v>
      </c>
      <c r="Q863" t="s">
        <v>74</v>
      </c>
      <c r="R863" t="s">
        <v>74</v>
      </c>
      <c r="S863" t="s">
        <v>74</v>
      </c>
      <c r="T863" t="s">
        <v>74</v>
      </c>
      <c r="U863" t="s">
        <v>16761</v>
      </c>
      <c r="V863" t="s">
        <v>16762</v>
      </c>
      <c r="W863" t="s">
        <v>16763</v>
      </c>
      <c r="X863" t="s">
        <v>16764</v>
      </c>
      <c r="Y863" t="s">
        <v>16765</v>
      </c>
      <c r="Z863" t="s">
        <v>16766</v>
      </c>
      <c r="AA863" t="s">
        <v>16767</v>
      </c>
      <c r="AB863" t="s">
        <v>16768</v>
      </c>
      <c r="AC863" t="s">
        <v>16769</v>
      </c>
      <c r="AD863" t="s">
        <v>16770</v>
      </c>
      <c r="AE863" t="s">
        <v>16771</v>
      </c>
      <c r="AF863" t="s">
        <v>74</v>
      </c>
      <c r="AG863">
        <v>56</v>
      </c>
      <c r="AH863">
        <v>34</v>
      </c>
      <c r="AI863">
        <v>35</v>
      </c>
      <c r="AJ863">
        <v>2</v>
      </c>
      <c r="AK863">
        <v>30</v>
      </c>
      <c r="AL863" t="s">
        <v>149</v>
      </c>
      <c r="AM863" t="s">
        <v>150</v>
      </c>
      <c r="AN863" t="s">
        <v>151</v>
      </c>
      <c r="AO863" t="s">
        <v>229</v>
      </c>
      <c r="AP863" t="s">
        <v>230</v>
      </c>
      <c r="AQ863" t="s">
        <v>74</v>
      </c>
      <c r="AR863" t="s">
        <v>217</v>
      </c>
      <c r="AS863" t="s">
        <v>231</v>
      </c>
      <c r="AT863" t="s">
        <v>16754</v>
      </c>
      <c r="AU863">
        <v>2017</v>
      </c>
      <c r="AV863">
        <v>11</v>
      </c>
      <c r="AW863">
        <v>6</v>
      </c>
      <c r="AX863" t="s">
        <v>74</v>
      </c>
      <c r="AY863" t="s">
        <v>74</v>
      </c>
      <c r="AZ863" t="s">
        <v>74</v>
      </c>
      <c r="BA863" t="s">
        <v>74</v>
      </c>
      <c r="BB863">
        <v>2427</v>
      </c>
      <c r="BC863">
        <v>2437</v>
      </c>
      <c r="BD863" t="s">
        <v>74</v>
      </c>
      <c r="BE863" t="s">
        <v>16772</v>
      </c>
      <c r="BF863" t="str">
        <f>HYPERLINK("http://dx.doi.org/10.5194/tc-11-2427-2017","http://dx.doi.org/10.5194/tc-11-2427-2017")</f>
        <v>http://dx.doi.org/10.5194/tc-11-2427-2017</v>
      </c>
      <c r="BG863" t="s">
        <v>74</v>
      </c>
      <c r="BH863" t="s">
        <v>74</v>
      </c>
      <c r="BI863">
        <v>11</v>
      </c>
      <c r="BJ863" t="s">
        <v>233</v>
      </c>
      <c r="BK863" t="s">
        <v>101</v>
      </c>
      <c r="BL863" t="s">
        <v>234</v>
      </c>
      <c r="BM863" t="s">
        <v>16773</v>
      </c>
      <c r="BN863" t="s">
        <v>74</v>
      </c>
      <c r="BO863" t="s">
        <v>11819</v>
      </c>
      <c r="BP863" t="s">
        <v>74</v>
      </c>
      <c r="BQ863" t="s">
        <v>74</v>
      </c>
      <c r="BR863" t="s">
        <v>105</v>
      </c>
      <c r="BS863" t="s">
        <v>16774</v>
      </c>
      <c r="BT863" t="str">
        <f>HYPERLINK("https%3A%2F%2Fwww.webofscience.com%2Fwos%2Fwoscc%2Ffull-record%2FWOS:000414297400001","View Full Record in Web of Science")</f>
        <v>View Full Record in Web of Science</v>
      </c>
    </row>
    <row r="864" spans="1:72" x14ac:dyDescent="0.15">
      <c r="A864" t="s">
        <v>72</v>
      </c>
      <c r="B864" t="s">
        <v>16775</v>
      </c>
      <c r="C864" t="s">
        <v>74</v>
      </c>
      <c r="D864" t="s">
        <v>74</v>
      </c>
      <c r="E864" t="s">
        <v>74</v>
      </c>
      <c r="F864" t="s">
        <v>16776</v>
      </c>
      <c r="G864" t="s">
        <v>74</v>
      </c>
      <c r="H864" t="s">
        <v>74</v>
      </c>
      <c r="I864" t="s">
        <v>16777</v>
      </c>
      <c r="J864" t="s">
        <v>7370</v>
      </c>
      <c r="K864" t="s">
        <v>74</v>
      </c>
      <c r="L864" t="s">
        <v>74</v>
      </c>
      <c r="M864" t="s">
        <v>78</v>
      </c>
      <c r="N864" t="s">
        <v>5865</v>
      </c>
      <c r="O864" t="s">
        <v>74</v>
      </c>
      <c r="P864" t="s">
        <v>74</v>
      </c>
      <c r="Q864" t="s">
        <v>74</v>
      </c>
      <c r="R864" t="s">
        <v>74</v>
      </c>
      <c r="S864" t="s">
        <v>74</v>
      </c>
      <c r="T864" t="s">
        <v>74</v>
      </c>
      <c r="U864" t="s">
        <v>74</v>
      </c>
      <c r="V864" t="s">
        <v>74</v>
      </c>
      <c r="W864" t="s">
        <v>16778</v>
      </c>
      <c r="X864" t="s">
        <v>16779</v>
      </c>
      <c r="Y864" t="s">
        <v>16780</v>
      </c>
      <c r="Z864" t="s">
        <v>16781</v>
      </c>
      <c r="AA864" t="s">
        <v>16782</v>
      </c>
      <c r="AB864" t="s">
        <v>16783</v>
      </c>
      <c r="AC864" t="s">
        <v>74</v>
      </c>
      <c r="AD864" t="s">
        <v>74</v>
      </c>
      <c r="AE864" t="s">
        <v>74</v>
      </c>
      <c r="AF864" t="s">
        <v>74</v>
      </c>
      <c r="AG864">
        <v>2</v>
      </c>
      <c r="AH864">
        <v>0</v>
      </c>
      <c r="AI864">
        <v>0</v>
      </c>
      <c r="AJ864">
        <v>0</v>
      </c>
      <c r="AK864">
        <v>8</v>
      </c>
      <c r="AL864" t="s">
        <v>3149</v>
      </c>
      <c r="AM864" t="s">
        <v>1797</v>
      </c>
      <c r="AN864" t="s">
        <v>3150</v>
      </c>
      <c r="AO864" t="s">
        <v>7375</v>
      </c>
      <c r="AP864" t="s">
        <v>7376</v>
      </c>
      <c r="AQ864" t="s">
        <v>74</v>
      </c>
      <c r="AR864" t="s">
        <v>7377</v>
      </c>
      <c r="AS864" t="s">
        <v>7378</v>
      </c>
      <c r="AT864" t="s">
        <v>16784</v>
      </c>
      <c r="AU864">
        <v>2017</v>
      </c>
      <c r="AV864">
        <v>53</v>
      </c>
      <c r="AW864">
        <v>6</v>
      </c>
      <c r="AX864" t="s">
        <v>74</v>
      </c>
      <c r="AY864" t="s">
        <v>74</v>
      </c>
      <c r="AZ864" t="s">
        <v>74</v>
      </c>
      <c r="BA864" t="s">
        <v>74</v>
      </c>
      <c r="BB864">
        <v>635</v>
      </c>
      <c r="BC864">
        <v>636</v>
      </c>
      <c r="BD864" t="s">
        <v>74</v>
      </c>
      <c r="BE864" t="s">
        <v>16785</v>
      </c>
      <c r="BF864" t="str">
        <f>HYPERLINK("http://dx.doi.org/10.1017/S0032247417000420","http://dx.doi.org/10.1017/S0032247417000420")</f>
        <v>http://dx.doi.org/10.1017/S0032247417000420</v>
      </c>
      <c r="BG864" t="s">
        <v>74</v>
      </c>
      <c r="BH864" t="s">
        <v>74</v>
      </c>
      <c r="BI864">
        <v>2</v>
      </c>
      <c r="BJ864" t="s">
        <v>7380</v>
      </c>
      <c r="BK864" t="s">
        <v>101</v>
      </c>
      <c r="BL864" t="s">
        <v>1120</v>
      </c>
      <c r="BM864" t="s">
        <v>16786</v>
      </c>
      <c r="BN864" t="s">
        <v>74</v>
      </c>
      <c r="BO864" t="s">
        <v>306</v>
      </c>
      <c r="BP864" t="s">
        <v>74</v>
      </c>
      <c r="BQ864" t="s">
        <v>74</v>
      </c>
      <c r="BR864" t="s">
        <v>105</v>
      </c>
      <c r="BS864" t="s">
        <v>16787</v>
      </c>
      <c r="BT864" t="str">
        <f>HYPERLINK("https%3A%2F%2Fwww.webofscience.com%2Fwos%2Fwoscc%2Ffull-record%2FWOS:000426078800009","View Full Record in Web of Science")</f>
        <v>View Full Record in Web of Science</v>
      </c>
    </row>
    <row r="865" spans="1:72" x14ac:dyDescent="0.15">
      <c r="A865" t="s">
        <v>72</v>
      </c>
      <c r="B865" t="s">
        <v>16788</v>
      </c>
      <c r="C865" t="s">
        <v>74</v>
      </c>
      <c r="D865" t="s">
        <v>74</v>
      </c>
      <c r="E865" t="s">
        <v>74</v>
      </c>
      <c r="F865" t="s">
        <v>16789</v>
      </c>
      <c r="G865" t="s">
        <v>74</v>
      </c>
      <c r="H865" t="s">
        <v>74</v>
      </c>
      <c r="I865" t="s">
        <v>16790</v>
      </c>
      <c r="J865" t="s">
        <v>16791</v>
      </c>
      <c r="K865" t="s">
        <v>74</v>
      </c>
      <c r="L865" t="s">
        <v>74</v>
      </c>
      <c r="M865" t="s">
        <v>78</v>
      </c>
      <c r="N865" t="s">
        <v>79</v>
      </c>
      <c r="O865" t="s">
        <v>74</v>
      </c>
      <c r="P865" t="s">
        <v>74</v>
      </c>
      <c r="Q865" t="s">
        <v>74</v>
      </c>
      <c r="R865" t="s">
        <v>74</v>
      </c>
      <c r="S865" t="s">
        <v>74</v>
      </c>
      <c r="T865" t="s">
        <v>16792</v>
      </c>
      <c r="U865" t="s">
        <v>16793</v>
      </c>
      <c r="V865" t="s">
        <v>16794</v>
      </c>
      <c r="W865" t="s">
        <v>16795</v>
      </c>
      <c r="X865" t="s">
        <v>16796</v>
      </c>
      <c r="Y865" t="s">
        <v>16797</v>
      </c>
      <c r="Z865" t="s">
        <v>16798</v>
      </c>
      <c r="AA865" t="s">
        <v>16799</v>
      </c>
      <c r="AB865" t="s">
        <v>16800</v>
      </c>
      <c r="AC865" t="s">
        <v>16801</v>
      </c>
      <c r="AD865" t="s">
        <v>16802</v>
      </c>
      <c r="AE865" t="s">
        <v>16803</v>
      </c>
      <c r="AF865" t="s">
        <v>74</v>
      </c>
      <c r="AG865">
        <v>42</v>
      </c>
      <c r="AH865">
        <v>42</v>
      </c>
      <c r="AI865">
        <v>44</v>
      </c>
      <c r="AJ865">
        <v>6</v>
      </c>
      <c r="AK865">
        <v>20</v>
      </c>
      <c r="AL865" t="s">
        <v>10110</v>
      </c>
      <c r="AM865" t="s">
        <v>779</v>
      </c>
      <c r="AN865" t="s">
        <v>780</v>
      </c>
      <c r="AO865" t="s">
        <v>16804</v>
      </c>
      <c r="AP865" t="s">
        <v>74</v>
      </c>
      <c r="AQ865" t="s">
        <v>74</v>
      </c>
      <c r="AR865" t="s">
        <v>16805</v>
      </c>
      <c r="AS865" t="s">
        <v>16806</v>
      </c>
      <c r="AT865" t="s">
        <v>16784</v>
      </c>
      <c r="AU865">
        <v>2017</v>
      </c>
      <c r="AV865">
        <v>12</v>
      </c>
      <c r="AW865">
        <v>11</v>
      </c>
      <c r="AX865" t="s">
        <v>74</v>
      </c>
      <c r="AY865" t="s">
        <v>74</v>
      </c>
      <c r="AZ865" t="s">
        <v>74</v>
      </c>
      <c r="BA865" t="s">
        <v>74</v>
      </c>
      <c r="BB865" t="s">
        <v>74</v>
      </c>
      <c r="BC865" t="s">
        <v>74</v>
      </c>
      <c r="BD865">
        <v>114002</v>
      </c>
      <c r="BE865" t="s">
        <v>16807</v>
      </c>
      <c r="BF865" t="str">
        <f>HYPERLINK("http://dx.doi.org/10.1088/1748-9326/aa92b6","http://dx.doi.org/10.1088/1748-9326/aa92b6")</f>
        <v>http://dx.doi.org/10.1088/1748-9326/aa92b6</v>
      </c>
      <c r="BG865" t="s">
        <v>74</v>
      </c>
      <c r="BH865" t="s">
        <v>74</v>
      </c>
      <c r="BI865">
        <v>10</v>
      </c>
      <c r="BJ865" t="s">
        <v>183</v>
      </c>
      <c r="BK865" t="s">
        <v>2471</v>
      </c>
      <c r="BL865" t="s">
        <v>184</v>
      </c>
      <c r="BM865" t="s">
        <v>16808</v>
      </c>
      <c r="BN865" t="s">
        <v>74</v>
      </c>
      <c r="BO865" t="s">
        <v>896</v>
      </c>
      <c r="BP865" t="s">
        <v>74</v>
      </c>
      <c r="BQ865" t="s">
        <v>74</v>
      </c>
      <c r="BR865" t="s">
        <v>105</v>
      </c>
      <c r="BS865" t="s">
        <v>16809</v>
      </c>
      <c r="BT865" t="str">
        <f>HYPERLINK("https%3A%2F%2Fwww.webofscience.com%2Fwos%2Fwoscc%2Ffull-record%2FWOS:000424392400002","View Full Record in Web of Science")</f>
        <v>View Full Record in Web of Science</v>
      </c>
    </row>
    <row r="866" spans="1:72" x14ac:dyDescent="0.15">
      <c r="A866" t="s">
        <v>72</v>
      </c>
      <c r="B866" t="s">
        <v>16810</v>
      </c>
      <c r="C866" t="s">
        <v>74</v>
      </c>
      <c r="D866" t="s">
        <v>74</v>
      </c>
      <c r="E866" t="s">
        <v>74</v>
      </c>
      <c r="F866" t="s">
        <v>16811</v>
      </c>
      <c r="G866" t="s">
        <v>74</v>
      </c>
      <c r="H866" t="s">
        <v>74</v>
      </c>
      <c r="I866" t="s">
        <v>16812</v>
      </c>
      <c r="J866" t="s">
        <v>16813</v>
      </c>
      <c r="K866" t="s">
        <v>74</v>
      </c>
      <c r="L866" t="s">
        <v>74</v>
      </c>
      <c r="M866" t="s">
        <v>78</v>
      </c>
      <c r="N866" t="s">
        <v>79</v>
      </c>
      <c r="O866" t="s">
        <v>74</v>
      </c>
      <c r="P866" t="s">
        <v>74</v>
      </c>
      <c r="Q866" t="s">
        <v>74</v>
      </c>
      <c r="R866" t="s">
        <v>74</v>
      </c>
      <c r="S866" t="s">
        <v>74</v>
      </c>
      <c r="T866" t="s">
        <v>16814</v>
      </c>
      <c r="U866" t="s">
        <v>16815</v>
      </c>
      <c r="V866" t="s">
        <v>16816</v>
      </c>
      <c r="W866" t="s">
        <v>16817</v>
      </c>
      <c r="X866" t="s">
        <v>16818</v>
      </c>
      <c r="Y866" t="s">
        <v>16819</v>
      </c>
      <c r="Z866" t="s">
        <v>16820</v>
      </c>
      <c r="AA866" t="s">
        <v>16821</v>
      </c>
      <c r="AB866" t="s">
        <v>16822</v>
      </c>
      <c r="AC866" t="s">
        <v>74</v>
      </c>
      <c r="AD866" t="s">
        <v>74</v>
      </c>
      <c r="AE866" t="s">
        <v>74</v>
      </c>
      <c r="AF866" t="s">
        <v>74</v>
      </c>
      <c r="AG866">
        <v>16</v>
      </c>
      <c r="AH866">
        <v>1</v>
      </c>
      <c r="AI866">
        <v>1</v>
      </c>
      <c r="AJ866">
        <v>0</v>
      </c>
      <c r="AK866">
        <v>9</v>
      </c>
      <c r="AL866" t="s">
        <v>16823</v>
      </c>
      <c r="AM866" t="s">
        <v>16824</v>
      </c>
      <c r="AN866" t="s">
        <v>16825</v>
      </c>
      <c r="AO866" t="s">
        <v>16826</v>
      </c>
      <c r="AP866" t="s">
        <v>74</v>
      </c>
      <c r="AQ866" t="s">
        <v>74</v>
      </c>
      <c r="AR866" t="s">
        <v>16827</v>
      </c>
      <c r="AS866" t="s">
        <v>16828</v>
      </c>
      <c r="AT866" t="s">
        <v>16784</v>
      </c>
      <c r="AU866">
        <v>2017</v>
      </c>
      <c r="AV866">
        <v>286</v>
      </c>
      <c r="AW866">
        <v>2</v>
      </c>
      <c r="AX866" t="s">
        <v>74</v>
      </c>
      <c r="AY866" t="s">
        <v>74</v>
      </c>
      <c r="AZ866" t="s">
        <v>74</v>
      </c>
      <c r="BA866" t="s">
        <v>74</v>
      </c>
      <c r="BB866">
        <v>229</v>
      </c>
      <c r="BC866">
        <v>233</v>
      </c>
      <c r="BD866" t="s">
        <v>74</v>
      </c>
      <c r="BE866" t="s">
        <v>16829</v>
      </c>
      <c r="BF866" t="str">
        <f>HYPERLINK("http://dx.doi.org/10.1127/njgpa/2017/0698","http://dx.doi.org/10.1127/njgpa/2017/0698")</f>
        <v>http://dx.doi.org/10.1127/njgpa/2017/0698</v>
      </c>
      <c r="BG866" t="s">
        <v>74</v>
      </c>
      <c r="BH866" t="s">
        <v>74</v>
      </c>
      <c r="BI866">
        <v>5</v>
      </c>
      <c r="BJ866" t="s">
        <v>1496</v>
      </c>
      <c r="BK866" t="s">
        <v>101</v>
      </c>
      <c r="BL866" t="s">
        <v>1496</v>
      </c>
      <c r="BM866" t="s">
        <v>16830</v>
      </c>
      <c r="BN866" t="s">
        <v>74</v>
      </c>
      <c r="BO866" t="s">
        <v>5571</v>
      </c>
      <c r="BP866" t="s">
        <v>74</v>
      </c>
      <c r="BQ866" t="s">
        <v>74</v>
      </c>
      <c r="BR866" t="s">
        <v>105</v>
      </c>
      <c r="BS866" t="s">
        <v>16831</v>
      </c>
      <c r="BT866" t="str">
        <f>HYPERLINK("https%3A%2F%2Fwww.webofscience.com%2Fwos%2Fwoscc%2Ffull-record%2FWOS:000423279200008","View Full Record in Web of Science")</f>
        <v>View Full Record in Web of Science</v>
      </c>
    </row>
    <row r="867" spans="1:72" x14ac:dyDescent="0.15">
      <c r="A867" t="s">
        <v>72</v>
      </c>
      <c r="B867" t="s">
        <v>16832</v>
      </c>
      <c r="C867" t="s">
        <v>74</v>
      </c>
      <c r="D867" t="s">
        <v>74</v>
      </c>
      <c r="E867" t="s">
        <v>74</v>
      </c>
      <c r="F867" t="s">
        <v>16833</v>
      </c>
      <c r="G867" t="s">
        <v>74</v>
      </c>
      <c r="H867" t="s">
        <v>74</v>
      </c>
      <c r="I867" t="s">
        <v>16834</v>
      </c>
      <c r="J867" t="s">
        <v>16835</v>
      </c>
      <c r="K867" t="s">
        <v>74</v>
      </c>
      <c r="L867" t="s">
        <v>74</v>
      </c>
      <c r="M867" t="s">
        <v>78</v>
      </c>
      <c r="N867" t="s">
        <v>79</v>
      </c>
      <c r="O867" t="s">
        <v>74</v>
      </c>
      <c r="P867" t="s">
        <v>74</v>
      </c>
      <c r="Q867" t="s">
        <v>74</v>
      </c>
      <c r="R867" t="s">
        <v>74</v>
      </c>
      <c r="S867" t="s">
        <v>74</v>
      </c>
      <c r="T867" t="s">
        <v>16836</v>
      </c>
      <c r="U867" t="s">
        <v>16837</v>
      </c>
      <c r="V867" t="s">
        <v>16838</v>
      </c>
      <c r="W867" t="s">
        <v>16839</v>
      </c>
      <c r="X867" t="s">
        <v>16840</v>
      </c>
      <c r="Y867" t="s">
        <v>16841</v>
      </c>
      <c r="Z867" t="s">
        <v>74</v>
      </c>
      <c r="AA867" t="s">
        <v>74</v>
      </c>
      <c r="AB867" t="s">
        <v>74</v>
      </c>
      <c r="AC867" t="s">
        <v>16842</v>
      </c>
      <c r="AD867" t="s">
        <v>16842</v>
      </c>
      <c r="AE867" t="s">
        <v>16843</v>
      </c>
      <c r="AF867" t="s">
        <v>74</v>
      </c>
      <c r="AG867">
        <v>26</v>
      </c>
      <c r="AH867">
        <v>0</v>
      </c>
      <c r="AI867">
        <v>0</v>
      </c>
      <c r="AJ867">
        <v>0</v>
      </c>
      <c r="AK867">
        <v>5</v>
      </c>
      <c r="AL867" t="s">
        <v>16844</v>
      </c>
      <c r="AM867" t="s">
        <v>16845</v>
      </c>
      <c r="AN867" t="s">
        <v>16846</v>
      </c>
      <c r="AO867" t="s">
        <v>16847</v>
      </c>
      <c r="AP867" t="s">
        <v>74</v>
      </c>
      <c r="AQ867" t="s">
        <v>74</v>
      </c>
      <c r="AR867" t="s">
        <v>16848</v>
      </c>
      <c r="AS867" t="s">
        <v>16849</v>
      </c>
      <c r="AT867" t="s">
        <v>16784</v>
      </c>
      <c r="AU867">
        <v>2017</v>
      </c>
      <c r="AV867">
        <v>9</v>
      </c>
      <c r="AW867">
        <v>2</v>
      </c>
      <c r="AX867" t="s">
        <v>74</v>
      </c>
      <c r="AY867" t="s">
        <v>74</v>
      </c>
      <c r="AZ867" t="s">
        <v>74</v>
      </c>
      <c r="BA867" t="s">
        <v>74</v>
      </c>
      <c r="BB867">
        <v>418</v>
      </c>
      <c r="BC867">
        <v>432</v>
      </c>
      <c r="BD867" t="s">
        <v>74</v>
      </c>
      <c r="BE867" t="s">
        <v>16850</v>
      </c>
      <c r="BF867" t="str">
        <f>HYPERLINK("http://dx.doi.org/10.1215/22011919-4215370","http://dx.doi.org/10.1215/22011919-4215370")</f>
        <v>http://dx.doi.org/10.1215/22011919-4215370</v>
      </c>
      <c r="BG867" t="s">
        <v>74</v>
      </c>
      <c r="BH867" t="s">
        <v>74</v>
      </c>
      <c r="BI867">
        <v>15</v>
      </c>
      <c r="BJ867" t="s">
        <v>5027</v>
      </c>
      <c r="BK867" t="s">
        <v>2081</v>
      </c>
      <c r="BL867" t="s">
        <v>5028</v>
      </c>
      <c r="BM867" t="s">
        <v>16851</v>
      </c>
      <c r="BN867" t="s">
        <v>74</v>
      </c>
      <c r="BO867" t="s">
        <v>920</v>
      </c>
      <c r="BP867" t="s">
        <v>74</v>
      </c>
      <c r="BQ867" t="s">
        <v>74</v>
      </c>
      <c r="BR867" t="s">
        <v>105</v>
      </c>
      <c r="BS867" t="s">
        <v>16852</v>
      </c>
      <c r="BT867" t="str">
        <f>HYPERLINK("https%3A%2F%2Fwww.webofscience.com%2Fwos%2Fwoscc%2Ffull-record%2FWOS:000422749800013","View Full Record in Web of Science")</f>
        <v>View Full Record in Web of Science</v>
      </c>
    </row>
    <row r="868" spans="1:72" x14ac:dyDescent="0.15">
      <c r="A868" t="s">
        <v>72</v>
      </c>
      <c r="B868" t="s">
        <v>16853</v>
      </c>
      <c r="C868" t="s">
        <v>74</v>
      </c>
      <c r="D868" t="s">
        <v>74</v>
      </c>
      <c r="E868" t="s">
        <v>74</v>
      </c>
      <c r="F868" t="s">
        <v>16854</v>
      </c>
      <c r="G868" t="s">
        <v>74</v>
      </c>
      <c r="H868" t="s">
        <v>74</v>
      </c>
      <c r="I868" t="s">
        <v>16855</v>
      </c>
      <c r="J868" t="s">
        <v>8513</v>
      </c>
      <c r="K868" t="s">
        <v>74</v>
      </c>
      <c r="L868" t="s">
        <v>74</v>
      </c>
      <c r="M868" t="s">
        <v>78</v>
      </c>
      <c r="N868" t="s">
        <v>79</v>
      </c>
      <c r="O868" t="s">
        <v>74</v>
      </c>
      <c r="P868" t="s">
        <v>74</v>
      </c>
      <c r="Q868" t="s">
        <v>74</v>
      </c>
      <c r="R868" t="s">
        <v>74</v>
      </c>
      <c r="S868" t="s">
        <v>74</v>
      </c>
      <c r="T868" t="s">
        <v>74</v>
      </c>
      <c r="U868" t="s">
        <v>16856</v>
      </c>
      <c r="V868" t="s">
        <v>16857</v>
      </c>
      <c r="W868" t="s">
        <v>16858</v>
      </c>
      <c r="X868" t="s">
        <v>16859</v>
      </c>
      <c r="Y868" t="s">
        <v>16860</v>
      </c>
      <c r="Z868" t="s">
        <v>16861</v>
      </c>
      <c r="AA868" t="s">
        <v>74</v>
      </c>
      <c r="AB868" t="s">
        <v>16862</v>
      </c>
      <c r="AC868" t="s">
        <v>16863</v>
      </c>
      <c r="AD868" t="s">
        <v>16864</v>
      </c>
      <c r="AE868" t="s">
        <v>16865</v>
      </c>
      <c r="AF868" t="s">
        <v>74</v>
      </c>
      <c r="AG868">
        <v>49</v>
      </c>
      <c r="AH868">
        <v>0</v>
      </c>
      <c r="AI868">
        <v>0</v>
      </c>
      <c r="AJ868">
        <v>0</v>
      </c>
      <c r="AK868">
        <v>3</v>
      </c>
      <c r="AL868" t="s">
        <v>271</v>
      </c>
      <c r="AM868" t="s">
        <v>272</v>
      </c>
      <c r="AN868" t="s">
        <v>273</v>
      </c>
      <c r="AO868" t="s">
        <v>8525</v>
      </c>
      <c r="AP868" t="s">
        <v>8526</v>
      </c>
      <c r="AQ868" t="s">
        <v>74</v>
      </c>
      <c r="AR868" t="s">
        <v>8527</v>
      </c>
      <c r="AS868" t="s">
        <v>8528</v>
      </c>
      <c r="AT868" t="s">
        <v>16784</v>
      </c>
      <c r="AU868">
        <v>2017</v>
      </c>
      <c r="AV868">
        <v>122</v>
      </c>
      <c r="AW868">
        <v>11</v>
      </c>
      <c r="AX868" t="s">
        <v>74</v>
      </c>
      <c r="AY868" t="s">
        <v>74</v>
      </c>
      <c r="AZ868" t="s">
        <v>74</v>
      </c>
      <c r="BA868" t="s">
        <v>74</v>
      </c>
      <c r="BB868">
        <v>11765</v>
      </c>
      <c r="BC868">
        <v>11783</v>
      </c>
      <c r="BD868" t="s">
        <v>74</v>
      </c>
      <c r="BE868" t="s">
        <v>16866</v>
      </c>
      <c r="BF868" t="str">
        <f>HYPERLINK("http://dx.doi.org/10.1002/2017JA024362","http://dx.doi.org/10.1002/2017JA024362")</f>
        <v>http://dx.doi.org/10.1002/2017JA024362</v>
      </c>
      <c r="BG868" t="s">
        <v>74</v>
      </c>
      <c r="BH868" t="s">
        <v>74</v>
      </c>
      <c r="BI868">
        <v>19</v>
      </c>
      <c r="BJ868" t="s">
        <v>787</v>
      </c>
      <c r="BK868" t="s">
        <v>101</v>
      </c>
      <c r="BL868" t="s">
        <v>787</v>
      </c>
      <c r="BM868" t="s">
        <v>16867</v>
      </c>
      <c r="BN868" t="s">
        <v>74</v>
      </c>
      <c r="BO868" t="s">
        <v>306</v>
      </c>
      <c r="BP868" t="s">
        <v>74</v>
      </c>
      <c r="BQ868" t="s">
        <v>74</v>
      </c>
      <c r="BR868" t="s">
        <v>105</v>
      </c>
      <c r="BS868" t="s">
        <v>16868</v>
      </c>
      <c r="BT868" t="str">
        <f>HYPERLINK("https%3A%2F%2Fwww.webofscience.com%2Fwos%2Fwoscc%2Ffull-record%2FWOS:000419938600054","View Full Record in Web of Science")</f>
        <v>View Full Record in Web of Science</v>
      </c>
    </row>
    <row r="869" spans="1:72" x14ac:dyDescent="0.15">
      <c r="A869" t="s">
        <v>72</v>
      </c>
      <c r="B869" t="s">
        <v>16869</v>
      </c>
      <c r="C869" t="s">
        <v>74</v>
      </c>
      <c r="D869" t="s">
        <v>74</v>
      </c>
      <c r="E869" t="s">
        <v>74</v>
      </c>
      <c r="F869" t="s">
        <v>16870</v>
      </c>
      <c r="G869" t="s">
        <v>74</v>
      </c>
      <c r="H869" t="s">
        <v>74</v>
      </c>
      <c r="I869" t="s">
        <v>16871</v>
      </c>
      <c r="J869" t="s">
        <v>16872</v>
      </c>
      <c r="K869" t="s">
        <v>74</v>
      </c>
      <c r="L869" t="s">
        <v>74</v>
      </c>
      <c r="M869" t="s">
        <v>78</v>
      </c>
      <c r="N869" t="s">
        <v>79</v>
      </c>
      <c r="O869" t="s">
        <v>74</v>
      </c>
      <c r="P869" t="s">
        <v>74</v>
      </c>
      <c r="Q869" t="s">
        <v>74</v>
      </c>
      <c r="R869" t="s">
        <v>74</v>
      </c>
      <c r="S869" t="s">
        <v>74</v>
      </c>
      <c r="T869" t="s">
        <v>74</v>
      </c>
      <c r="U869" t="s">
        <v>16873</v>
      </c>
      <c r="V869" t="s">
        <v>16874</v>
      </c>
      <c r="W869" t="s">
        <v>16875</v>
      </c>
      <c r="X869" t="s">
        <v>16876</v>
      </c>
      <c r="Y869" t="s">
        <v>16877</v>
      </c>
      <c r="Z869" t="s">
        <v>16878</v>
      </c>
      <c r="AA869" t="s">
        <v>16879</v>
      </c>
      <c r="AB869" t="s">
        <v>74</v>
      </c>
      <c r="AC869" t="s">
        <v>16880</v>
      </c>
      <c r="AD869" t="s">
        <v>4789</v>
      </c>
      <c r="AE869" t="s">
        <v>16881</v>
      </c>
      <c r="AF869" t="s">
        <v>74</v>
      </c>
      <c r="AG869">
        <v>25</v>
      </c>
      <c r="AH869">
        <v>7</v>
      </c>
      <c r="AI869">
        <v>7</v>
      </c>
      <c r="AJ869">
        <v>1</v>
      </c>
      <c r="AK869">
        <v>39</v>
      </c>
      <c r="AL869" t="s">
        <v>16882</v>
      </c>
      <c r="AM869" t="s">
        <v>3800</v>
      </c>
      <c r="AN869" t="s">
        <v>16883</v>
      </c>
      <c r="AO869" t="s">
        <v>16884</v>
      </c>
      <c r="AP869" t="s">
        <v>16885</v>
      </c>
      <c r="AQ869" t="s">
        <v>74</v>
      </c>
      <c r="AR869" t="s">
        <v>16886</v>
      </c>
      <c r="AS869" t="s">
        <v>16887</v>
      </c>
      <c r="AT869" t="s">
        <v>16784</v>
      </c>
      <c r="AU869">
        <v>2017</v>
      </c>
      <c r="AV869">
        <v>61</v>
      </c>
      <c r="AW869">
        <v>6</v>
      </c>
      <c r="AX869" t="s">
        <v>74</v>
      </c>
      <c r="AY869" t="s">
        <v>74</v>
      </c>
      <c r="AZ869" t="s">
        <v>74</v>
      </c>
      <c r="BA869" t="s">
        <v>74</v>
      </c>
      <c r="BB869" t="s">
        <v>74</v>
      </c>
      <c r="BC869" t="s">
        <v>74</v>
      </c>
      <c r="BD869">
        <v>60502</v>
      </c>
      <c r="BE869" t="s">
        <v>16888</v>
      </c>
      <c r="BF869" t="str">
        <f>HYPERLINK("http://dx.doi.org/10.2352/J.ImagingSci.Technol.2017.61.6.060502","http://dx.doi.org/10.2352/J.ImagingSci.Technol.2017.61.6.060502")</f>
        <v>http://dx.doi.org/10.2352/J.ImagingSci.Technol.2017.61.6.060502</v>
      </c>
      <c r="BG869" t="s">
        <v>74</v>
      </c>
      <c r="BH869" t="s">
        <v>74</v>
      </c>
      <c r="BI869">
        <v>10</v>
      </c>
      <c r="BJ869" t="s">
        <v>16889</v>
      </c>
      <c r="BK869" t="s">
        <v>101</v>
      </c>
      <c r="BL869" t="s">
        <v>16889</v>
      </c>
      <c r="BM869" t="s">
        <v>16890</v>
      </c>
      <c r="BN869" t="s">
        <v>74</v>
      </c>
      <c r="BO869" t="s">
        <v>74</v>
      </c>
      <c r="BP869" t="s">
        <v>74</v>
      </c>
      <c r="BQ869" t="s">
        <v>74</v>
      </c>
      <c r="BR869" t="s">
        <v>105</v>
      </c>
      <c r="BS869" t="s">
        <v>16891</v>
      </c>
      <c r="BT869" t="str">
        <f>HYPERLINK("https%3A%2F%2Fwww.webofscience.com%2Fwos%2Fwoscc%2Ffull-record%2FWOS:000419296700009","View Full Record in Web of Science")</f>
        <v>View Full Record in Web of Science</v>
      </c>
    </row>
    <row r="870" spans="1:72" x14ac:dyDescent="0.15">
      <c r="A870" t="s">
        <v>72</v>
      </c>
      <c r="B870" t="s">
        <v>16892</v>
      </c>
      <c r="C870" t="s">
        <v>74</v>
      </c>
      <c r="D870" t="s">
        <v>74</v>
      </c>
      <c r="E870" t="s">
        <v>74</v>
      </c>
      <c r="F870" t="s">
        <v>16893</v>
      </c>
      <c r="G870" t="s">
        <v>74</v>
      </c>
      <c r="H870" t="s">
        <v>74</v>
      </c>
      <c r="I870" t="s">
        <v>16894</v>
      </c>
      <c r="J870" t="s">
        <v>4805</v>
      </c>
      <c r="K870" t="s">
        <v>74</v>
      </c>
      <c r="L870" t="s">
        <v>74</v>
      </c>
      <c r="M870" t="s">
        <v>78</v>
      </c>
      <c r="N870" t="s">
        <v>79</v>
      </c>
      <c r="O870" t="s">
        <v>74</v>
      </c>
      <c r="P870" t="s">
        <v>74</v>
      </c>
      <c r="Q870" t="s">
        <v>74</v>
      </c>
      <c r="R870" t="s">
        <v>74</v>
      </c>
      <c r="S870" t="s">
        <v>74</v>
      </c>
      <c r="T870" t="s">
        <v>16895</v>
      </c>
      <c r="U870" t="s">
        <v>16896</v>
      </c>
      <c r="V870" t="s">
        <v>16897</v>
      </c>
      <c r="W870" t="s">
        <v>16898</v>
      </c>
      <c r="X870" t="s">
        <v>16899</v>
      </c>
      <c r="Y870" t="s">
        <v>16900</v>
      </c>
      <c r="Z870" t="s">
        <v>16901</v>
      </c>
      <c r="AA870" t="s">
        <v>16902</v>
      </c>
      <c r="AB870" t="s">
        <v>16903</v>
      </c>
      <c r="AC870" t="s">
        <v>16904</v>
      </c>
      <c r="AD870" t="s">
        <v>16905</v>
      </c>
      <c r="AE870" t="s">
        <v>16906</v>
      </c>
      <c r="AF870" t="s">
        <v>74</v>
      </c>
      <c r="AG870">
        <v>54</v>
      </c>
      <c r="AH870">
        <v>17</v>
      </c>
      <c r="AI870">
        <v>18</v>
      </c>
      <c r="AJ870">
        <v>0</v>
      </c>
      <c r="AK870">
        <v>11</v>
      </c>
      <c r="AL870" t="s">
        <v>271</v>
      </c>
      <c r="AM870" t="s">
        <v>272</v>
      </c>
      <c r="AN870" t="s">
        <v>273</v>
      </c>
      <c r="AO870" t="s">
        <v>4818</v>
      </c>
      <c r="AP870" t="s">
        <v>4819</v>
      </c>
      <c r="AQ870" t="s">
        <v>74</v>
      </c>
      <c r="AR870" t="s">
        <v>4820</v>
      </c>
      <c r="AS870" t="s">
        <v>4821</v>
      </c>
      <c r="AT870" t="s">
        <v>16784</v>
      </c>
      <c r="AU870">
        <v>2017</v>
      </c>
      <c r="AV870">
        <v>122</v>
      </c>
      <c r="AW870">
        <v>11</v>
      </c>
      <c r="AX870" t="s">
        <v>74</v>
      </c>
      <c r="AY870" t="s">
        <v>74</v>
      </c>
      <c r="AZ870" t="s">
        <v>74</v>
      </c>
      <c r="BA870" t="s">
        <v>74</v>
      </c>
      <c r="BB870">
        <v>9437</v>
      </c>
      <c r="BC870">
        <v>9460</v>
      </c>
      <c r="BD870" t="s">
        <v>74</v>
      </c>
      <c r="BE870" t="s">
        <v>16907</v>
      </c>
      <c r="BF870" t="str">
        <f>HYPERLINK("http://dx.doi.org/10.1002/2017JB014033","http://dx.doi.org/10.1002/2017JB014033")</f>
        <v>http://dx.doi.org/10.1002/2017JB014033</v>
      </c>
      <c r="BG870" t="s">
        <v>74</v>
      </c>
      <c r="BH870" t="s">
        <v>74</v>
      </c>
      <c r="BI870">
        <v>24</v>
      </c>
      <c r="BJ870" t="s">
        <v>1148</v>
      </c>
      <c r="BK870" t="s">
        <v>101</v>
      </c>
      <c r="BL870" t="s">
        <v>1148</v>
      </c>
      <c r="BM870" t="s">
        <v>16908</v>
      </c>
      <c r="BN870" t="s">
        <v>74</v>
      </c>
      <c r="BO870" t="s">
        <v>306</v>
      </c>
      <c r="BP870" t="s">
        <v>74</v>
      </c>
      <c r="BQ870" t="s">
        <v>74</v>
      </c>
      <c r="BR870" t="s">
        <v>105</v>
      </c>
      <c r="BS870" t="s">
        <v>16909</v>
      </c>
      <c r="BT870" t="str">
        <f>HYPERLINK("https%3A%2F%2Fwww.webofscience.com%2Fwos%2Fwoscc%2Ffull-record%2FWOS:000419102700045","View Full Record in Web of Science")</f>
        <v>View Full Record in Web of Science</v>
      </c>
    </row>
    <row r="871" spans="1:72" x14ac:dyDescent="0.15">
      <c r="A871" t="s">
        <v>72</v>
      </c>
      <c r="B871" t="s">
        <v>16910</v>
      </c>
      <c r="C871" t="s">
        <v>74</v>
      </c>
      <c r="D871" t="s">
        <v>74</v>
      </c>
      <c r="E871" t="s">
        <v>74</v>
      </c>
      <c r="F871" t="s">
        <v>16911</v>
      </c>
      <c r="G871" t="s">
        <v>74</v>
      </c>
      <c r="H871" t="s">
        <v>74</v>
      </c>
      <c r="I871" t="s">
        <v>16912</v>
      </c>
      <c r="J871" t="s">
        <v>8967</v>
      </c>
      <c r="K871" t="s">
        <v>74</v>
      </c>
      <c r="L871" t="s">
        <v>74</v>
      </c>
      <c r="M871" t="s">
        <v>78</v>
      </c>
      <c r="N871" t="s">
        <v>79</v>
      </c>
      <c r="O871" t="s">
        <v>74</v>
      </c>
      <c r="P871" t="s">
        <v>74</v>
      </c>
      <c r="Q871" t="s">
        <v>74</v>
      </c>
      <c r="R871" t="s">
        <v>74</v>
      </c>
      <c r="S871" t="s">
        <v>74</v>
      </c>
      <c r="T871" t="s">
        <v>16913</v>
      </c>
      <c r="U871" t="s">
        <v>16914</v>
      </c>
      <c r="V871" t="s">
        <v>16915</v>
      </c>
      <c r="W871" t="s">
        <v>16916</v>
      </c>
      <c r="X871" t="s">
        <v>16917</v>
      </c>
      <c r="Y871" t="s">
        <v>16918</v>
      </c>
      <c r="Z871" t="s">
        <v>16919</v>
      </c>
      <c r="AA871" t="s">
        <v>16920</v>
      </c>
      <c r="AB871" t="s">
        <v>16921</v>
      </c>
      <c r="AC871" t="s">
        <v>16922</v>
      </c>
      <c r="AD871" t="s">
        <v>1226</v>
      </c>
      <c r="AE871" t="s">
        <v>16923</v>
      </c>
      <c r="AF871" t="s">
        <v>74</v>
      </c>
      <c r="AG871">
        <v>80</v>
      </c>
      <c r="AH871">
        <v>16</v>
      </c>
      <c r="AI871">
        <v>19</v>
      </c>
      <c r="AJ871">
        <v>0</v>
      </c>
      <c r="AK871">
        <v>17</v>
      </c>
      <c r="AL871" t="s">
        <v>91</v>
      </c>
      <c r="AM871" t="s">
        <v>92</v>
      </c>
      <c r="AN871" t="s">
        <v>93</v>
      </c>
      <c r="AO871" t="s">
        <v>8980</v>
      </c>
      <c r="AP871" t="s">
        <v>74</v>
      </c>
      <c r="AQ871" t="s">
        <v>74</v>
      </c>
      <c r="AR871" t="s">
        <v>8981</v>
      </c>
      <c r="AS871" t="s">
        <v>8982</v>
      </c>
      <c r="AT871" t="s">
        <v>16784</v>
      </c>
      <c r="AU871">
        <v>2017</v>
      </c>
      <c r="AV871">
        <v>4</v>
      </c>
      <c r="AW871">
        <v>12</v>
      </c>
      <c r="AX871" t="s">
        <v>74</v>
      </c>
      <c r="AY871" t="s">
        <v>74</v>
      </c>
      <c r="AZ871" t="s">
        <v>74</v>
      </c>
      <c r="BA871" t="s">
        <v>74</v>
      </c>
      <c r="BB871" t="s">
        <v>74</v>
      </c>
      <c r="BC871" t="s">
        <v>74</v>
      </c>
      <c r="BD871">
        <v>171063</v>
      </c>
      <c r="BE871" t="s">
        <v>16924</v>
      </c>
      <c r="BF871" t="str">
        <f>HYPERLINK("http://dx.doi.org/10.1098/rsos.171063","http://dx.doi.org/10.1098/rsos.171063")</f>
        <v>http://dx.doi.org/10.1098/rsos.171063</v>
      </c>
      <c r="BG871" t="s">
        <v>74</v>
      </c>
      <c r="BH871" t="s">
        <v>74</v>
      </c>
      <c r="BI871">
        <v>13</v>
      </c>
      <c r="BJ871" t="s">
        <v>129</v>
      </c>
      <c r="BK871" t="s">
        <v>101</v>
      </c>
      <c r="BL871" t="s">
        <v>130</v>
      </c>
      <c r="BM871" t="s">
        <v>16925</v>
      </c>
      <c r="BN871">
        <v>29308245</v>
      </c>
      <c r="BO871" t="s">
        <v>560</v>
      </c>
      <c r="BP871" t="s">
        <v>74</v>
      </c>
      <c r="BQ871" t="s">
        <v>74</v>
      </c>
      <c r="BR871" t="s">
        <v>105</v>
      </c>
      <c r="BS871" t="s">
        <v>16926</v>
      </c>
      <c r="BT871" t="str">
        <f>HYPERLINK("https%3A%2F%2Fwww.webofscience.com%2Fwos%2Fwoscc%2Ffull-record%2FWOS:000418587600032","View Full Record in Web of Science")</f>
        <v>View Full Record in Web of Science</v>
      </c>
    </row>
    <row r="872" spans="1:72" x14ac:dyDescent="0.15">
      <c r="A872" t="s">
        <v>72</v>
      </c>
      <c r="B872" t="s">
        <v>16927</v>
      </c>
      <c r="C872" t="s">
        <v>74</v>
      </c>
      <c r="D872" t="s">
        <v>74</v>
      </c>
      <c r="E872" t="s">
        <v>74</v>
      </c>
      <c r="F872" t="s">
        <v>16928</v>
      </c>
      <c r="G872" t="s">
        <v>74</v>
      </c>
      <c r="H872" t="s">
        <v>16929</v>
      </c>
      <c r="I872" t="s">
        <v>16930</v>
      </c>
      <c r="J872" t="s">
        <v>16931</v>
      </c>
      <c r="K872" t="s">
        <v>74</v>
      </c>
      <c r="L872" t="s">
        <v>74</v>
      </c>
      <c r="M872" t="s">
        <v>78</v>
      </c>
      <c r="N872" t="s">
        <v>79</v>
      </c>
      <c r="O872" t="s">
        <v>74</v>
      </c>
      <c r="P872" t="s">
        <v>74</v>
      </c>
      <c r="Q872" t="s">
        <v>74</v>
      </c>
      <c r="R872" t="s">
        <v>74</v>
      </c>
      <c r="S872" t="s">
        <v>74</v>
      </c>
      <c r="T872" t="s">
        <v>16932</v>
      </c>
      <c r="U872" t="s">
        <v>16933</v>
      </c>
      <c r="V872" t="s">
        <v>16934</v>
      </c>
      <c r="W872" t="s">
        <v>16935</v>
      </c>
      <c r="X872" t="s">
        <v>16936</v>
      </c>
      <c r="Y872" t="s">
        <v>16937</v>
      </c>
      <c r="Z872" t="s">
        <v>16938</v>
      </c>
      <c r="AA872" t="s">
        <v>16939</v>
      </c>
      <c r="AB872" t="s">
        <v>16940</v>
      </c>
      <c r="AC872" t="s">
        <v>16941</v>
      </c>
      <c r="AD872" t="s">
        <v>16942</v>
      </c>
      <c r="AE872" t="s">
        <v>16943</v>
      </c>
      <c r="AF872" t="s">
        <v>74</v>
      </c>
      <c r="AG872">
        <v>49</v>
      </c>
      <c r="AH872">
        <v>8</v>
      </c>
      <c r="AI872">
        <v>8</v>
      </c>
      <c r="AJ872">
        <v>1</v>
      </c>
      <c r="AK872">
        <v>15</v>
      </c>
      <c r="AL872" t="s">
        <v>271</v>
      </c>
      <c r="AM872" t="s">
        <v>272</v>
      </c>
      <c r="AN872" t="s">
        <v>273</v>
      </c>
      <c r="AO872" t="s">
        <v>74</v>
      </c>
      <c r="AP872" t="s">
        <v>16944</v>
      </c>
      <c r="AQ872" t="s">
        <v>74</v>
      </c>
      <c r="AR872" t="s">
        <v>16945</v>
      </c>
      <c r="AS872" t="s">
        <v>16946</v>
      </c>
      <c r="AT872" t="s">
        <v>16784</v>
      </c>
      <c r="AU872">
        <v>2017</v>
      </c>
      <c r="AV872">
        <v>18</v>
      </c>
      <c r="AW872">
        <v>11</v>
      </c>
      <c r="AX872" t="s">
        <v>74</v>
      </c>
      <c r="AY872" t="s">
        <v>74</v>
      </c>
      <c r="AZ872" t="s">
        <v>74</v>
      </c>
      <c r="BA872" t="s">
        <v>74</v>
      </c>
      <c r="BB872">
        <v>4235</v>
      </c>
      <c r="BC872">
        <v>4250</v>
      </c>
      <c r="BD872" t="s">
        <v>74</v>
      </c>
      <c r="BE872" t="s">
        <v>16947</v>
      </c>
      <c r="BF872" t="str">
        <f>HYPERLINK("http://dx.doi.org/10.1002/2017GC007081","http://dx.doi.org/10.1002/2017GC007081")</f>
        <v>http://dx.doi.org/10.1002/2017GC007081</v>
      </c>
      <c r="BG872" t="s">
        <v>74</v>
      </c>
      <c r="BH872" t="s">
        <v>74</v>
      </c>
      <c r="BI872">
        <v>16</v>
      </c>
      <c r="BJ872" t="s">
        <v>1148</v>
      </c>
      <c r="BK872" t="s">
        <v>101</v>
      </c>
      <c r="BL872" t="s">
        <v>1148</v>
      </c>
      <c r="BM872" t="s">
        <v>16948</v>
      </c>
      <c r="BN872" t="s">
        <v>74</v>
      </c>
      <c r="BO872" t="s">
        <v>789</v>
      </c>
      <c r="BP872" t="s">
        <v>74</v>
      </c>
      <c r="BQ872" t="s">
        <v>74</v>
      </c>
      <c r="BR872" t="s">
        <v>105</v>
      </c>
      <c r="BS872" t="s">
        <v>16949</v>
      </c>
      <c r="BT872" t="str">
        <f>HYPERLINK("https%3A%2F%2Fwww.webofscience.com%2Fwos%2Fwoscc%2Ffull-record%2FWOS:000418403800030","View Full Record in Web of Science")</f>
        <v>View Full Record in Web of Science</v>
      </c>
    </row>
    <row r="873" spans="1:72" x14ac:dyDescent="0.15">
      <c r="A873" t="s">
        <v>72</v>
      </c>
      <c r="B873" t="s">
        <v>16950</v>
      </c>
      <c r="C873" t="s">
        <v>74</v>
      </c>
      <c r="D873" t="s">
        <v>74</v>
      </c>
      <c r="E873" t="s">
        <v>74</v>
      </c>
      <c r="F873" t="s">
        <v>16951</v>
      </c>
      <c r="G873" t="s">
        <v>74</v>
      </c>
      <c r="H873" t="s">
        <v>74</v>
      </c>
      <c r="I873" t="s">
        <v>16952</v>
      </c>
      <c r="J873" t="s">
        <v>16953</v>
      </c>
      <c r="K873" t="s">
        <v>74</v>
      </c>
      <c r="L873" t="s">
        <v>74</v>
      </c>
      <c r="M873" t="s">
        <v>78</v>
      </c>
      <c r="N873" t="s">
        <v>79</v>
      </c>
      <c r="O873" t="s">
        <v>74</v>
      </c>
      <c r="P873" t="s">
        <v>74</v>
      </c>
      <c r="Q873" t="s">
        <v>74</v>
      </c>
      <c r="R873" t="s">
        <v>74</v>
      </c>
      <c r="S873" t="s">
        <v>74</v>
      </c>
      <c r="T873" t="s">
        <v>16954</v>
      </c>
      <c r="U873" t="s">
        <v>16955</v>
      </c>
      <c r="V873" t="s">
        <v>16956</v>
      </c>
      <c r="W873" t="s">
        <v>16957</v>
      </c>
      <c r="X873" t="s">
        <v>16958</v>
      </c>
      <c r="Y873" t="s">
        <v>16959</v>
      </c>
      <c r="Z873" t="s">
        <v>16960</v>
      </c>
      <c r="AA873" t="s">
        <v>16961</v>
      </c>
      <c r="AB873" t="s">
        <v>16962</v>
      </c>
      <c r="AC873" t="s">
        <v>16963</v>
      </c>
      <c r="AD873" t="s">
        <v>16964</v>
      </c>
      <c r="AE873" t="s">
        <v>16965</v>
      </c>
      <c r="AF873" t="s">
        <v>74</v>
      </c>
      <c r="AG873">
        <v>70</v>
      </c>
      <c r="AH873">
        <v>13</v>
      </c>
      <c r="AI873">
        <v>14</v>
      </c>
      <c r="AJ873">
        <v>1</v>
      </c>
      <c r="AK873">
        <v>26</v>
      </c>
      <c r="AL873" t="s">
        <v>807</v>
      </c>
      <c r="AM873" t="s">
        <v>808</v>
      </c>
      <c r="AN873" t="s">
        <v>809</v>
      </c>
      <c r="AO873" t="s">
        <v>16966</v>
      </c>
      <c r="AP873" t="s">
        <v>74</v>
      </c>
      <c r="AQ873" t="s">
        <v>74</v>
      </c>
      <c r="AR873" t="s">
        <v>16967</v>
      </c>
      <c r="AS873" t="s">
        <v>16968</v>
      </c>
      <c r="AT873" t="s">
        <v>16784</v>
      </c>
      <c r="AU873">
        <v>2017</v>
      </c>
      <c r="AV873">
        <v>16</v>
      </c>
      <c r="AW873" t="s">
        <v>74</v>
      </c>
      <c r="AX873" t="s">
        <v>74</v>
      </c>
      <c r="AY873" t="s">
        <v>74</v>
      </c>
      <c r="AZ873" t="s">
        <v>74</v>
      </c>
      <c r="BA873" t="s">
        <v>74</v>
      </c>
      <c r="BB873">
        <v>267</v>
      </c>
      <c r="BC873">
        <v>278</v>
      </c>
      <c r="BD873" t="s">
        <v>74</v>
      </c>
      <c r="BE873" t="s">
        <v>16969</v>
      </c>
      <c r="BF873" t="str">
        <f>HYPERLINK("http://dx.doi.org/10.1016/j.rsma.2017.09.007","http://dx.doi.org/10.1016/j.rsma.2017.09.007")</f>
        <v>http://dx.doi.org/10.1016/j.rsma.2017.09.007</v>
      </c>
      <c r="BG873" t="s">
        <v>74</v>
      </c>
      <c r="BH873" t="s">
        <v>74</v>
      </c>
      <c r="BI873">
        <v>12</v>
      </c>
      <c r="BJ873" t="s">
        <v>5168</v>
      </c>
      <c r="BK873" t="s">
        <v>101</v>
      </c>
      <c r="BL873" t="s">
        <v>610</v>
      </c>
      <c r="BM873" t="s">
        <v>16970</v>
      </c>
      <c r="BN873" t="s">
        <v>74</v>
      </c>
      <c r="BO873" t="s">
        <v>74</v>
      </c>
      <c r="BP873" t="s">
        <v>74</v>
      </c>
      <c r="BQ873" t="s">
        <v>74</v>
      </c>
      <c r="BR873" t="s">
        <v>105</v>
      </c>
      <c r="BS873" t="s">
        <v>16971</v>
      </c>
      <c r="BT873" t="str">
        <f>HYPERLINK("https%3A%2F%2Fwww.webofscience.com%2Fwos%2Fwoscc%2Ffull-record%2FWOS:000417779200029","View Full Record in Web of Science")</f>
        <v>View Full Record in Web of Science</v>
      </c>
    </row>
    <row r="874" spans="1:72" x14ac:dyDescent="0.15">
      <c r="A874" t="s">
        <v>72</v>
      </c>
      <c r="B874" t="s">
        <v>16972</v>
      </c>
      <c r="C874" t="s">
        <v>74</v>
      </c>
      <c r="D874" t="s">
        <v>74</v>
      </c>
      <c r="E874" t="s">
        <v>74</v>
      </c>
      <c r="F874" t="s">
        <v>16973</v>
      </c>
      <c r="G874" t="s">
        <v>74</v>
      </c>
      <c r="H874" t="s">
        <v>74</v>
      </c>
      <c r="I874" t="s">
        <v>16974</v>
      </c>
      <c r="J874" t="s">
        <v>16975</v>
      </c>
      <c r="K874" t="s">
        <v>74</v>
      </c>
      <c r="L874" t="s">
        <v>74</v>
      </c>
      <c r="M874" t="s">
        <v>78</v>
      </c>
      <c r="N874" t="s">
        <v>79</v>
      </c>
      <c r="O874" t="s">
        <v>74</v>
      </c>
      <c r="P874" t="s">
        <v>74</v>
      </c>
      <c r="Q874" t="s">
        <v>74</v>
      </c>
      <c r="R874" t="s">
        <v>74</v>
      </c>
      <c r="S874" t="s">
        <v>74</v>
      </c>
      <c r="T874" t="s">
        <v>16976</v>
      </c>
      <c r="U874" t="s">
        <v>74</v>
      </c>
      <c r="V874" t="s">
        <v>16977</v>
      </c>
      <c r="W874" t="s">
        <v>16978</v>
      </c>
      <c r="X874" t="s">
        <v>16979</v>
      </c>
      <c r="Y874" t="s">
        <v>16980</v>
      </c>
      <c r="Z874" t="s">
        <v>16981</v>
      </c>
      <c r="AA874" t="s">
        <v>16982</v>
      </c>
      <c r="AB874" t="s">
        <v>16983</v>
      </c>
      <c r="AC874" t="s">
        <v>74</v>
      </c>
      <c r="AD874" t="s">
        <v>74</v>
      </c>
      <c r="AE874" t="s">
        <v>74</v>
      </c>
      <c r="AF874" t="s">
        <v>74</v>
      </c>
      <c r="AG874">
        <v>34</v>
      </c>
      <c r="AH874">
        <v>5</v>
      </c>
      <c r="AI874">
        <v>7</v>
      </c>
      <c r="AJ874">
        <v>0</v>
      </c>
      <c r="AK874">
        <v>8</v>
      </c>
      <c r="AL874" t="s">
        <v>16984</v>
      </c>
      <c r="AM874" t="s">
        <v>16985</v>
      </c>
      <c r="AN874" t="s">
        <v>16986</v>
      </c>
      <c r="AO874" t="s">
        <v>16987</v>
      </c>
      <c r="AP874" t="s">
        <v>16988</v>
      </c>
      <c r="AQ874" t="s">
        <v>74</v>
      </c>
      <c r="AR874" t="s">
        <v>16989</v>
      </c>
      <c r="AS874" t="s">
        <v>16990</v>
      </c>
      <c r="AT874" t="s">
        <v>16784</v>
      </c>
      <c r="AU874">
        <v>2017</v>
      </c>
      <c r="AV874">
        <v>19</v>
      </c>
      <c r="AW874">
        <v>2</v>
      </c>
      <c r="AX874" t="s">
        <v>74</v>
      </c>
      <c r="AY874" t="s">
        <v>74</v>
      </c>
      <c r="AZ874" t="s">
        <v>1146</v>
      </c>
      <c r="BA874" t="s">
        <v>74</v>
      </c>
      <c r="BB874">
        <v>71</v>
      </c>
      <c r="BC874">
        <v>84</v>
      </c>
      <c r="BD874" t="s">
        <v>74</v>
      </c>
      <c r="BE874" t="s">
        <v>16991</v>
      </c>
      <c r="BF874" t="str">
        <f>HYPERLINK("http://dx.doi.org/10.7227/GS.0030","http://dx.doi.org/10.7227/GS.0030")</f>
        <v>http://dx.doi.org/10.7227/GS.0030</v>
      </c>
      <c r="BG874" t="s">
        <v>74</v>
      </c>
      <c r="BH874" t="s">
        <v>74</v>
      </c>
      <c r="BI874">
        <v>14</v>
      </c>
      <c r="BJ874" t="s">
        <v>5027</v>
      </c>
      <c r="BK874" t="s">
        <v>2081</v>
      </c>
      <c r="BL874" t="s">
        <v>5028</v>
      </c>
      <c r="BM874" t="s">
        <v>16992</v>
      </c>
      <c r="BN874" t="s">
        <v>74</v>
      </c>
      <c r="BO874" t="s">
        <v>432</v>
      </c>
      <c r="BP874" t="s">
        <v>74</v>
      </c>
      <c r="BQ874" t="s">
        <v>74</v>
      </c>
      <c r="BR874" t="s">
        <v>105</v>
      </c>
      <c r="BS874" t="s">
        <v>16993</v>
      </c>
      <c r="BT874" t="str">
        <f>HYPERLINK("https%3A%2F%2Fwww.webofscience.com%2Fwos%2Fwoscc%2Ffull-record%2FWOS:000418023500006","View Full Record in Web of Science")</f>
        <v>View Full Record in Web of Science</v>
      </c>
    </row>
    <row r="875" spans="1:72" x14ac:dyDescent="0.15">
      <c r="A875" t="s">
        <v>72</v>
      </c>
      <c r="B875" t="s">
        <v>16994</v>
      </c>
      <c r="C875" t="s">
        <v>74</v>
      </c>
      <c r="D875" t="s">
        <v>74</v>
      </c>
      <c r="E875" t="s">
        <v>74</v>
      </c>
      <c r="F875" t="s">
        <v>16995</v>
      </c>
      <c r="G875" t="s">
        <v>74</v>
      </c>
      <c r="H875" t="s">
        <v>74</v>
      </c>
      <c r="I875" t="s">
        <v>16996</v>
      </c>
      <c r="J875" t="s">
        <v>12695</v>
      </c>
      <c r="K875" t="s">
        <v>74</v>
      </c>
      <c r="L875" t="s">
        <v>74</v>
      </c>
      <c r="M875" t="s">
        <v>78</v>
      </c>
      <c r="N875" t="s">
        <v>79</v>
      </c>
      <c r="O875" t="s">
        <v>74</v>
      </c>
      <c r="P875" t="s">
        <v>74</v>
      </c>
      <c r="Q875" t="s">
        <v>74</v>
      </c>
      <c r="R875" t="s">
        <v>74</v>
      </c>
      <c r="S875" t="s">
        <v>74</v>
      </c>
      <c r="T875" t="s">
        <v>16997</v>
      </c>
      <c r="U875" t="s">
        <v>16998</v>
      </c>
      <c r="V875" t="s">
        <v>16999</v>
      </c>
      <c r="W875" t="s">
        <v>17000</v>
      </c>
      <c r="X875" t="s">
        <v>17001</v>
      </c>
      <c r="Y875" t="s">
        <v>17002</v>
      </c>
      <c r="Z875" t="s">
        <v>17003</v>
      </c>
      <c r="AA875" t="s">
        <v>17004</v>
      </c>
      <c r="AB875" t="s">
        <v>17005</v>
      </c>
      <c r="AC875" t="s">
        <v>17006</v>
      </c>
      <c r="AD875" t="s">
        <v>17007</v>
      </c>
      <c r="AE875" t="s">
        <v>17008</v>
      </c>
      <c r="AF875" t="s">
        <v>74</v>
      </c>
      <c r="AG875">
        <v>61</v>
      </c>
      <c r="AH875">
        <v>38</v>
      </c>
      <c r="AI875">
        <v>45</v>
      </c>
      <c r="AJ875">
        <v>0</v>
      </c>
      <c r="AK875">
        <v>20</v>
      </c>
      <c r="AL875" t="s">
        <v>271</v>
      </c>
      <c r="AM875" t="s">
        <v>272</v>
      </c>
      <c r="AN875" t="s">
        <v>273</v>
      </c>
      <c r="AO875" t="s">
        <v>12708</v>
      </c>
      <c r="AP875" t="s">
        <v>12709</v>
      </c>
      <c r="AQ875" t="s">
        <v>74</v>
      </c>
      <c r="AR875" t="s">
        <v>12710</v>
      </c>
      <c r="AS875" t="s">
        <v>12711</v>
      </c>
      <c r="AT875" t="s">
        <v>16784</v>
      </c>
      <c r="AU875">
        <v>2017</v>
      </c>
      <c r="AV875">
        <v>122</v>
      </c>
      <c r="AW875">
        <v>11</v>
      </c>
      <c r="AX875" t="s">
        <v>74</v>
      </c>
      <c r="AY875" t="s">
        <v>74</v>
      </c>
      <c r="AZ875" t="s">
        <v>74</v>
      </c>
      <c r="BA875" t="s">
        <v>74</v>
      </c>
      <c r="BB875">
        <v>2124</v>
      </c>
      <c r="BC875">
        <v>2138</v>
      </c>
      <c r="BD875" t="s">
        <v>74</v>
      </c>
      <c r="BE875" t="s">
        <v>17009</v>
      </c>
      <c r="BF875" t="str">
        <f>HYPERLINK("http://dx.doi.org/10.1002/2017JF004371","http://dx.doi.org/10.1002/2017JF004371")</f>
        <v>http://dx.doi.org/10.1002/2017JF004371</v>
      </c>
      <c r="BG875" t="s">
        <v>74</v>
      </c>
      <c r="BH875" t="s">
        <v>74</v>
      </c>
      <c r="BI875">
        <v>15</v>
      </c>
      <c r="BJ875" t="s">
        <v>280</v>
      </c>
      <c r="BK875" t="s">
        <v>101</v>
      </c>
      <c r="BL875" t="s">
        <v>281</v>
      </c>
      <c r="BM875" t="s">
        <v>17010</v>
      </c>
      <c r="BN875" t="s">
        <v>74</v>
      </c>
      <c r="BO875" t="s">
        <v>104</v>
      </c>
      <c r="BP875" t="s">
        <v>74</v>
      </c>
      <c r="BQ875" t="s">
        <v>74</v>
      </c>
      <c r="BR875" t="s">
        <v>105</v>
      </c>
      <c r="BS875" t="s">
        <v>17011</v>
      </c>
      <c r="BT875" t="str">
        <f>HYPERLINK("https%3A%2F%2Fwww.webofscience.com%2Fwos%2Fwoscc%2Ffull-record%2FWOS:000418087800005","View Full Record in Web of Science")</f>
        <v>View Full Record in Web of Science</v>
      </c>
    </row>
    <row r="876" spans="1:72" x14ac:dyDescent="0.15">
      <c r="A876" t="s">
        <v>72</v>
      </c>
      <c r="B876" t="s">
        <v>17012</v>
      </c>
      <c r="C876" t="s">
        <v>74</v>
      </c>
      <c r="D876" t="s">
        <v>74</v>
      </c>
      <c r="E876" t="s">
        <v>74</v>
      </c>
      <c r="F876" t="s">
        <v>17013</v>
      </c>
      <c r="G876" t="s">
        <v>74</v>
      </c>
      <c r="H876" t="s">
        <v>74</v>
      </c>
      <c r="I876" t="s">
        <v>17014</v>
      </c>
      <c r="J876" t="s">
        <v>8360</v>
      </c>
      <c r="K876" t="s">
        <v>74</v>
      </c>
      <c r="L876" t="s">
        <v>74</v>
      </c>
      <c r="M876" t="s">
        <v>78</v>
      </c>
      <c r="N876" t="s">
        <v>79</v>
      </c>
      <c r="O876" t="s">
        <v>74</v>
      </c>
      <c r="P876" t="s">
        <v>74</v>
      </c>
      <c r="Q876" t="s">
        <v>74</v>
      </c>
      <c r="R876" t="s">
        <v>74</v>
      </c>
      <c r="S876" t="s">
        <v>74</v>
      </c>
      <c r="T876" t="s">
        <v>17015</v>
      </c>
      <c r="U876" t="s">
        <v>17016</v>
      </c>
      <c r="V876" t="s">
        <v>17017</v>
      </c>
      <c r="W876" t="s">
        <v>17018</v>
      </c>
      <c r="X876" t="s">
        <v>17019</v>
      </c>
      <c r="Y876" t="s">
        <v>17020</v>
      </c>
      <c r="Z876" t="s">
        <v>17021</v>
      </c>
      <c r="AA876" t="s">
        <v>17004</v>
      </c>
      <c r="AB876" t="s">
        <v>17005</v>
      </c>
      <c r="AC876" t="s">
        <v>17022</v>
      </c>
      <c r="AD876" t="s">
        <v>17023</v>
      </c>
      <c r="AE876" t="s">
        <v>17024</v>
      </c>
      <c r="AF876" t="s">
        <v>74</v>
      </c>
      <c r="AG876">
        <v>63</v>
      </c>
      <c r="AH876">
        <v>22</v>
      </c>
      <c r="AI876">
        <v>24</v>
      </c>
      <c r="AJ876">
        <v>0</v>
      </c>
      <c r="AK876">
        <v>12</v>
      </c>
      <c r="AL876" t="s">
        <v>271</v>
      </c>
      <c r="AM876" t="s">
        <v>272</v>
      </c>
      <c r="AN876" t="s">
        <v>273</v>
      </c>
      <c r="AO876" t="s">
        <v>8373</v>
      </c>
      <c r="AP876" t="s">
        <v>8374</v>
      </c>
      <c r="AQ876" t="s">
        <v>74</v>
      </c>
      <c r="AR876" t="s">
        <v>8375</v>
      </c>
      <c r="AS876" t="s">
        <v>8376</v>
      </c>
      <c r="AT876" t="s">
        <v>16784</v>
      </c>
      <c r="AU876">
        <v>2017</v>
      </c>
      <c r="AV876">
        <v>122</v>
      </c>
      <c r="AW876">
        <v>11</v>
      </c>
      <c r="AX876" t="s">
        <v>74</v>
      </c>
      <c r="AY876" t="s">
        <v>74</v>
      </c>
      <c r="AZ876" t="s">
        <v>74</v>
      </c>
      <c r="BA876" t="s">
        <v>74</v>
      </c>
      <c r="BB876">
        <v>8354</v>
      </c>
      <c r="BC876">
        <v>8370</v>
      </c>
      <c r="BD876" t="s">
        <v>74</v>
      </c>
      <c r="BE876" t="s">
        <v>17025</v>
      </c>
      <c r="BF876" t="str">
        <f>HYPERLINK("http://dx.doi.org/10.1002/2017JC013109","http://dx.doi.org/10.1002/2017JC013109")</f>
        <v>http://dx.doi.org/10.1002/2017JC013109</v>
      </c>
      <c r="BG876" t="s">
        <v>74</v>
      </c>
      <c r="BH876" t="s">
        <v>74</v>
      </c>
      <c r="BI876">
        <v>17</v>
      </c>
      <c r="BJ876" t="s">
        <v>1907</v>
      </c>
      <c r="BK876" t="s">
        <v>101</v>
      </c>
      <c r="BL876" t="s">
        <v>1907</v>
      </c>
      <c r="BM876" t="s">
        <v>17026</v>
      </c>
      <c r="BN876" t="s">
        <v>74</v>
      </c>
      <c r="BO876" t="s">
        <v>11873</v>
      </c>
      <c r="BP876" t="s">
        <v>74</v>
      </c>
      <c r="BQ876" t="s">
        <v>74</v>
      </c>
      <c r="BR876" t="s">
        <v>105</v>
      </c>
      <c r="BS876" t="s">
        <v>17027</v>
      </c>
      <c r="BT876" t="str">
        <f>HYPERLINK("https%3A%2F%2Fwww.webofscience.com%2Fwos%2Fwoscc%2Ffull-record%2FWOS:000418089400002","View Full Record in Web of Science")</f>
        <v>View Full Record in Web of Science</v>
      </c>
    </row>
    <row r="877" spans="1:72" x14ac:dyDescent="0.15">
      <c r="A877" t="s">
        <v>72</v>
      </c>
      <c r="B877" t="s">
        <v>17028</v>
      </c>
      <c r="C877" t="s">
        <v>74</v>
      </c>
      <c r="D877" t="s">
        <v>74</v>
      </c>
      <c r="E877" t="s">
        <v>74</v>
      </c>
      <c r="F877" t="s">
        <v>17029</v>
      </c>
      <c r="G877" t="s">
        <v>74</v>
      </c>
      <c r="H877" t="s">
        <v>74</v>
      </c>
      <c r="I877" t="s">
        <v>17030</v>
      </c>
      <c r="J877" t="s">
        <v>8360</v>
      </c>
      <c r="K877" t="s">
        <v>74</v>
      </c>
      <c r="L877" t="s">
        <v>74</v>
      </c>
      <c r="M877" t="s">
        <v>78</v>
      </c>
      <c r="N877" t="s">
        <v>79</v>
      </c>
      <c r="O877" t="s">
        <v>74</v>
      </c>
      <c r="P877" t="s">
        <v>74</v>
      </c>
      <c r="Q877" t="s">
        <v>74</v>
      </c>
      <c r="R877" t="s">
        <v>74</v>
      </c>
      <c r="S877" t="s">
        <v>74</v>
      </c>
      <c r="T877" t="s">
        <v>17031</v>
      </c>
      <c r="U877" t="s">
        <v>17032</v>
      </c>
      <c r="V877" t="s">
        <v>17033</v>
      </c>
      <c r="W877" t="s">
        <v>17034</v>
      </c>
      <c r="X877" t="s">
        <v>17035</v>
      </c>
      <c r="Y877" t="s">
        <v>17036</v>
      </c>
      <c r="Z877" t="s">
        <v>17037</v>
      </c>
      <c r="AA877" t="s">
        <v>17038</v>
      </c>
      <c r="AB877" t="s">
        <v>17039</v>
      </c>
      <c r="AC877" t="s">
        <v>17040</v>
      </c>
      <c r="AD877" t="s">
        <v>17041</v>
      </c>
      <c r="AE877" t="s">
        <v>17042</v>
      </c>
      <c r="AF877" t="s">
        <v>74</v>
      </c>
      <c r="AG877">
        <v>34</v>
      </c>
      <c r="AH877">
        <v>23</v>
      </c>
      <c r="AI877">
        <v>29</v>
      </c>
      <c r="AJ877">
        <v>0</v>
      </c>
      <c r="AK877">
        <v>13</v>
      </c>
      <c r="AL877" t="s">
        <v>271</v>
      </c>
      <c r="AM877" t="s">
        <v>272</v>
      </c>
      <c r="AN877" t="s">
        <v>273</v>
      </c>
      <c r="AO877" t="s">
        <v>8373</v>
      </c>
      <c r="AP877" t="s">
        <v>8374</v>
      </c>
      <c r="AQ877" t="s">
        <v>74</v>
      </c>
      <c r="AR877" t="s">
        <v>8375</v>
      </c>
      <c r="AS877" t="s">
        <v>8376</v>
      </c>
      <c r="AT877" t="s">
        <v>16784</v>
      </c>
      <c r="AU877">
        <v>2017</v>
      </c>
      <c r="AV877">
        <v>122</v>
      </c>
      <c r="AW877">
        <v>11</v>
      </c>
      <c r="AX877" t="s">
        <v>74</v>
      </c>
      <c r="AY877" t="s">
        <v>74</v>
      </c>
      <c r="AZ877" t="s">
        <v>74</v>
      </c>
      <c r="BA877" t="s">
        <v>74</v>
      </c>
      <c r="BB877">
        <v>8557</v>
      </c>
      <c r="BC877">
        <v>8566</v>
      </c>
      <c r="BD877" t="s">
        <v>74</v>
      </c>
      <c r="BE877" t="s">
        <v>17043</v>
      </c>
      <c r="BF877" t="str">
        <f>HYPERLINK("http://dx.doi.org/10.1002/2017JC012978","http://dx.doi.org/10.1002/2017JC012978")</f>
        <v>http://dx.doi.org/10.1002/2017JC012978</v>
      </c>
      <c r="BG877" t="s">
        <v>74</v>
      </c>
      <c r="BH877" t="s">
        <v>74</v>
      </c>
      <c r="BI877">
        <v>10</v>
      </c>
      <c r="BJ877" t="s">
        <v>1907</v>
      </c>
      <c r="BK877" t="s">
        <v>101</v>
      </c>
      <c r="BL877" t="s">
        <v>1907</v>
      </c>
      <c r="BM877" t="s">
        <v>17026</v>
      </c>
      <c r="BN877" t="s">
        <v>74</v>
      </c>
      <c r="BO877" t="s">
        <v>789</v>
      </c>
      <c r="BP877" t="s">
        <v>74</v>
      </c>
      <c r="BQ877" t="s">
        <v>74</v>
      </c>
      <c r="BR877" t="s">
        <v>105</v>
      </c>
      <c r="BS877" t="s">
        <v>17044</v>
      </c>
      <c r="BT877" t="str">
        <f>HYPERLINK("https%3A%2F%2Fwww.webofscience.com%2Fwos%2Fwoscc%2Ffull-record%2FWOS:000418089400013","View Full Record in Web of Science")</f>
        <v>View Full Record in Web of Science</v>
      </c>
    </row>
    <row r="878" spans="1:72" x14ac:dyDescent="0.15">
      <c r="A878" t="s">
        <v>72</v>
      </c>
      <c r="B878" t="s">
        <v>17045</v>
      </c>
      <c r="C878" t="s">
        <v>74</v>
      </c>
      <c r="D878" t="s">
        <v>74</v>
      </c>
      <c r="E878" t="s">
        <v>74</v>
      </c>
      <c r="F878" t="s">
        <v>17046</v>
      </c>
      <c r="G878" t="s">
        <v>74</v>
      </c>
      <c r="H878" t="s">
        <v>74</v>
      </c>
      <c r="I878" t="s">
        <v>17047</v>
      </c>
      <c r="J878" t="s">
        <v>8360</v>
      </c>
      <c r="K878" t="s">
        <v>74</v>
      </c>
      <c r="L878" t="s">
        <v>74</v>
      </c>
      <c r="M878" t="s">
        <v>78</v>
      </c>
      <c r="N878" t="s">
        <v>79</v>
      </c>
      <c r="O878" t="s">
        <v>74</v>
      </c>
      <c r="P878" t="s">
        <v>74</v>
      </c>
      <c r="Q878" t="s">
        <v>74</v>
      </c>
      <c r="R878" t="s">
        <v>74</v>
      </c>
      <c r="S878" t="s">
        <v>74</v>
      </c>
      <c r="T878" t="s">
        <v>17048</v>
      </c>
      <c r="U878" t="s">
        <v>17049</v>
      </c>
      <c r="V878" t="s">
        <v>17050</v>
      </c>
      <c r="W878" t="s">
        <v>17051</v>
      </c>
      <c r="X878" t="s">
        <v>17052</v>
      </c>
      <c r="Y878" t="s">
        <v>17053</v>
      </c>
      <c r="Z878" t="s">
        <v>17054</v>
      </c>
      <c r="AA878" t="s">
        <v>17055</v>
      </c>
      <c r="AB878" t="s">
        <v>17056</v>
      </c>
      <c r="AC878" t="s">
        <v>17057</v>
      </c>
      <c r="AD878" t="s">
        <v>17058</v>
      </c>
      <c r="AE878" t="s">
        <v>17059</v>
      </c>
      <c r="AF878" t="s">
        <v>74</v>
      </c>
      <c r="AG878">
        <v>134</v>
      </c>
      <c r="AH878">
        <v>5</v>
      </c>
      <c r="AI878">
        <v>8</v>
      </c>
      <c r="AJ878">
        <v>0</v>
      </c>
      <c r="AK878">
        <v>23</v>
      </c>
      <c r="AL878" t="s">
        <v>271</v>
      </c>
      <c r="AM878" t="s">
        <v>272</v>
      </c>
      <c r="AN878" t="s">
        <v>273</v>
      </c>
      <c r="AO878" t="s">
        <v>8373</v>
      </c>
      <c r="AP878" t="s">
        <v>8374</v>
      </c>
      <c r="AQ878" t="s">
        <v>74</v>
      </c>
      <c r="AR878" t="s">
        <v>8375</v>
      </c>
      <c r="AS878" t="s">
        <v>8376</v>
      </c>
      <c r="AT878" t="s">
        <v>16784</v>
      </c>
      <c r="AU878">
        <v>2017</v>
      </c>
      <c r="AV878">
        <v>122</v>
      </c>
      <c r="AW878">
        <v>11</v>
      </c>
      <c r="AX878" t="s">
        <v>74</v>
      </c>
      <c r="AY878" t="s">
        <v>74</v>
      </c>
      <c r="AZ878" t="s">
        <v>74</v>
      </c>
      <c r="BA878" t="s">
        <v>74</v>
      </c>
      <c r="BB878">
        <v>8567</v>
      </c>
      <c r="BC878">
        <v>8592</v>
      </c>
      <c r="BD878" t="s">
        <v>74</v>
      </c>
      <c r="BE878" t="s">
        <v>17060</v>
      </c>
      <c r="BF878" t="str">
        <f>HYPERLINK("http://dx.doi.org/10.1002/2017JC013299","http://dx.doi.org/10.1002/2017JC013299")</f>
        <v>http://dx.doi.org/10.1002/2017JC013299</v>
      </c>
      <c r="BG878" t="s">
        <v>74</v>
      </c>
      <c r="BH878" t="s">
        <v>74</v>
      </c>
      <c r="BI878">
        <v>26</v>
      </c>
      <c r="BJ878" t="s">
        <v>1907</v>
      </c>
      <c r="BK878" t="s">
        <v>101</v>
      </c>
      <c r="BL878" t="s">
        <v>1907</v>
      </c>
      <c r="BM878" t="s">
        <v>17026</v>
      </c>
      <c r="BN878" t="s">
        <v>74</v>
      </c>
      <c r="BO878" t="s">
        <v>74</v>
      </c>
      <c r="BP878" t="s">
        <v>74</v>
      </c>
      <c r="BQ878" t="s">
        <v>74</v>
      </c>
      <c r="BR878" t="s">
        <v>105</v>
      </c>
      <c r="BS878" t="s">
        <v>17061</v>
      </c>
      <c r="BT878" t="str">
        <f>HYPERLINK("https%3A%2F%2Fwww.webofscience.com%2Fwos%2Fwoscc%2Ffull-record%2FWOS:000418089400014","View Full Record in Web of Science")</f>
        <v>View Full Record in Web of Science</v>
      </c>
    </row>
    <row r="879" spans="1:72" x14ac:dyDescent="0.15">
      <c r="A879" t="s">
        <v>72</v>
      </c>
      <c r="B879" t="s">
        <v>17062</v>
      </c>
      <c r="C879" t="s">
        <v>74</v>
      </c>
      <c r="D879" t="s">
        <v>74</v>
      </c>
      <c r="E879" t="s">
        <v>74</v>
      </c>
      <c r="F879" t="s">
        <v>17063</v>
      </c>
      <c r="G879" t="s">
        <v>74</v>
      </c>
      <c r="H879" t="s">
        <v>74</v>
      </c>
      <c r="I879" t="s">
        <v>17064</v>
      </c>
      <c r="J879" t="s">
        <v>13247</v>
      </c>
      <c r="K879" t="s">
        <v>74</v>
      </c>
      <c r="L879" t="s">
        <v>74</v>
      </c>
      <c r="M879" t="s">
        <v>78</v>
      </c>
      <c r="N879" t="s">
        <v>79</v>
      </c>
      <c r="O879" t="s">
        <v>74</v>
      </c>
      <c r="P879" t="s">
        <v>74</v>
      </c>
      <c r="Q879" t="s">
        <v>74</v>
      </c>
      <c r="R879" t="s">
        <v>74</v>
      </c>
      <c r="S879" t="s">
        <v>74</v>
      </c>
      <c r="T879" t="s">
        <v>74</v>
      </c>
      <c r="U879" t="s">
        <v>17065</v>
      </c>
      <c r="V879" t="s">
        <v>17066</v>
      </c>
      <c r="W879" t="s">
        <v>17067</v>
      </c>
      <c r="X879" t="s">
        <v>17068</v>
      </c>
      <c r="Y879" t="s">
        <v>17069</v>
      </c>
      <c r="Z879" t="s">
        <v>17070</v>
      </c>
      <c r="AA879" t="s">
        <v>74</v>
      </c>
      <c r="AB879" t="s">
        <v>74</v>
      </c>
      <c r="AC879" t="s">
        <v>17071</v>
      </c>
      <c r="AD879" t="s">
        <v>7905</v>
      </c>
      <c r="AE879" t="s">
        <v>17072</v>
      </c>
      <c r="AF879" t="s">
        <v>74</v>
      </c>
      <c r="AG879">
        <v>95</v>
      </c>
      <c r="AH879">
        <v>31</v>
      </c>
      <c r="AI879">
        <v>35</v>
      </c>
      <c r="AJ879">
        <v>1</v>
      </c>
      <c r="AK879">
        <v>29</v>
      </c>
      <c r="AL879" t="s">
        <v>4022</v>
      </c>
      <c r="AM879" t="s">
        <v>4023</v>
      </c>
      <c r="AN879" t="s">
        <v>4024</v>
      </c>
      <c r="AO879" t="s">
        <v>13258</v>
      </c>
      <c r="AP879" t="s">
        <v>13259</v>
      </c>
      <c r="AQ879" t="s">
        <v>74</v>
      </c>
      <c r="AR879" t="s">
        <v>13260</v>
      </c>
      <c r="AS879" t="s">
        <v>13261</v>
      </c>
      <c r="AT879" t="s">
        <v>16784</v>
      </c>
      <c r="AU879">
        <v>2017</v>
      </c>
      <c r="AV879">
        <v>47</v>
      </c>
      <c r="AW879">
        <v>11</v>
      </c>
      <c r="AX879" t="s">
        <v>74</v>
      </c>
      <c r="AY879" t="s">
        <v>74</v>
      </c>
      <c r="AZ879" t="s">
        <v>74</v>
      </c>
      <c r="BA879" t="s">
        <v>74</v>
      </c>
      <c r="BB879">
        <v>2673</v>
      </c>
      <c r="BC879">
        <v>2689</v>
      </c>
      <c r="BD879" t="s">
        <v>74</v>
      </c>
      <c r="BE879" t="s">
        <v>17073</v>
      </c>
      <c r="BF879" t="str">
        <f>HYPERLINK("http://dx.doi.org/10.1175/JPO-D-16-0142.1","http://dx.doi.org/10.1175/JPO-D-16-0142.1")</f>
        <v>http://dx.doi.org/10.1175/JPO-D-16-0142.1</v>
      </c>
      <c r="BG879" t="s">
        <v>74</v>
      </c>
      <c r="BH879" t="s">
        <v>74</v>
      </c>
      <c r="BI879">
        <v>17</v>
      </c>
      <c r="BJ879" t="s">
        <v>1907</v>
      </c>
      <c r="BK879" t="s">
        <v>101</v>
      </c>
      <c r="BL879" t="s">
        <v>1907</v>
      </c>
      <c r="BM879" t="s">
        <v>17074</v>
      </c>
      <c r="BN879" t="s">
        <v>74</v>
      </c>
      <c r="BO879" t="s">
        <v>74</v>
      </c>
      <c r="BP879" t="s">
        <v>74</v>
      </c>
      <c r="BQ879" t="s">
        <v>74</v>
      </c>
      <c r="BR879" t="s">
        <v>105</v>
      </c>
      <c r="BS879" t="s">
        <v>17075</v>
      </c>
      <c r="BT879" t="str">
        <f>HYPERLINK("https%3A%2F%2Fwww.webofscience.com%2Fwos%2Fwoscc%2Ffull-record%2FWOS:000417674100002","View Full Record in Web of Science")</f>
        <v>View Full Record in Web of Science</v>
      </c>
    </row>
    <row r="880" spans="1:72" x14ac:dyDescent="0.15">
      <c r="A880" t="s">
        <v>72</v>
      </c>
      <c r="B880" t="s">
        <v>17076</v>
      </c>
      <c r="C880" t="s">
        <v>74</v>
      </c>
      <c r="D880" t="s">
        <v>74</v>
      </c>
      <c r="E880" t="s">
        <v>74</v>
      </c>
      <c r="F880" t="s">
        <v>17077</v>
      </c>
      <c r="G880" t="s">
        <v>74</v>
      </c>
      <c r="H880" t="s">
        <v>74</v>
      </c>
      <c r="I880" t="s">
        <v>17078</v>
      </c>
      <c r="J880" t="s">
        <v>13247</v>
      </c>
      <c r="K880" t="s">
        <v>74</v>
      </c>
      <c r="L880" t="s">
        <v>74</v>
      </c>
      <c r="M880" t="s">
        <v>78</v>
      </c>
      <c r="N880" t="s">
        <v>79</v>
      </c>
      <c r="O880" t="s">
        <v>74</v>
      </c>
      <c r="P880" t="s">
        <v>74</v>
      </c>
      <c r="Q880" t="s">
        <v>74</v>
      </c>
      <c r="R880" t="s">
        <v>74</v>
      </c>
      <c r="S880" t="s">
        <v>74</v>
      </c>
      <c r="T880" t="s">
        <v>74</v>
      </c>
      <c r="U880" t="s">
        <v>17079</v>
      </c>
      <c r="V880" t="s">
        <v>17080</v>
      </c>
      <c r="W880" t="s">
        <v>17081</v>
      </c>
      <c r="X880" t="s">
        <v>17082</v>
      </c>
      <c r="Y880" t="s">
        <v>17083</v>
      </c>
      <c r="Z880" t="s">
        <v>17084</v>
      </c>
      <c r="AA880" t="s">
        <v>74</v>
      </c>
      <c r="AB880" t="s">
        <v>17085</v>
      </c>
      <c r="AC880" t="s">
        <v>17086</v>
      </c>
      <c r="AD880" t="s">
        <v>17087</v>
      </c>
      <c r="AE880" t="s">
        <v>17088</v>
      </c>
      <c r="AF880" t="s">
        <v>74</v>
      </c>
      <c r="AG880">
        <v>48</v>
      </c>
      <c r="AH880">
        <v>15</v>
      </c>
      <c r="AI880">
        <v>17</v>
      </c>
      <c r="AJ880">
        <v>0</v>
      </c>
      <c r="AK880">
        <v>3</v>
      </c>
      <c r="AL880" t="s">
        <v>4022</v>
      </c>
      <c r="AM880" t="s">
        <v>4023</v>
      </c>
      <c r="AN880" t="s">
        <v>12592</v>
      </c>
      <c r="AO880" t="s">
        <v>13258</v>
      </c>
      <c r="AP880" t="s">
        <v>13259</v>
      </c>
      <c r="AQ880" t="s">
        <v>74</v>
      </c>
      <c r="AR880" t="s">
        <v>13260</v>
      </c>
      <c r="AS880" t="s">
        <v>13261</v>
      </c>
      <c r="AT880" t="s">
        <v>16784</v>
      </c>
      <c r="AU880">
        <v>2017</v>
      </c>
      <c r="AV880">
        <v>47</v>
      </c>
      <c r="AW880">
        <v>11</v>
      </c>
      <c r="AX880" t="s">
        <v>74</v>
      </c>
      <c r="AY880" t="s">
        <v>74</v>
      </c>
      <c r="AZ880" t="s">
        <v>74</v>
      </c>
      <c r="BA880" t="s">
        <v>74</v>
      </c>
      <c r="BB880">
        <v>2755</v>
      </c>
      <c r="BC880">
        <v>2772</v>
      </c>
      <c r="BD880" t="s">
        <v>74</v>
      </c>
      <c r="BE880" t="s">
        <v>17089</v>
      </c>
      <c r="BF880" t="str">
        <f>HYPERLINK("http://dx.doi.org/10.1175/JPO-D-17-0006.1","http://dx.doi.org/10.1175/JPO-D-17-0006.1")</f>
        <v>http://dx.doi.org/10.1175/JPO-D-17-0006.1</v>
      </c>
      <c r="BG880" t="s">
        <v>74</v>
      </c>
      <c r="BH880" t="s">
        <v>74</v>
      </c>
      <c r="BI880">
        <v>18</v>
      </c>
      <c r="BJ880" t="s">
        <v>1907</v>
      </c>
      <c r="BK880" t="s">
        <v>101</v>
      </c>
      <c r="BL880" t="s">
        <v>1907</v>
      </c>
      <c r="BM880" t="s">
        <v>17074</v>
      </c>
      <c r="BN880" t="s">
        <v>74</v>
      </c>
      <c r="BO880" t="s">
        <v>1150</v>
      </c>
      <c r="BP880" t="s">
        <v>74</v>
      </c>
      <c r="BQ880" t="s">
        <v>74</v>
      </c>
      <c r="BR880" t="s">
        <v>105</v>
      </c>
      <c r="BS880" t="s">
        <v>17090</v>
      </c>
      <c r="BT880" t="str">
        <f>HYPERLINK("https%3A%2F%2Fwww.webofscience.com%2Fwos%2Fwoscc%2Ffull-record%2FWOS:000417674100007","View Full Record in Web of Science")</f>
        <v>View Full Record in Web of Science</v>
      </c>
    </row>
    <row r="881" spans="1:72" x14ac:dyDescent="0.15">
      <c r="A881" t="s">
        <v>72</v>
      </c>
      <c r="B881" t="s">
        <v>17091</v>
      </c>
      <c r="C881" t="s">
        <v>74</v>
      </c>
      <c r="D881" t="s">
        <v>74</v>
      </c>
      <c r="E881" t="s">
        <v>74</v>
      </c>
      <c r="F881" t="s">
        <v>17092</v>
      </c>
      <c r="G881" t="s">
        <v>74</v>
      </c>
      <c r="H881" t="s">
        <v>74</v>
      </c>
      <c r="I881" t="s">
        <v>17093</v>
      </c>
      <c r="J881" t="s">
        <v>8559</v>
      </c>
      <c r="K881" t="s">
        <v>74</v>
      </c>
      <c r="L881" t="s">
        <v>74</v>
      </c>
      <c r="M881" t="s">
        <v>78</v>
      </c>
      <c r="N881" t="s">
        <v>79</v>
      </c>
      <c r="O881" t="s">
        <v>74</v>
      </c>
      <c r="P881" t="s">
        <v>74</v>
      </c>
      <c r="Q881" t="s">
        <v>74</v>
      </c>
      <c r="R881" t="s">
        <v>74</v>
      </c>
      <c r="S881" t="s">
        <v>74</v>
      </c>
      <c r="T881" t="s">
        <v>17094</v>
      </c>
      <c r="U881" t="s">
        <v>17095</v>
      </c>
      <c r="V881" t="s">
        <v>17096</v>
      </c>
      <c r="W881" t="s">
        <v>17097</v>
      </c>
      <c r="X881" t="s">
        <v>17098</v>
      </c>
      <c r="Y881" t="s">
        <v>17099</v>
      </c>
      <c r="Z881" t="s">
        <v>17100</v>
      </c>
      <c r="AA881" t="s">
        <v>15084</v>
      </c>
      <c r="AB881" t="s">
        <v>17101</v>
      </c>
      <c r="AC881" t="s">
        <v>17102</v>
      </c>
      <c r="AD881" t="s">
        <v>17103</v>
      </c>
      <c r="AE881" t="s">
        <v>17104</v>
      </c>
      <c r="AF881" t="s">
        <v>74</v>
      </c>
      <c r="AG881">
        <v>49</v>
      </c>
      <c r="AH881">
        <v>42</v>
      </c>
      <c r="AI881">
        <v>44</v>
      </c>
      <c r="AJ881">
        <v>0</v>
      </c>
      <c r="AK881">
        <v>21</v>
      </c>
      <c r="AL881" t="s">
        <v>271</v>
      </c>
      <c r="AM881" t="s">
        <v>272</v>
      </c>
      <c r="AN881" t="s">
        <v>273</v>
      </c>
      <c r="AO881" t="s">
        <v>8572</v>
      </c>
      <c r="AP881" t="s">
        <v>74</v>
      </c>
      <c r="AQ881" t="s">
        <v>74</v>
      </c>
      <c r="AR881" t="s">
        <v>8573</v>
      </c>
      <c r="AS881" t="s">
        <v>8574</v>
      </c>
      <c r="AT881" t="s">
        <v>16784</v>
      </c>
      <c r="AU881">
        <v>2017</v>
      </c>
      <c r="AV881">
        <v>15</v>
      </c>
      <c r="AW881">
        <v>11</v>
      </c>
      <c r="AX881" t="s">
        <v>74</v>
      </c>
      <c r="AY881" t="s">
        <v>74</v>
      </c>
      <c r="AZ881" t="s">
        <v>74</v>
      </c>
      <c r="BA881" t="s">
        <v>74</v>
      </c>
      <c r="BB881">
        <v>1447</v>
      </c>
      <c r="BC881">
        <v>1460</v>
      </c>
      <c r="BD881" t="s">
        <v>74</v>
      </c>
      <c r="BE881" t="s">
        <v>17105</v>
      </c>
      <c r="BF881" t="str">
        <f>HYPERLINK("http://dx.doi.org/10.1002/2017SW001691","http://dx.doi.org/10.1002/2017SW001691")</f>
        <v>http://dx.doi.org/10.1002/2017SW001691</v>
      </c>
      <c r="BG881" t="s">
        <v>74</v>
      </c>
      <c r="BH881" t="s">
        <v>74</v>
      </c>
      <c r="BI881">
        <v>14</v>
      </c>
      <c r="BJ881" t="s">
        <v>8576</v>
      </c>
      <c r="BK881" t="s">
        <v>101</v>
      </c>
      <c r="BL881" t="s">
        <v>8576</v>
      </c>
      <c r="BM881" t="s">
        <v>17106</v>
      </c>
      <c r="BN881" t="s">
        <v>74</v>
      </c>
      <c r="BO881" t="s">
        <v>4280</v>
      </c>
      <c r="BP881" t="s">
        <v>74</v>
      </c>
      <c r="BQ881" t="s">
        <v>74</v>
      </c>
      <c r="BR881" t="s">
        <v>105</v>
      </c>
      <c r="BS881" t="s">
        <v>17107</v>
      </c>
      <c r="BT881" t="str">
        <f>HYPERLINK("https%3A%2F%2Fwww.webofscience.com%2Fwos%2Fwoscc%2Ffull-record%2FWOS:000417919300004","View Full Record in Web of Science")</f>
        <v>View Full Record in Web of Science</v>
      </c>
    </row>
    <row r="882" spans="1:72" x14ac:dyDescent="0.15">
      <c r="A882" t="s">
        <v>72</v>
      </c>
      <c r="B882" t="s">
        <v>17108</v>
      </c>
      <c r="C882" t="s">
        <v>74</v>
      </c>
      <c r="D882" t="s">
        <v>74</v>
      </c>
      <c r="E882" t="s">
        <v>74</v>
      </c>
      <c r="F882" t="s">
        <v>17109</v>
      </c>
      <c r="G882" t="s">
        <v>74</v>
      </c>
      <c r="H882" t="s">
        <v>74</v>
      </c>
      <c r="I882" t="s">
        <v>17110</v>
      </c>
      <c r="J882" t="s">
        <v>17111</v>
      </c>
      <c r="K882" t="s">
        <v>74</v>
      </c>
      <c r="L882" t="s">
        <v>74</v>
      </c>
      <c r="M882" t="s">
        <v>78</v>
      </c>
      <c r="N882" t="s">
        <v>79</v>
      </c>
      <c r="O882" t="s">
        <v>74</v>
      </c>
      <c r="P882" t="s">
        <v>74</v>
      </c>
      <c r="Q882" t="s">
        <v>74</v>
      </c>
      <c r="R882" t="s">
        <v>74</v>
      </c>
      <c r="S882" t="s">
        <v>74</v>
      </c>
      <c r="T882" t="s">
        <v>17112</v>
      </c>
      <c r="U882" t="s">
        <v>17113</v>
      </c>
      <c r="V882" t="s">
        <v>17114</v>
      </c>
      <c r="W882" t="s">
        <v>17115</v>
      </c>
      <c r="X882" t="s">
        <v>17116</v>
      </c>
      <c r="Y882" t="s">
        <v>17117</v>
      </c>
      <c r="Z882" t="s">
        <v>17118</v>
      </c>
      <c r="AA882" t="s">
        <v>17119</v>
      </c>
      <c r="AB882" t="s">
        <v>17120</v>
      </c>
      <c r="AC882" t="s">
        <v>17121</v>
      </c>
      <c r="AD882" t="s">
        <v>17122</v>
      </c>
      <c r="AE882" t="s">
        <v>17123</v>
      </c>
      <c r="AF882" t="s">
        <v>74</v>
      </c>
      <c r="AG882">
        <v>81</v>
      </c>
      <c r="AH882">
        <v>16</v>
      </c>
      <c r="AI882">
        <v>18</v>
      </c>
      <c r="AJ882">
        <v>8</v>
      </c>
      <c r="AK882">
        <v>79</v>
      </c>
      <c r="AL882" t="s">
        <v>4270</v>
      </c>
      <c r="AM882" t="s">
        <v>4271</v>
      </c>
      <c r="AN882" t="s">
        <v>4272</v>
      </c>
      <c r="AO882" t="s">
        <v>17124</v>
      </c>
      <c r="AP882" t="s">
        <v>74</v>
      </c>
      <c r="AQ882" t="s">
        <v>74</v>
      </c>
      <c r="AR882" t="s">
        <v>17111</v>
      </c>
      <c r="AS882" t="s">
        <v>17125</v>
      </c>
      <c r="AT882" t="s">
        <v>16784</v>
      </c>
      <c r="AU882">
        <v>2017</v>
      </c>
      <c r="AV882">
        <v>8</v>
      </c>
      <c r="AW882">
        <v>11</v>
      </c>
      <c r="AX882" t="s">
        <v>74</v>
      </c>
      <c r="AY882" t="s">
        <v>74</v>
      </c>
      <c r="AZ882" t="s">
        <v>74</v>
      </c>
      <c r="BA882" t="s">
        <v>74</v>
      </c>
      <c r="BB882" t="s">
        <v>74</v>
      </c>
      <c r="BC882" t="s">
        <v>74</v>
      </c>
      <c r="BD882" t="s">
        <v>17126</v>
      </c>
      <c r="BE882" t="s">
        <v>17127</v>
      </c>
      <c r="BF882" t="str">
        <f>HYPERLINK("http://dx.doi.org/10.1002/ecs2.2014","http://dx.doi.org/10.1002/ecs2.2014")</f>
        <v>http://dx.doi.org/10.1002/ecs2.2014</v>
      </c>
      <c r="BG882" t="s">
        <v>74</v>
      </c>
      <c r="BH882" t="s">
        <v>74</v>
      </c>
      <c r="BI882">
        <v>30</v>
      </c>
      <c r="BJ882" t="s">
        <v>5502</v>
      </c>
      <c r="BK882" t="s">
        <v>101</v>
      </c>
      <c r="BL882" t="s">
        <v>1120</v>
      </c>
      <c r="BM882" t="s">
        <v>17128</v>
      </c>
      <c r="BN882" t="s">
        <v>74</v>
      </c>
      <c r="BO882" t="s">
        <v>160</v>
      </c>
      <c r="BP882" t="s">
        <v>74</v>
      </c>
      <c r="BQ882" t="s">
        <v>74</v>
      </c>
      <c r="BR882" t="s">
        <v>105</v>
      </c>
      <c r="BS882" t="s">
        <v>17129</v>
      </c>
      <c r="BT882" t="str">
        <f>HYPERLINK("https%3A%2F%2Fwww.webofscience.com%2Fwos%2Fwoscc%2Ffull-record%2FWOS:000417330000025","View Full Record in Web of Science")</f>
        <v>View Full Record in Web of Science</v>
      </c>
    </row>
    <row r="883" spans="1:72" x14ac:dyDescent="0.15">
      <c r="A883" t="s">
        <v>72</v>
      </c>
      <c r="B883" t="s">
        <v>17130</v>
      </c>
      <c r="C883" t="s">
        <v>74</v>
      </c>
      <c r="D883" t="s">
        <v>74</v>
      </c>
      <c r="E883" t="s">
        <v>74</v>
      </c>
      <c r="F883" t="s">
        <v>17131</v>
      </c>
      <c r="G883" t="s">
        <v>74</v>
      </c>
      <c r="H883" t="s">
        <v>74</v>
      </c>
      <c r="I883" t="s">
        <v>17132</v>
      </c>
      <c r="J883" t="s">
        <v>17133</v>
      </c>
      <c r="K883" t="s">
        <v>74</v>
      </c>
      <c r="L883" t="s">
        <v>74</v>
      </c>
      <c r="M883" t="s">
        <v>78</v>
      </c>
      <c r="N883" t="s">
        <v>79</v>
      </c>
      <c r="O883" t="s">
        <v>74</v>
      </c>
      <c r="P883" t="s">
        <v>74</v>
      </c>
      <c r="Q883" t="s">
        <v>74</v>
      </c>
      <c r="R883" t="s">
        <v>74</v>
      </c>
      <c r="S883" t="s">
        <v>74</v>
      </c>
      <c r="T883" t="s">
        <v>17134</v>
      </c>
      <c r="U883" t="s">
        <v>17135</v>
      </c>
      <c r="V883" t="s">
        <v>17136</v>
      </c>
      <c r="W883" t="s">
        <v>17137</v>
      </c>
      <c r="X883" t="s">
        <v>17138</v>
      </c>
      <c r="Y883" t="s">
        <v>17139</v>
      </c>
      <c r="Z883" t="s">
        <v>17140</v>
      </c>
      <c r="AA883" t="s">
        <v>17141</v>
      </c>
      <c r="AB883" t="s">
        <v>17142</v>
      </c>
      <c r="AC883" t="s">
        <v>74</v>
      </c>
      <c r="AD883" t="s">
        <v>74</v>
      </c>
      <c r="AE883" t="s">
        <v>74</v>
      </c>
      <c r="AF883" t="s">
        <v>74</v>
      </c>
      <c r="AG883">
        <v>30</v>
      </c>
      <c r="AH883">
        <v>26</v>
      </c>
      <c r="AI883">
        <v>35</v>
      </c>
      <c r="AJ883">
        <v>0</v>
      </c>
      <c r="AK883">
        <v>8</v>
      </c>
      <c r="AL883" t="s">
        <v>807</v>
      </c>
      <c r="AM883" t="s">
        <v>808</v>
      </c>
      <c r="AN883" t="s">
        <v>809</v>
      </c>
      <c r="AO883" t="s">
        <v>17143</v>
      </c>
      <c r="AP883" t="s">
        <v>17144</v>
      </c>
      <c r="AQ883" t="s">
        <v>74</v>
      </c>
      <c r="AR883" t="s">
        <v>17145</v>
      </c>
      <c r="AS883" t="s">
        <v>17146</v>
      </c>
      <c r="AT883" t="s">
        <v>16784</v>
      </c>
      <c r="AU883">
        <v>2017</v>
      </c>
      <c r="AV883">
        <v>422</v>
      </c>
      <c r="AW883" t="s">
        <v>74</v>
      </c>
      <c r="AX883" t="s">
        <v>74</v>
      </c>
      <c r="AY883" t="s">
        <v>74</v>
      </c>
      <c r="AZ883" t="s">
        <v>74</v>
      </c>
      <c r="BA883" t="s">
        <v>74</v>
      </c>
      <c r="BB883">
        <v>148</v>
      </c>
      <c r="BC883">
        <v>153</v>
      </c>
      <c r="BD883" t="s">
        <v>74</v>
      </c>
      <c r="BE883" t="s">
        <v>17147</v>
      </c>
      <c r="BF883" t="str">
        <f>HYPERLINK("http://dx.doi.org/10.1016/j.ijms.2016.12.008","http://dx.doi.org/10.1016/j.ijms.2016.12.008")</f>
        <v>http://dx.doi.org/10.1016/j.ijms.2016.12.008</v>
      </c>
      <c r="BG883" t="s">
        <v>74</v>
      </c>
      <c r="BH883" t="s">
        <v>74</v>
      </c>
      <c r="BI883">
        <v>6</v>
      </c>
      <c r="BJ883" t="s">
        <v>17148</v>
      </c>
      <c r="BK883" t="s">
        <v>101</v>
      </c>
      <c r="BL883" t="s">
        <v>17149</v>
      </c>
      <c r="BM883" t="s">
        <v>17150</v>
      </c>
      <c r="BN883" t="s">
        <v>74</v>
      </c>
      <c r="BO883" t="s">
        <v>74</v>
      </c>
      <c r="BP883" t="s">
        <v>74</v>
      </c>
      <c r="BQ883" t="s">
        <v>74</v>
      </c>
      <c r="BR883" t="s">
        <v>105</v>
      </c>
      <c r="BS883" t="s">
        <v>17151</v>
      </c>
      <c r="BT883" t="str">
        <f>HYPERLINK("https%3A%2F%2Fwww.webofscience.com%2Fwos%2Fwoscc%2Ffull-record%2FWOS:000417002300020","View Full Record in Web of Science")</f>
        <v>View Full Record in Web of Science</v>
      </c>
    </row>
    <row r="884" spans="1:72" x14ac:dyDescent="0.15">
      <c r="A884" t="s">
        <v>72</v>
      </c>
      <c r="B884" t="s">
        <v>17152</v>
      </c>
      <c r="C884" t="s">
        <v>74</v>
      </c>
      <c r="D884" t="s">
        <v>74</v>
      </c>
      <c r="E884" t="s">
        <v>74</v>
      </c>
      <c r="F884" t="s">
        <v>17153</v>
      </c>
      <c r="G884" t="s">
        <v>74</v>
      </c>
      <c r="H884" t="s">
        <v>74</v>
      </c>
      <c r="I884" t="s">
        <v>17154</v>
      </c>
      <c r="J884" t="s">
        <v>17155</v>
      </c>
      <c r="K884" t="s">
        <v>74</v>
      </c>
      <c r="L884" t="s">
        <v>74</v>
      </c>
      <c r="M884" t="s">
        <v>78</v>
      </c>
      <c r="N884" t="s">
        <v>79</v>
      </c>
      <c r="O884" t="s">
        <v>74</v>
      </c>
      <c r="P884" t="s">
        <v>74</v>
      </c>
      <c r="Q884" t="s">
        <v>74</v>
      </c>
      <c r="R884" t="s">
        <v>74</v>
      </c>
      <c r="S884" t="s">
        <v>74</v>
      </c>
      <c r="T884" t="s">
        <v>17156</v>
      </c>
      <c r="U884" t="s">
        <v>17157</v>
      </c>
      <c r="V884" t="s">
        <v>17158</v>
      </c>
      <c r="W884" t="s">
        <v>17159</v>
      </c>
      <c r="X884" t="s">
        <v>11364</v>
      </c>
      <c r="Y884" t="s">
        <v>17160</v>
      </c>
      <c r="Z884" t="s">
        <v>17161</v>
      </c>
      <c r="AA884" t="s">
        <v>74</v>
      </c>
      <c r="AB884" t="s">
        <v>17162</v>
      </c>
      <c r="AC884" t="s">
        <v>17163</v>
      </c>
      <c r="AD884" t="s">
        <v>17164</v>
      </c>
      <c r="AE884" t="s">
        <v>17165</v>
      </c>
      <c r="AF884" t="s">
        <v>74</v>
      </c>
      <c r="AG884">
        <v>34</v>
      </c>
      <c r="AH884">
        <v>6</v>
      </c>
      <c r="AI884">
        <v>7</v>
      </c>
      <c r="AJ884">
        <v>4</v>
      </c>
      <c r="AK884">
        <v>22</v>
      </c>
      <c r="AL884" t="s">
        <v>2462</v>
      </c>
      <c r="AM884" t="s">
        <v>2463</v>
      </c>
      <c r="AN884" t="s">
        <v>2464</v>
      </c>
      <c r="AO884" t="s">
        <v>74</v>
      </c>
      <c r="AP884" t="s">
        <v>17166</v>
      </c>
      <c r="AQ884" t="s">
        <v>74</v>
      </c>
      <c r="AR884" t="s">
        <v>17167</v>
      </c>
      <c r="AS884" t="s">
        <v>17168</v>
      </c>
      <c r="AT884" t="s">
        <v>16784</v>
      </c>
      <c r="AU884">
        <v>2017</v>
      </c>
      <c r="AV884">
        <v>8</v>
      </c>
      <c r="AW884">
        <v>11</v>
      </c>
      <c r="AX884" t="s">
        <v>74</v>
      </c>
      <c r="AY884" t="s">
        <v>74</v>
      </c>
      <c r="AZ884" t="s">
        <v>74</v>
      </c>
      <c r="BA884" t="s">
        <v>74</v>
      </c>
      <c r="BB884" t="s">
        <v>74</v>
      </c>
      <c r="BC884" t="s">
        <v>74</v>
      </c>
      <c r="BD884">
        <v>216</v>
      </c>
      <c r="BE884" t="s">
        <v>17169</v>
      </c>
      <c r="BF884" t="str">
        <f>HYPERLINK("http://dx.doi.org/10.3390/atmos8110216","http://dx.doi.org/10.3390/atmos8110216")</f>
        <v>http://dx.doi.org/10.3390/atmos8110216</v>
      </c>
      <c r="BG884" t="s">
        <v>74</v>
      </c>
      <c r="BH884" t="s">
        <v>74</v>
      </c>
      <c r="BI884">
        <v>15</v>
      </c>
      <c r="BJ884" t="s">
        <v>183</v>
      </c>
      <c r="BK884" t="s">
        <v>101</v>
      </c>
      <c r="BL884" t="s">
        <v>184</v>
      </c>
      <c r="BM884" t="s">
        <v>17170</v>
      </c>
      <c r="BN884" t="s">
        <v>74</v>
      </c>
      <c r="BO884" t="s">
        <v>236</v>
      </c>
      <c r="BP884" t="s">
        <v>74</v>
      </c>
      <c r="BQ884" t="s">
        <v>74</v>
      </c>
      <c r="BR884" t="s">
        <v>105</v>
      </c>
      <c r="BS884" t="s">
        <v>17171</v>
      </c>
      <c r="BT884" t="str">
        <f>HYPERLINK("https%3A%2F%2Fwww.webofscience.com%2Fwos%2Fwoscc%2Ffull-record%2FWOS:000416602500010","View Full Record in Web of Science")</f>
        <v>View Full Record in Web of Science</v>
      </c>
    </row>
    <row r="885" spans="1:72" x14ac:dyDescent="0.15">
      <c r="A885" t="s">
        <v>72</v>
      </c>
      <c r="B885" t="s">
        <v>17172</v>
      </c>
      <c r="C885" t="s">
        <v>74</v>
      </c>
      <c r="D885" t="s">
        <v>74</v>
      </c>
      <c r="E885" t="s">
        <v>74</v>
      </c>
      <c r="F885" t="s">
        <v>17173</v>
      </c>
      <c r="G885" t="s">
        <v>74</v>
      </c>
      <c r="H885" t="s">
        <v>74</v>
      </c>
      <c r="I885" t="s">
        <v>17174</v>
      </c>
      <c r="J885" t="s">
        <v>9463</v>
      </c>
      <c r="K885" t="s">
        <v>74</v>
      </c>
      <c r="L885" t="s">
        <v>74</v>
      </c>
      <c r="M885" t="s">
        <v>78</v>
      </c>
      <c r="N885" t="s">
        <v>79</v>
      </c>
      <c r="O885" t="s">
        <v>74</v>
      </c>
      <c r="P885" t="s">
        <v>74</v>
      </c>
      <c r="Q885" t="s">
        <v>74</v>
      </c>
      <c r="R885" t="s">
        <v>74</v>
      </c>
      <c r="S885" t="s">
        <v>74</v>
      </c>
      <c r="T885" t="s">
        <v>17175</v>
      </c>
      <c r="U885" t="s">
        <v>17176</v>
      </c>
      <c r="V885" t="s">
        <v>17177</v>
      </c>
      <c r="W885" t="s">
        <v>17178</v>
      </c>
      <c r="X885" t="s">
        <v>17179</v>
      </c>
      <c r="Y885" t="s">
        <v>17180</v>
      </c>
      <c r="Z885" t="s">
        <v>17181</v>
      </c>
      <c r="AA885" t="s">
        <v>17182</v>
      </c>
      <c r="AB885" t="s">
        <v>17183</v>
      </c>
      <c r="AC885" t="s">
        <v>17184</v>
      </c>
      <c r="AD885" t="s">
        <v>17185</v>
      </c>
      <c r="AE885" t="s">
        <v>17186</v>
      </c>
      <c r="AF885" t="s">
        <v>74</v>
      </c>
      <c r="AG885">
        <v>55</v>
      </c>
      <c r="AH885">
        <v>3</v>
      </c>
      <c r="AI885">
        <v>3</v>
      </c>
      <c r="AJ885">
        <v>1</v>
      </c>
      <c r="AK885">
        <v>1</v>
      </c>
      <c r="AL885" t="s">
        <v>4270</v>
      </c>
      <c r="AM885" t="s">
        <v>4271</v>
      </c>
      <c r="AN885" t="s">
        <v>4272</v>
      </c>
      <c r="AO885" t="s">
        <v>9476</v>
      </c>
      <c r="AP885" t="s">
        <v>74</v>
      </c>
      <c r="AQ885" t="s">
        <v>74</v>
      </c>
      <c r="AR885" t="s">
        <v>9477</v>
      </c>
      <c r="AS885" t="s">
        <v>9478</v>
      </c>
      <c r="AT885" t="s">
        <v>16784</v>
      </c>
      <c r="AU885">
        <v>2017</v>
      </c>
      <c r="AV885">
        <v>7</v>
      </c>
      <c r="AW885">
        <v>22</v>
      </c>
      <c r="AX885" t="s">
        <v>74</v>
      </c>
      <c r="AY885" t="s">
        <v>74</v>
      </c>
      <c r="AZ885" t="s">
        <v>74</v>
      </c>
      <c r="BA885" t="s">
        <v>74</v>
      </c>
      <c r="BB885">
        <v>9257</v>
      </c>
      <c r="BC885">
        <v>9266</v>
      </c>
      <c r="BD885" t="s">
        <v>74</v>
      </c>
      <c r="BE885" t="s">
        <v>17187</v>
      </c>
      <c r="BF885" t="str">
        <f>HYPERLINK("http://dx.doi.org/10.1002/ece3.3461","http://dx.doi.org/10.1002/ece3.3461")</f>
        <v>http://dx.doi.org/10.1002/ece3.3461</v>
      </c>
      <c r="BG885" t="s">
        <v>74</v>
      </c>
      <c r="BH885" t="s">
        <v>74</v>
      </c>
      <c r="BI885">
        <v>10</v>
      </c>
      <c r="BJ885" t="s">
        <v>3858</v>
      </c>
      <c r="BK885" t="s">
        <v>101</v>
      </c>
      <c r="BL885" t="s">
        <v>3860</v>
      </c>
      <c r="BM885" t="s">
        <v>17188</v>
      </c>
      <c r="BN885">
        <v>29187966</v>
      </c>
      <c r="BO885" t="s">
        <v>15679</v>
      </c>
      <c r="BP885" t="s">
        <v>74</v>
      </c>
      <c r="BQ885" t="s">
        <v>74</v>
      </c>
      <c r="BR885" t="s">
        <v>105</v>
      </c>
      <c r="BS885" t="s">
        <v>17189</v>
      </c>
      <c r="BT885" t="str">
        <f>HYPERLINK("https%3A%2F%2Fwww.webofscience.com%2Fwos%2Fwoscc%2Ffull-record%2FWOS:000415900800006","View Full Record in Web of Science")</f>
        <v>View Full Record in Web of Science</v>
      </c>
    </row>
    <row r="886" spans="1:72" x14ac:dyDescent="0.15">
      <c r="A886" t="s">
        <v>72</v>
      </c>
      <c r="B886" t="s">
        <v>17190</v>
      </c>
      <c r="C886" t="s">
        <v>74</v>
      </c>
      <c r="D886" t="s">
        <v>74</v>
      </c>
      <c r="E886" t="s">
        <v>74</v>
      </c>
      <c r="F886" t="s">
        <v>17191</v>
      </c>
      <c r="G886" t="s">
        <v>74</v>
      </c>
      <c r="H886" t="s">
        <v>74</v>
      </c>
      <c r="I886" t="s">
        <v>17192</v>
      </c>
      <c r="J886" t="s">
        <v>5707</v>
      </c>
      <c r="K886" t="s">
        <v>74</v>
      </c>
      <c r="L886" t="s">
        <v>74</v>
      </c>
      <c r="M886" t="s">
        <v>78</v>
      </c>
      <c r="N886" t="s">
        <v>79</v>
      </c>
      <c r="O886" t="s">
        <v>74</v>
      </c>
      <c r="P886" t="s">
        <v>74</v>
      </c>
      <c r="Q886" t="s">
        <v>74</v>
      </c>
      <c r="R886" t="s">
        <v>74</v>
      </c>
      <c r="S886" t="s">
        <v>74</v>
      </c>
      <c r="T886" t="s">
        <v>17193</v>
      </c>
      <c r="U886" t="s">
        <v>17194</v>
      </c>
      <c r="V886" t="s">
        <v>17195</v>
      </c>
      <c r="W886" t="s">
        <v>17196</v>
      </c>
      <c r="X886" t="s">
        <v>17197</v>
      </c>
      <c r="Y886" t="s">
        <v>17198</v>
      </c>
      <c r="Z886" t="s">
        <v>17199</v>
      </c>
      <c r="AA886" t="s">
        <v>17200</v>
      </c>
      <c r="AB886" t="s">
        <v>17201</v>
      </c>
      <c r="AC886" t="s">
        <v>17202</v>
      </c>
      <c r="AD886" t="s">
        <v>17202</v>
      </c>
      <c r="AE886" t="s">
        <v>17203</v>
      </c>
      <c r="AF886" t="s">
        <v>74</v>
      </c>
      <c r="AG886">
        <v>49</v>
      </c>
      <c r="AH886">
        <v>36</v>
      </c>
      <c r="AI886">
        <v>40</v>
      </c>
      <c r="AJ886">
        <v>2</v>
      </c>
      <c r="AK886">
        <v>14</v>
      </c>
      <c r="AL886" t="s">
        <v>2462</v>
      </c>
      <c r="AM886" t="s">
        <v>2463</v>
      </c>
      <c r="AN886" t="s">
        <v>2464</v>
      </c>
      <c r="AO886" t="s">
        <v>74</v>
      </c>
      <c r="AP886" t="s">
        <v>5721</v>
      </c>
      <c r="AQ886" t="s">
        <v>74</v>
      </c>
      <c r="AR886" t="s">
        <v>5722</v>
      </c>
      <c r="AS886" t="s">
        <v>5723</v>
      </c>
      <c r="AT886" t="s">
        <v>16784</v>
      </c>
      <c r="AU886">
        <v>2017</v>
      </c>
      <c r="AV886">
        <v>9</v>
      </c>
      <c r="AW886">
        <v>11</v>
      </c>
      <c r="AX886" t="s">
        <v>74</v>
      </c>
      <c r="AY886" t="s">
        <v>74</v>
      </c>
      <c r="AZ886" t="s">
        <v>74</v>
      </c>
      <c r="BA886" t="s">
        <v>74</v>
      </c>
      <c r="BB886" t="s">
        <v>74</v>
      </c>
      <c r="BC886" t="s">
        <v>74</v>
      </c>
      <c r="BD886">
        <v>1144</v>
      </c>
      <c r="BE886" t="s">
        <v>17204</v>
      </c>
      <c r="BF886" t="str">
        <f>HYPERLINK("http://dx.doi.org/10.3390/rs9111144","http://dx.doi.org/10.3390/rs9111144")</f>
        <v>http://dx.doi.org/10.3390/rs9111144</v>
      </c>
      <c r="BG886" t="s">
        <v>74</v>
      </c>
      <c r="BH886" t="s">
        <v>74</v>
      </c>
      <c r="BI886">
        <v>29</v>
      </c>
      <c r="BJ886" t="s">
        <v>5725</v>
      </c>
      <c r="BK886" t="s">
        <v>101</v>
      </c>
      <c r="BL886" t="s">
        <v>5726</v>
      </c>
      <c r="BM886" t="s">
        <v>17205</v>
      </c>
      <c r="BN886" t="s">
        <v>74</v>
      </c>
      <c r="BO886" t="s">
        <v>1406</v>
      </c>
      <c r="BP886" t="s">
        <v>74</v>
      </c>
      <c r="BQ886" t="s">
        <v>74</v>
      </c>
      <c r="BR886" t="s">
        <v>105</v>
      </c>
      <c r="BS886" t="s">
        <v>17206</v>
      </c>
      <c r="BT886" t="str">
        <f>HYPERLINK("https%3A%2F%2Fwww.webofscience.com%2Fwos%2Fwoscc%2Ffull-record%2FWOS:000416554100059","View Full Record in Web of Science")</f>
        <v>View Full Record in Web of Science</v>
      </c>
    </row>
    <row r="887" spans="1:72" x14ac:dyDescent="0.15">
      <c r="A887" t="s">
        <v>72</v>
      </c>
      <c r="B887" t="s">
        <v>17207</v>
      </c>
      <c r="C887" t="s">
        <v>74</v>
      </c>
      <c r="D887" t="s">
        <v>74</v>
      </c>
      <c r="E887" t="s">
        <v>74</v>
      </c>
      <c r="F887" t="s">
        <v>17208</v>
      </c>
      <c r="G887" t="s">
        <v>74</v>
      </c>
      <c r="H887" t="s">
        <v>74</v>
      </c>
      <c r="I887" t="s">
        <v>17209</v>
      </c>
      <c r="J887" t="s">
        <v>5707</v>
      </c>
      <c r="K887" t="s">
        <v>74</v>
      </c>
      <c r="L887" t="s">
        <v>74</v>
      </c>
      <c r="M887" t="s">
        <v>78</v>
      </c>
      <c r="N887" t="s">
        <v>79</v>
      </c>
      <c r="O887" t="s">
        <v>74</v>
      </c>
      <c r="P887" t="s">
        <v>74</v>
      </c>
      <c r="Q887" t="s">
        <v>74</v>
      </c>
      <c r="R887" t="s">
        <v>74</v>
      </c>
      <c r="S887" t="s">
        <v>74</v>
      </c>
      <c r="T887" t="s">
        <v>17210</v>
      </c>
      <c r="U887" t="s">
        <v>17211</v>
      </c>
      <c r="V887" t="s">
        <v>17212</v>
      </c>
      <c r="W887" t="s">
        <v>17213</v>
      </c>
      <c r="X887" t="s">
        <v>3664</v>
      </c>
      <c r="Y887" t="s">
        <v>17214</v>
      </c>
      <c r="Z887" t="s">
        <v>17215</v>
      </c>
      <c r="AA887" t="s">
        <v>17216</v>
      </c>
      <c r="AB887" t="s">
        <v>74</v>
      </c>
      <c r="AC887" t="s">
        <v>17217</v>
      </c>
      <c r="AD887" t="s">
        <v>17218</v>
      </c>
      <c r="AE887" t="s">
        <v>17219</v>
      </c>
      <c r="AF887" t="s">
        <v>74</v>
      </c>
      <c r="AG887">
        <v>65</v>
      </c>
      <c r="AH887">
        <v>29</v>
      </c>
      <c r="AI887">
        <v>31</v>
      </c>
      <c r="AJ887">
        <v>2</v>
      </c>
      <c r="AK887">
        <v>31</v>
      </c>
      <c r="AL887" t="s">
        <v>5720</v>
      </c>
      <c r="AM887" t="s">
        <v>2463</v>
      </c>
      <c r="AN887" t="s">
        <v>2464</v>
      </c>
      <c r="AO887" t="s">
        <v>5721</v>
      </c>
      <c r="AP887" t="s">
        <v>74</v>
      </c>
      <c r="AQ887" t="s">
        <v>74</v>
      </c>
      <c r="AR887" t="s">
        <v>5722</v>
      </c>
      <c r="AS887" t="s">
        <v>5723</v>
      </c>
      <c r="AT887" t="s">
        <v>16784</v>
      </c>
      <c r="AU887">
        <v>2017</v>
      </c>
      <c r="AV887">
        <v>9</v>
      </c>
      <c r="AW887">
        <v>11</v>
      </c>
      <c r="AX887" t="s">
        <v>74</v>
      </c>
      <c r="AY887" t="s">
        <v>74</v>
      </c>
      <c r="AZ887" t="s">
        <v>74</v>
      </c>
      <c r="BA887" t="s">
        <v>74</v>
      </c>
      <c r="BB887" t="s">
        <v>74</v>
      </c>
      <c r="BC887" t="s">
        <v>74</v>
      </c>
      <c r="BD887">
        <v>1171</v>
      </c>
      <c r="BE887" t="s">
        <v>17220</v>
      </c>
      <c r="BF887" t="str">
        <f>HYPERLINK("http://dx.doi.org/10.3390/rs9111171","http://dx.doi.org/10.3390/rs9111171")</f>
        <v>http://dx.doi.org/10.3390/rs9111171</v>
      </c>
      <c r="BG887" t="s">
        <v>74</v>
      </c>
      <c r="BH887" t="s">
        <v>74</v>
      </c>
      <c r="BI887">
        <v>19</v>
      </c>
      <c r="BJ887" t="s">
        <v>5725</v>
      </c>
      <c r="BK887" t="s">
        <v>101</v>
      </c>
      <c r="BL887" t="s">
        <v>5726</v>
      </c>
      <c r="BM887" t="s">
        <v>17205</v>
      </c>
      <c r="BN887" t="s">
        <v>74</v>
      </c>
      <c r="BO887" t="s">
        <v>212</v>
      </c>
      <c r="BP887" t="s">
        <v>74</v>
      </c>
      <c r="BQ887" t="s">
        <v>74</v>
      </c>
      <c r="BR887" t="s">
        <v>105</v>
      </c>
      <c r="BS887" t="s">
        <v>17221</v>
      </c>
      <c r="BT887" t="str">
        <f>HYPERLINK("https%3A%2F%2Fwww.webofscience.com%2Fwos%2Fwoscc%2Ffull-record%2FWOS:000416554100086","View Full Record in Web of Science")</f>
        <v>View Full Record in Web of Science</v>
      </c>
    </row>
    <row r="888" spans="1:72" x14ac:dyDescent="0.15">
      <c r="A888" t="s">
        <v>72</v>
      </c>
      <c r="B888" t="s">
        <v>17222</v>
      </c>
      <c r="C888" t="s">
        <v>74</v>
      </c>
      <c r="D888" t="s">
        <v>74</v>
      </c>
      <c r="E888" t="s">
        <v>74</v>
      </c>
      <c r="F888" t="s">
        <v>17223</v>
      </c>
      <c r="G888" t="s">
        <v>74</v>
      </c>
      <c r="H888" t="s">
        <v>74</v>
      </c>
      <c r="I888" t="s">
        <v>17224</v>
      </c>
      <c r="J888" t="s">
        <v>8967</v>
      </c>
      <c r="K888" t="s">
        <v>74</v>
      </c>
      <c r="L888" t="s">
        <v>74</v>
      </c>
      <c r="M888" t="s">
        <v>78</v>
      </c>
      <c r="N888" t="s">
        <v>79</v>
      </c>
      <c r="O888" t="s">
        <v>74</v>
      </c>
      <c r="P888" t="s">
        <v>74</v>
      </c>
      <c r="Q888" t="s">
        <v>74</v>
      </c>
      <c r="R888" t="s">
        <v>74</v>
      </c>
      <c r="S888" t="s">
        <v>74</v>
      </c>
      <c r="T888" t="s">
        <v>17225</v>
      </c>
      <c r="U888" t="s">
        <v>17226</v>
      </c>
      <c r="V888" t="s">
        <v>17227</v>
      </c>
      <c r="W888" t="s">
        <v>17228</v>
      </c>
      <c r="X888" t="s">
        <v>17229</v>
      </c>
      <c r="Y888" t="s">
        <v>17230</v>
      </c>
      <c r="Z888" t="s">
        <v>17231</v>
      </c>
      <c r="AA888" t="s">
        <v>17232</v>
      </c>
      <c r="AB888" t="s">
        <v>17233</v>
      </c>
      <c r="AC888" t="s">
        <v>17234</v>
      </c>
      <c r="AD888" t="s">
        <v>17234</v>
      </c>
      <c r="AE888" t="s">
        <v>17235</v>
      </c>
      <c r="AF888" t="s">
        <v>74</v>
      </c>
      <c r="AG888">
        <v>52</v>
      </c>
      <c r="AH888">
        <v>14</v>
      </c>
      <c r="AI888">
        <v>14</v>
      </c>
      <c r="AJ888">
        <v>0</v>
      </c>
      <c r="AK888">
        <v>11</v>
      </c>
      <c r="AL888" t="s">
        <v>91</v>
      </c>
      <c r="AM888" t="s">
        <v>92</v>
      </c>
      <c r="AN888" t="s">
        <v>93</v>
      </c>
      <c r="AO888" t="s">
        <v>8980</v>
      </c>
      <c r="AP888" t="s">
        <v>74</v>
      </c>
      <c r="AQ888" t="s">
        <v>74</v>
      </c>
      <c r="AR888" t="s">
        <v>8981</v>
      </c>
      <c r="AS888" t="s">
        <v>8982</v>
      </c>
      <c r="AT888" t="s">
        <v>16784</v>
      </c>
      <c r="AU888">
        <v>2017</v>
      </c>
      <c r="AV888">
        <v>4</v>
      </c>
      <c r="AW888">
        <v>11</v>
      </c>
      <c r="AX888" t="s">
        <v>74</v>
      </c>
      <c r="AY888" t="s">
        <v>74</v>
      </c>
      <c r="AZ888" t="s">
        <v>74</v>
      </c>
      <c r="BA888" t="s">
        <v>74</v>
      </c>
      <c r="BB888" t="s">
        <v>74</v>
      </c>
      <c r="BC888" t="s">
        <v>74</v>
      </c>
      <c r="BD888">
        <v>170694</v>
      </c>
      <c r="BE888" t="s">
        <v>17236</v>
      </c>
      <c r="BF888" t="str">
        <f>HYPERLINK("http://dx.doi.org/10.1098/rsos.170694","http://dx.doi.org/10.1098/rsos.170694")</f>
        <v>http://dx.doi.org/10.1098/rsos.170694</v>
      </c>
      <c r="BG888" t="s">
        <v>74</v>
      </c>
      <c r="BH888" t="s">
        <v>74</v>
      </c>
      <c r="BI888">
        <v>15</v>
      </c>
      <c r="BJ888" t="s">
        <v>129</v>
      </c>
      <c r="BK888" t="s">
        <v>101</v>
      </c>
      <c r="BL888" t="s">
        <v>130</v>
      </c>
      <c r="BM888" t="s">
        <v>17237</v>
      </c>
      <c r="BN888">
        <v>29291060</v>
      </c>
      <c r="BO888" t="s">
        <v>494</v>
      </c>
      <c r="BP888" t="s">
        <v>74</v>
      </c>
      <c r="BQ888" t="s">
        <v>74</v>
      </c>
      <c r="BR888" t="s">
        <v>105</v>
      </c>
      <c r="BS888" t="s">
        <v>17238</v>
      </c>
      <c r="BT888" t="str">
        <f>HYPERLINK("https%3A%2F%2Fwww.webofscience.com%2Fwos%2Fwoscc%2Ffull-record%2FWOS:000416787500013","View Full Record in Web of Science")</f>
        <v>View Full Record in Web of Science</v>
      </c>
    </row>
    <row r="889" spans="1:72" x14ac:dyDescent="0.15">
      <c r="A889" t="s">
        <v>72</v>
      </c>
      <c r="B889" t="s">
        <v>17239</v>
      </c>
      <c r="C889" t="s">
        <v>74</v>
      </c>
      <c r="D889" t="s">
        <v>74</v>
      </c>
      <c r="E889" t="s">
        <v>74</v>
      </c>
      <c r="F889" t="s">
        <v>17240</v>
      </c>
      <c r="G889" t="s">
        <v>74</v>
      </c>
      <c r="H889" t="s">
        <v>74</v>
      </c>
      <c r="I889" t="s">
        <v>17241</v>
      </c>
      <c r="J889" t="s">
        <v>17242</v>
      </c>
      <c r="K889" t="s">
        <v>74</v>
      </c>
      <c r="L889" t="s">
        <v>74</v>
      </c>
      <c r="M889" t="s">
        <v>78</v>
      </c>
      <c r="N889" t="s">
        <v>79</v>
      </c>
      <c r="O889" t="s">
        <v>74</v>
      </c>
      <c r="P889" t="s">
        <v>74</v>
      </c>
      <c r="Q889" t="s">
        <v>74</v>
      </c>
      <c r="R889" t="s">
        <v>74</v>
      </c>
      <c r="S889" t="s">
        <v>74</v>
      </c>
      <c r="T889" t="s">
        <v>17243</v>
      </c>
      <c r="U889" t="s">
        <v>17244</v>
      </c>
      <c r="V889" t="s">
        <v>17245</v>
      </c>
      <c r="W889" t="s">
        <v>17246</v>
      </c>
      <c r="X889" t="s">
        <v>17247</v>
      </c>
      <c r="Y889" t="s">
        <v>17248</v>
      </c>
      <c r="Z889" t="s">
        <v>17249</v>
      </c>
      <c r="AA889" t="s">
        <v>17250</v>
      </c>
      <c r="AB889" t="s">
        <v>17251</v>
      </c>
      <c r="AC889" t="s">
        <v>17252</v>
      </c>
      <c r="AD889" t="s">
        <v>17253</v>
      </c>
      <c r="AE889" t="s">
        <v>17254</v>
      </c>
      <c r="AF889" t="s">
        <v>74</v>
      </c>
      <c r="AG889">
        <v>29</v>
      </c>
      <c r="AH889">
        <v>0</v>
      </c>
      <c r="AI889">
        <v>0</v>
      </c>
      <c r="AJ889">
        <v>0</v>
      </c>
      <c r="AK889">
        <v>11</v>
      </c>
      <c r="AL889" t="s">
        <v>5720</v>
      </c>
      <c r="AM889" t="s">
        <v>2463</v>
      </c>
      <c r="AN889" t="s">
        <v>2464</v>
      </c>
      <c r="AO889" t="s">
        <v>17255</v>
      </c>
      <c r="AP889" t="s">
        <v>74</v>
      </c>
      <c r="AQ889" t="s">
        <v>74</v>
      </c>
      <c r="AR889" t="s">
        <v>17256</v>
      </c>
      <c r="AS889" t="s">
        <v>17257</v>
      </c>
      <c r="AT889" t="s">
        <v>16784</v>
      </c>
      <c r="AU889">
        <v>2017</v>
      </c>
      <c r="AV889">
        <v>8</v>
      </c>
      <c r="AW889">
        <v>11</v>
      </c>
      <c r="AX889" t="s">
        <v>74</v>
      </c>
      <c r="AY889" t="s">
        <v>74</v>
      </c>
      <c r="AZ889" t="s">
        <v>74</v>
      </c>
      <c r="BA889" t="s">
        <v>74</v>
      </c>
      <c r="BB889" t="s">
        <v>74</v>
      </c>
      <c r="BC889" t="s">
        <v>74</v>
      </c>
      <c r="BD889">
        <v>331</v>
      </c>
      <c r="BE889" t="s">
        <v>17258</v>
      </c>
      <c r="BF889" t="str">
        <f>HYPERLINK("http://dx.doi.org/10.3390/genes8110331","http://dx.doi.org/10.3390/genes8110331")</f>
        <v>http://dx.doi.org/10.3390/genes8110331</v>
      </c>
      <c r="BG889" t="s">
        <v>74</v>
      </c>
      <c r="BH889" t="s">
        <v>74</v>
      </c>
      <c r="BI889">
        <v>13</v>
      </c>
      <c r="BJ889" t="s">
        <v>6750</v>
      </c>
      <c r="BK889" t="s">
        <v>101</v>
      </c>
      <c r="BL889" t="s">
        <v>6750</v>
      </c>
      <c r="BM889" t="s">
        <v>17259</v>
      </c>
      <c r="BN889">
        <v>29149093</v>
      </c>
      <c r="BO889" t="s">
        <v>3808</v>
      </c>
      <c r="BP889" t="s">
        <v>74</v>
      </c>
      <c r="BQ889" t="s">
        <v>74</v>
      </c>
      <c r="BR889" t="s">
        <v>105</v>
      </c>
      <c r="BS889" t="s">
        <v>17260</v>
      </c>
      <c r="BT889" t="str">
        <f>HYPERLINK("https%3A%2F%2Fwww.webofscience.com%2Fwos%2Fwoscc%2Ffull-record%2FWOS:000416800600041","View Full Record in Web of Science")</f>
        <v>View Full Record in Web of Science</v>
      </c>
    </row>
    <row r="890" spans="1:72" x14ac:dyDescent="0.15">
      <c r="A890" t="s">
        <v>72</v>
      </c>
      <c r="B890" t="s">
        <v>17261</v>
      </c>
      <c r="C890" t="s">
        <v>74</v>
      </c>
      <c r="D890" t="s">
        <v>74</v>
      </c>
      <c r="E890" t="s">
        <v>74</v>
      </c>
      <c r="F890" t="s">
        <v>17262</v>
      </c>
      <c r="G890" t="s">
        <v>74</v>
      </c>
      <c r="H890" t="s">
        <v>74</v>
      </c>
      <c r="I890" t="s">
        <v>17263</v>
      </c>
      <c r="J890" t="s">
        <v>17264</v>
      </c>
      <c r="K890" t="s">
        <v>74</v>
      </c>
      <c r="L890" t="s">
        <v>74</v>
      </c>
      <c r="M890" t="s">
        <v>78</v>
      </c>
      <c r="N890" t="s">
        <v>79</v>
      </c>
      <c r="O890" t="s">
        <v>74</v>
      </c>
      <c r="P890" t="s">
        <v>74</v>
      </c>
      <c r="Q890" t="s">
        <v>74</v>
      </c>
      <c r="R890" t="s">
        <v>74</v>
      </c>
      <c r="S890" t="s">
        <v>74</v>
      </c>
      <c r="T890" t="s">
        <v>74</v>
      </c>
      <c r="U890" t="s">
        <v>17265</v>
      </c>
      <c r="V890" t="s">
        <v>17266</v>
      </c>
      <c r="W890" t="s">
        <v>17267</v>
      </c>
      <c r="X890" t="s">
        <v>17268</v>
      </c>
      <c r="Y890" t="s">
        <v>17269</v>
      </c>
      <c r="Z890" t="s">
        <v>17270</v>
      </c>
      <c r="AA890" t="s">
        <v>74</v>
      </c>
      <c r="AB890" t="s">
        <v>74</v>
      </c>
      <c r="AC890" t="s">
        <v>17271</v>
      </c>
      <c r="AD890" t="s">
        <v>10500</v>
      </c>
      <c r="AE890" t="s">
        <v>17272</v>
      </c>
      <c r="AF890" t="s">
        <v>74</v>
      </c>
      <c r="AG890">
        <v>13</v>
      </c>
      <c r="AH890">
        <v>10</v>
      </c>
      <c r="AI890">
        <v>10</v>
      </c>
      <c r="AJ890">
        <v>6</v>
      </c>
      <c r="AK890">
        <v>40</v>
      </c>
      <c r="AL890" t="s">
        <v>4154</v>
      </c>
      <c r="AM890" t="s">
        <v>1797</v>
      </c>
      <c r="AN890" t="s">
        <v>4155</v>
      </c>
      <c r="AO890" t="s">
        <v>17273</v>
      </c>
      <c r="AP890" t="s">
        <v>17274</v>
      </c>
      <c r="AQ890" t="s">
        <v>74</v>
      </c>
      <c r="AR890" t="s">
        <v>17275</v>
      </c>
      <c r="AS890" t="s">
        <v>17276</v>
      </c>
      <c r="AT890" t="s">
        <v>16784</v>
      </c>
      <c r="AU890">
        <v>2017</v>
      </c>
      <c r="AV890">
        <v>477</v>
      </c>
      <c r="AW890">
        <v>1</v>
      </c>
      <c r="AX890" t="s">
        <v>74</v>
      </c>
      <c r="AY890" t="s">
        <v>74</v>
      </c>
      <c r="AZ890" t="s">
        <v>74</v>
      </c>
      <c r="BA890" t="s">
        <v>74</v>
      </c>
      <c r="BB890">
        <v>1307</v>
      </c>
      <c r="BC890">
        <v>1310</v>
      </c>
      <c r="BD890" t="s">
        <v>74</v>
      </c>
      <c r="BE890" t="s">
        <v>17277</v>
      </c>
      <c r="BF890" t="str">
        <f>HYPERLINK("http://dx.doi.org/10.1134/S1028334X17110083","http://dx.doi.org/10.1134/S1028334X17110083")</f>
        <v>http://dx.doi.org/10.1134/S1028334X17110083</v>
      </c>
      <c r="BG890" t="s">
        <v>74</v>
      </c>
      <c r="BH890" t="s">
        <v>74</v>
      </c>
      <c r="BI890">
        <v>4</v>
      </c>
      <c r="BJ890" t="s">
        <v>280</v>
      </c>
      <c r="BK890" t="s">
        <v>101</v>
      </c>
      <c r="BL890" t="s">
        <v>281</v>
      </c>
      <c r="BM890" t="s">
        <v>17278</v>
      </c>
      <c r="BN890" t="s">
        <v>74</v>
      </c>
      <c r="BO890" t="s">
        <v>74</v>
      </c>
      <c r="BP890" t="s">
        <v>74</v>
      </c>
      <c r="BQ890" t="s">
        <v>74</v>
      </c>
      <c r="BR890" t="s">
        <v>105</v>
      </c>
      <c r="BS890" t="s">
        <v>17279</v>
      </c>
      <c r="BT890" t="str">
        <f>HYPERLINK("https%3A%2F%2Fwww.webofscience.com%2Fwos%2Fwoscc%2Ffull-record%2FWOS:000416756000013","View Full Record in Web of Science")</f>
        <v>View Full Record in Web of Science</v>
      </c>
    </row>
    <row r="891" spans="1:72" x14ac:dyDescent="0.15">
      <c r="A891" t="s">
        <v>72</v>
      </c>
      <c r="B891" t="s">
        <v>17280</v>
      </c>
      <c r="C891" t="s">
        <v>74</v>
      </c>
      <c r="D891" t="s">
        <v>74</v>
      </c>
      <c r="E891" t="s">
        <v>74</v>
      </c>
      <c r="F891" t="s">
        <v>17281</v>
      </c>
      <c r="G891" t="s">
        <v>74</v>
      </c>
      <c r="H891" t="s">
        <v>74</v>
      </c>
      <c r="I891" t="s">
        <v>17282</v>
      </c>
      <c r="J891" t="s">
        <v>17283</v>
      </c>
      <c r="K891" t="s">
        <v>74</v>
      </c>
      <c r="L891" t="s">
        <v>74</v>
      </c>
      <c r="M891" t="s">
        <v>78</v>
      </c>
      <c r="N891" t="s">
        <v>79</v>
      </c>
      <c r="O891" t="s">
        <v>74</v>
      </c>
      <c r="P891" t="s">
        <v>74</v>
      </c>
      <c r="Q891" t="s">
        <v>74</v>
      </c>
      <c r="R891" t="s">
        <v>74</v>
      </c>
      <c r="S891" t="s">
        <v>74</v>
      </c>
      <c r="T891" t="s">
        <v>17284</v>
      </c>
      <c r="U891" t="s">
        <v>17285</v>
      </c>
      <c r="V891" t="s">
        <v>17286</v>
      </c>
      <c r="W891" t="s">
        <v>17287</v>
      </c>
      <c r="X891" t="s">
        <v>17288</v>
      </c>
      <c r="Y891" t="s">
        <v>17289</v>
      </c>
      <c r="Z891" t="s">
        <v>17290</v>
      </c>
      <c r="AA891" t="s">
        <v>17291</v>
      </c>
      <c r="AB891" t="s">
        <v>17292</v>
      </c>
      <c r="AC891" t="s">
        <v>17293</v>
      </c>
      <c r="AD891" t="s">
        <v>17294</v>
      </c>
      <c r="AE891" t="s">
        <v>17295</v>
      </c>
      <c r="AF891" t="s">
        <v>74</v>
      </c>
      <c r="AG891">
        <v>62</v>
      </c>
      <c r="AH891">
        <v>13</v>
      </c>
      <c r="AI891">
        <v>13</v>
      </c>
      <c r="AJ891">
        <v>0</v>
      </c>
      <c r="AK891">
        <v>24</v>
      </c>
      <c r="AL891" t="s">
        <v>17296</v>
      </c>
      <c r="AM891" t="s">
        <v>17297</v>
      </c>
      <c r="AN891" t="s">
        <v>17298</v>
      </c>
      <c r="AO891" t="s">
        <v>17299</v>
      </c>
      <c r="AP891" t="s">
        <v>17300</v>
      </c>
      <c r="AQ891" t="s">
        <v>74</v>
      </c>
      <c r="AR891" t="s">
        <v>17301</v>
      </c>
      <c r="AS891" t="s">
        <v>17302</v>
      </c>
      <c r="AT891" t="s">
        <v>16784</v>
      </c>
      <c r="AU891">
        <v>2017</v>
      </c>
      <c r="AV891">
        <v>104</v>
      </c>
      <c r="AW891">
        <v>11</v>
      </c>
      <c r="AX891" t="s">
        <v>74</v>
      </c>
      <c r="AY891" t="s">
        <v>74</v>
      </c>
      <c r="AZ891" t="s">
        <v>74</v>
      </c>
      <c r="BA891" t="s">
        <v>74</v>
      </c>
      <c r="BB891">
        <v>1651</v>
      </c>
      <c r="BC891">
        <v>1659</v>
      </c>
      <c r="BD891" t="s">
        <v>74</v>
      </c>
      <c r="BE891" t="s">
        <v>17303</v>
      </c>
      <c r="BF891" t="str">
        <f>HYPERLINK("http://dx.doi.org/10.3732/ajb.1700144","http://dx.doi.org/10.3732/ajb.1700144")</f>
        <v>http://dx.doi.org/10.3732/ajb.1700144</v>
      </c>
      <c r="BG891" t="s">
        <v>74</v>
      </c>
      <c r="BH891" t="s">
        <v>74</v>
      </c>
      <c r="BI891">
        <v>9</v>
      </c>
      <c r="BJ891" t="s">
        <v>492</v>
      </c>
      <c r="BK891" t="s">
        <v>101</v>
      </c>
      <c r="BL891" t="s">
        <v>492</v>
      </c>
      <c r="BM891" t="s">
        <v>17304</v>
      </c>
      <c r="BN891" t="s">
        <v>74</v>
      </c>
      <c r="BO891" t="s">
        <v>306</v>
      </c>
      <c r="BP891" t="s">
        <v>74</v>
      </c>
      <c r="BQ891" t="s">
        <v>74</v>
      </c>
      <c r="BR891" t="s">
        <v>105</v>
      </c>
      <c r="BS891" t="s">
        <v>17305</v>
      </c>
      <c r="BT891" t="str">
        <f>HYPERLINK("https%3A%2F%2Fwww.webofscience.com%2Fwos%2Fwoscc%2Ffull-record%2FWOS:000416302800003","View Full Record in Web of Science")</f>
        <v>View Full Record in Web of Science</v>
      </c>
    </row>
    <row r="892" spans="1:72" x14ac:dyDescent="0.15">
      <c r="A892" t="s">
        <v>72</v>
      </c>
      <c r="B892" t="s">
        <v>17306</v>
      </c>
      <c r="C892" t="s">
        <v>74</v>
      </c>
      <c r="D892" t="s">
        <v>74</v>
      </c>
      <c r="E892" t="s">
        <v>74</v>
      </c>
      <c r="F892" t="s">
        <v>17307</v>
      </c>
      <c r="G892" t="s">
        <v>74</v>
      </c>
      <c r="H892" t="s">
        <v>74</v>
      </c>
      <c r="I892" t="s">
        <v>17308</v>
      </c>
      <c r="J892" t="s">
        <v>17283</v>
      </c>
      <c r="K892" t="s">
        <v>74</v>
      </c>
      <c r="L892" t="s">
        <v>74</v>
      </c>
      <c r="M892" t="s">
        <v>78</v>
      </c>
      <c r="N892" t="s">
        <v>289</v>
      </c>
      <c r="O892" t="s">
        <v>74</v>
      </c>
      <c r="P892" t="s">
        <v>74</v>
      </c>
      <c r="Q892" t="s">
        <v>74</v>
      </c>
      <c r="R892" t="s">
        <v>74</v>
      </c>
      <c r="S892" t="s">
        <v>74</v>
      </c>
      <c r="T892" t="s">
        <v>17309</v>
      </c>
      <c r="U892" t="s">
        <v>17310</v>
      </c>
      <c r="V892" t="s">
        <v>17311</v>
      </c>
      <c r="W892" t="s">
        <v>17312</v>
      </c>
      <c r="X892" t="s">
        <v>17313</v>
      </c>
      <c r="Y892" t="s">
        <v>17314</v>
      </c>
      <c r="Z892" t="s">
        <v>17315</v>
      </c>
      <c r="AA892" t="s">
        <v>17316</v>
      </c>
      <c r="AB892" t="s">
        <v>17317</v>
      </c>
      <c r="AC892" t="s">
        <v>17318</v>
      </c>
      <c r="AD892" t="s">
        <v>17319</v>
      </c>
      <c r="AE892" t="s">
        <v>17320</v>
      </c>
      <c r="AF892" t="s">
        <v>74</v>
      </c>
      <c r="AG892">
        <v>162</v>
      </c>
      <c r="AH892">
        <v>22</v>
      </c>
      <c r="AI892">
        <v>23</v>
      </c>
      <c r="AJ892">
        <v>1</v>
      </c>
      <c r="AK892">
        <v>38</v>
      </c>
      <c r="AL892" t="s">
        <v>17296</v>
      </c>
      <c r="AM892" t="s">
        <v>17297</v>
      </c>
      <c r="AN892" t="s">
        <v>17298</v>
      </c>
      <c r="AO892" t="s">
        <v>17299</v>
      </c>
      <c r="AP892" t="s">
        <v>17300</v>
      </c>
      <c r="AQ892" t="s">
        <v>74</v>
      </c>
      <c r="AR892" t="s">
        <v>17301</v>
      </c>
      <c r="AS892" t="s">
        <v>17302</v>
      </c>
      <c r="AT892" t="s">
        <v>16784</v>
      </c>
      <c r="AU892">
        <v>2017</v>
      </c>
      <c r="AV892">
        <v>104</v>
      </c>
      <c r="AW892">
        <v>11</v>
      </c>
      <c r="AX892" t="s">
        <v>74</v>
      </c>
      <c r="AY892" t="s">
        <v>74</v>
      </c>
      <c r="AZ892" t="s">
        <v>74</v>
      </c>
      <c r="BA892" t="s">
        <v>74</v>
      </c>
      <c r="BB892">
        <v>1680</v>
      </c>
      <c r="BC892">
        <v>1694</v>
      </c>
      <c r="BD892" t="s">
        <v>74</v>
      </c>
      <c r="BE892" t="s">
        <v>17321</v>
      </c>
      <c r="BF892" t="str">
        <f>HYPERLINK("http://dx.doi.org/10.3732/ajb.1700159","http://dx.doi.org/10.3732/ajb.1700159")</f>
        <v>http://dx.doi.org/10.3732/ajb.1700159</v>
      </c>
      <c r="BG892" t="s">
        <v>74</v>
      </c>
      <c r="BH892" t="s">
        <v>74</v>
      </c>
      <c r="BI892">
        <v>15</v>
      </c>
      <c r="BJ892" t="s">
        <v>492</v>
      </c>
      <c r="BK892" t="s">
        <v>101</v>
      </c>
      <c r="BL892" t="s">
        <v>492</v>
      </c>
      <c r="BM892" t="s">
        <v>17304</v>
      </c>
      <c r="BN892">
        <v>29167157</v>
      </c>
      <c r="BO892" t="s">
        <v>789</v>
      </c>
      <c r="BP892" t="s">
        <v>74</v>
      </c>
      <c r="BQ892" t="s">
        <v>74</v>
      </c>
      <c r="BR892" t="s">
        <v>105</v>
      </c>
      <c r="BS892" t="s">
        <v>17322</v>
      </c>
      <c r="BT892" t="str">
        <f>HYPERLINK("https%3A%2F%2Fwww.webofscience.com%2Fwos%2Fwoscc%2Ffull-record%2FWOS:000416302800006","View Full Record in Web of Science")</f>
        <v>View Full Record in Web of Science</v>
      </c>
    </row>
    <row r="893" spans="1:72" x14ac:dyDescent="0.15">
      <c r="A893" t="s">
        <v>72</v>
      </c>
      <c r="B893" t="s">
        <v>17323</v>
      </c>
      <c r="C893" t="s">
        <v>74</v>
      </c>
      <c r="D893" t="s">
        <v>74</v>
      </c>
      <c r="E893" t="s">
        <v>74</v>
      </c>
      <c r="F893" t="s">
        <v>17324</v>
      </c>
      <c r="G893" t="s">
        <v>74</v>
      </c>
      <c r="H893" t="s">
        <v>74</v>
      </c>
      <c r="I893" t="s">
        <v>17325</v>
      </c>
      <c r="J893" t="s">
        <v>17326</v>
      </c>
      <c r="K893" t="s">
        <v>74</v>
      </c>
      <c r="L893" t="s">
        <v>74</v>
      </c>
      <c r="M893" t="s">
        <v>78</v>
      </c>
      <c r="N893" t="s">
        <v>79</v>
      </c>
      <c r="O893" t="s">
        <v>74</v>
      </c>
      <c r="P893" t="s">
        <v>74</v>
      </c>
      <c r="Q893" t="s">
        <v>74</v>
      </c>
      <c r="R893" t="s">
        <v>74</v>
      </c>
      <c r="S893" t="s">
        <v>74</v>
      </c>
      <c r="T893" t="s">
        <v>17327</v>
      </c>
      <c r="U893" t="s">
        <v>17328</v>
      </c>
      <c r="V893" t="s">
        <v>17329</v>
      </c>
      <c r="W893" t="s">
        <v>17330</v>
      </c>
      <c r="X893" t="s">
        <v>74</v>
      </c>
      <c r="Y893" t="s">
        <v>17331</v>
      </c>
      <c r="Z893" t="s">
        <v>17332</v>
      </c>
      <c r="AA893" t="s">
        <v>74</v>
      </c>
      <c r="AB893" t="s">
        <v>17333</v>
      </c>
      <c r="AC893" t="s">
        <v>74</v>
      </c>
      <c r="AD893" t="s">
        <v>74</v>
      </c>
      <c r="AE893" t="s">
        <v>74</v>
      </c>
      <c r="AF893" t="s">
        <v>74</v>
      </c>
      <c r="AG893">
        <v>25</v>
      </c>
      <c r="AH893">
        <v>2</v>
      </c>
      <c r="AI893">
        <v>3</v>
      </c>
      <c r="AJ893">
        <v>0</v>
      </c>
      <c r="AK893">
        <v>5</v>
      </c>
      <c r="AL893" t="s">
        <v>4978</v>
      </c>
      <c r="AM893" t="s">
        <v>3107</v>
      </c>
      <c r="AN893" t="s">
        <v>4979</v>
      </c>
      <c r="AO893" t="s">
        <v>17334</v>
      </c>
      <c r="AP893" t="s">
        <v>17335</v>
      </c>
      <c r="AQ893" t="s">
        <v>74</v>
      </c>
      <c r="AR893" t="s">
        <v>17336</v>
      </c>
      <c r="AS893" t="s">
        <v>17337</v>
      </c>
      <c r="AT893" t="s">
        <v>16784</v>
      </c>
      <c r="AU893">
        <v>2017</v>
      </c>
      <c r="AV893">
        <v>83</v>
      </c>
      <c r="AW893">
        <v>6</v>
      </c>
      <c r="AX893" t="s">
        <v>74</v>
      </c>
      <c r="AY893" t="s">
        <v>74</v>
      </c>
      <c r="AZ893" t="s">
        <v>74</v>
      </c>
      <c r="BA893" t="s">
        <v>74</v>
      </c>
      <c r="BB893">
        <v>947</v>
      </c>
      <c r="BC893">
        <v>954</v>
      </c>
      <c r="BD893" t="s">
        <v>74</v>
      </c>
      <c r="BE893" t="s">
        <v>17338</v>
      </c>
      <c r="BF893" t="str">
        <f>HYPERLINK("http://dx.doi.org/10.1007/s12562-017-1122-0","http://dx.doi.org/10.1007/s12562-017-1122-0")</f>
        <v>http://dx.doi.org/10.1007/s12562-017-1122-0</v>
      </c>
      <c r="BG893" t="s">
        <v>74</v>
      </c>
      <c r="BH893" t="s">
        <v>74</v>
      </c>
      <c r="BI893">
        <v>8</v>
      </c>
      <c r="BJ893" t="s">
        <v>6350</v>
      </c>
      <c r="BK893" t="s">
        <v>101</v>
      </c>
      <c r="BL893" t="s">
        <v>6350</v>
      </c>
      <c r="BM893" t="s">
        <v>17339</v>
      </c>
      <c r="BN893" t="s">
        <v>74</v>
      </c>
      <c r="BO893" t="s">
        <v>1150</v>
      </c>
      <c r="BP893" t="s">
        <v>74</v>
      </c>
      <c r="BQ893" t="s">
        <v>74</v>
      </c>
      <c r="BR893" t="s">
        <v>105</v>
      </c>
      <c r="BS893" t="s">
        <v>17340</v>
      </c>
      <c r="BT893" t="str">
        <f>HYPERLINK("https%3A%2F%2Fwww.webofscience.com%2Fwos%2Fwoscc%2Ffull-record%2FWOS:000416559900010","View Full Record in Web of Science")</f>
        <v>View Full Record in Web of Science</v>
      </c>
    </row>
    <row r="894" spans="1:72" x14ac:dyDescent="0.15">
      <c r="A894" t="s">
        <v>72</v>
      </c>
      <c r="B894" t="s">
        <v>17341</v>
      </c>
      <c r="C894" t="s">
        <v>74</v>
      </c>
      <c r="D894" t="s">
        <v>74</v>
      </c>
      <c r="E894" t="s">
        <v>74</v>
      </c>
      <c r="F894" t="s">
        <v>17342</v>
      </c>
      <c r="G894" t="s">
        <v>74</v>
      </c>
      <c r="H894" t="s">
        <v>74</v>
      </c>
      <c r="I894" t="s">
        <v>17343</v>
      </c>
      <c r="J894" t="s">
        <v>8059</v>
      </c>
      <c r="K894" t="s">
        <v>74</v>
      </c>
      <c r="L894" t="s">
        <v>74</v>
      </c>
      <c r="M894" t="s">
        <v>78</v>
      </c>
      <c r="N894" t="s">
        <v>79</v>
      </c>
      <c r="O894" t="s">
        <v>74</v>
      </c>
      <c r="P894" t="s">
        <v>74</v>
      </c>
      <c r="Q894" t="s">
        <v>74</v>
      </c>
      <c r="R894" t="s">
        <v>74</v>
      </c>
      <c r="S894" t="s">
        <v>74</v>
      </c>
      <c r="T894" t="s">
        <v>17344</v>
      </c>
      <c r="U894" t="s">
        <v>17345</v>
      </c>
      <c r="V894" t="s">
        <v>17346</v>
      </c>
      <c r="W894" t="s">
        <v>17347</v>
      </c>
      <c r="X894" t="s">
        <v>17348</v>
      </c>
      <c r="Y894" t="s">
        <v>17349</v>
      </c>
      <c r="Z894" t="s">
        <v>17350</v>
      </c>
      <c r="AA894" t="s">
        <v>17351</v>
      </c>
      <c r="AB894" t="s">
        <v>17352</v>
      </c>
      <c r="AC894" t="s">
        <v>17353</v>
      </c>
      <c r="AD894" t="s">
        <v>17354</v>
      </c>
      <c r="AE894" t="s">
        <v>17355</v>
      </c>
      <c r="AF894" t="s">
        <v>74</v>
      </c>
      <c r="AG894">
        <v>71</v>
      </c>
      <c r="AH894">
        <v>17</v>
      </c>
      <c r="AI894">
        <v>17</v>
      </c>
      <c r="AJ894">
        <v>0</v>
      </c>
      <c r="AK894">
        <v>19</v>
      </c>
      <c r="AL894" t="s">
        <v>807</v>
      </c>
      <c r="AM894" t="s">
        <v>808</v>
      </c>
      <c r="AN894" t="s">
        <v>809</v>
      </c>
      <c r="AO894" t="s">
        <v>8072</v>
      </c>
      <c r="AP894" t="s">
        <v>8073</v>
      </c>
      <c r="AQ894" t="s">
        <v>74</v>
      </c>
      <c r="AR894" t="s">
        <v>8074</v>
      </c>
      <c r="AS894" t="s">
        <v>8075</v>
      </c>
      <c r="AT894" t="s">
        <v>16784</v>
      </c>
      <c r="AU894">
        <v>2017</v>
      </c>
      <c r="AV894">
        <v>51</v>
      </c>
      <c r="AW894" t="s">
        <v>74</v>
      </c>
      <c r="AX894" t="s">
        <v>74</v>
      </c>
      <c r="AY894" t="s">
        <v>74</v>
      </c>
      <c r="AZ894" t="s">
        <v>74</v>
      </c>
      <c r="BA894" t="s">
        <v>74</v>
      </c>
      <c r="BB894">
        <v>137</v>
      </c>
      <c r="BC894">
        <v>148</v>
      </c>
      <c r="BD894" t="s">
        <v>74</v>
      </c>
      <c r="BE894" t="s">
        <v>17356</v>
      </c>
      <c r="BF894" t="str">
        <f>HYPERLINK("http://dx.doi.org/10.1016/j.gr.2017.08.002","http://dx.doi.org/10.1016/j.gr.2017.08.002")</f>
        <v>http://dx.doi.org/10.1016/j.gr.2017.08.002</v>
      </c>
      <c r="BG894" t="s">
        <v>74</v>
      </c>
      <c r="BH894" t="s">
        <v>74</v>
      </c>
      <c r="BI894">
        <v>12</v>
      </c>
      <c r="BJ894" t="s">
        <v>280</v>
      </c>
      <c r="BK894" t="s">
        <v>101</v>
      </c>
      <c r="BL894" t="s">
        <v>281</v>
      </c>
      <c r="BM894" t="s">
        <v>17357</v>
      </c>
      <c r="BN894" t="s">
        <v>74</v>
      </c>
      <c r="BO894" t="s">
        <v>74</v>
      </c>
      <c r="BP894" t="s">
        <v>74</v>
      </c>
      <c r="BQ894" t="s">
        <v>74</v>
      </c>
      <c r="BR894" t="s">
        <v>105</v>
      </c>
      <c r="BS894" t="s">
        <v>17358</v>
      </c>
      <c r="BT894" t="str">
        <f>HYPERLINK("https%3A%2F%2Fwww.webofscience.com%2Fwos%2Fwoscc%2Ffull-record%2FWOS:000416499300009","View Full Record in Web of Science")</f>
        <v>View Full Record in Web of Science</v>
      </c>
    </row>
    <row r="895" spans="1:72" x14ac:dyDescent="0.15">
      <c r="A895" t="s">
        <v>72</v>
      </c>
      <c r="B895" t="s">
        <v>17359</v>
      </c>
      <c r="C895" t="s">
        <v>74</v>
      </c>
      <c r="D895" t="s">
        <v>74</v>
      </c>
      <c r="E895" t="s">
        <v>74</v>
      </c>
      <c r="F895" t="s">
        <v>17360</v>
      </c>
      <c r="G895" t="s">
        <v>74</v>
      </c>
      <c r="H895" t="s">
        <v>74</v>
      </c>
      <c r="I895" t="s">
        <v>17361</v>
      </c>
      <c r="J895" t="s">
        <v>17362</v>
      </c>
      <c r="K895" t="s">
        <v>74</v>
      </c>
      <c r="L895" t="s">
        <v>74</v>
      </c>
      <c r="M895" t="s">
        <v>78</v>
      </c>
      <c r="N895" t="s">
        <v>79</v>
      </c>
      <c r="O895" t="s">
        <v>74</v>
      </c>
      <c r="P895" t="s">
        <v>74</v>
      </c>
      <c r="Q895" t="s">
        <v>74</v>
      </c>
      <c r="R895" t="s">
        <v>74</v>
      </c>
      <c r="S895" t="s">
        <v>74</v>
      </c>
      <c r="T895" t="s">
        <v>17363</v>
      </c>
      <c r="U895" t="s">
        <v>17364</v>
      </c>
      <c r="V895" t="s">
        <v>17365</v>
      </c>
      <c r="W895" t="s">
        <v>17366</v>
      </c>
      <c r="X895" t="s">
        <v>17367</v>
      </c>
      <c r="Y895" t="s">
        <v>17368</v>
      </c>
      <c r="Z895" t="s">
        <v>17369</v>
      </c>
      <c r="AA895" t="s">
        <v>74</v>
      </c>
      <c r="AB895" t="s">
        <v>17370</v>
      </c>
      <c r="AC895" t="s">
        <v>74</v>
      </c>
      <c r="AD895" t="s">
        <v>74</v>
      </c>
      <c r="AE895" t="s">
        <v>74</v>
      </c>
      <c r="AF895" t="s">
        <v>74</v>
      </c>
      <c r="AG895">
        <v>58</v>
      </c>
      <c r="AH895">
        <v>8</v>
      </c>
      <c r="AI895">
        <v>8</v>
      </c>
      <c r="AJ895">
        <v>0</v>
      </c>
      <c r="AK895">
        <v>5</v>
      </c>
      <c r="AL895" t="s">
        <v>2462</v>
      </c>
      <c r="AM895" t="s">
        <v>2463</v>
      </c>
      <c r="AN895" t="s">
        <v>2464</v>
      </c>
      <c r="AO895" t="s">
        <v>74</v>
      </c>
      <c r="AP895" t="s">
        <v>17371</v>
      </c>
      <c r="AQ895" t="s">
        <v>74</v>
      </c>
      <c r="AR895" t="s">
        <v>17372</v>
      </c>
      <c r="AS895" t="s">
        <v>17373</v>
      </c>
      <c r="AT895" t="s">
        <v>16784</v>
      </c>
      <c r="AU895">
        <v>2017</v>
      </c>
      <c r="AV895">
        <v>6</v>
      </c>
      <c r="AW895">
        <v>11</v>
      </c>
      <c r="AX895" t="s">
        <v>74</v>
      </c>
      <c r="AY895" t="s">
        <v>74</v>
      </c>
      <c r="AZ895" t="s">
        <v>74</v>
      </c>
      <c r="BA895" t="s">
        <v>74</v>
      </c>
      <c r="BB895" t="s">
        <v>74</v>
      </c>
      <c r="BC895" t="s">
        <v>74</v>
      </c>
      <c r="BD895">
        <v>320</v>
      </c>
      <c r="BE895" t="s">
        <v>17374</v>
      </c>
      <c r="BF895" t="str">
        <f>HYPERLINK("http://dx.doi.org/10.3390/ijgi6110320","http://dx.doi.org/10.3390/ijgi6110320")</f>
        <v>http://dx.doi.org/10.3390/ijgi6110320</v>
      </c>
      <c r="BG895" t="s">
        <v>74</v>
      </c>
      <c r="BH895" t="s">
        <v>74</v>
      </c>
      <c r="BI895">
        <v>15</v>
      </c>
      <c r="BJ895" t="s">
        <v>17375</v>
      </c>
      <c r="BK895" t="s">
        <v>101</v>
      </c>
      <c r="BL895" t="s">
        <v>17376</v>
      </c>
      <c r="BM895" t="s">
        <v>17377</v>
      </c>
      <c r="BN895" t="s">
        <v>74</v>
      </c>
      <c r="BO895" t="s">
        <v>11762</v>
      </c>
      <c r="BP895" t="s">
        <v>74</v>
      </c>
      <c r="BQ895" t="s">
        <v>74</v>
      </c>
      <c r="BR895" t="s">
        <v>105</v>
      </c>
      <c r="BS895" t="s">
        <v>17378</v>
      </c>
      <c r="BT895" t="str">
        <f>HYPERLINK("https%3A%2F%2Fwww.webofscience.com%2Fwos%2Fwoscc%2Ffull-record%2FWOS:000416779300001","View Full Record in Web of Science")</f>
        <v>View Full Record in Web of Science</v>
      </c>
    </row>
    <row r="896" spans="1:72" x14ac:dyDescent="0.15">
      <c r="A896" t="s">
        <v>72</v>
      </c>
      <c r="B896" t="s">
        <v>17379</v>
      </c>
      <c r="C896" t="s">
        <v>74</v>
      </c>
      <c r="D896" t="s">
        <v>74</v>
      </c>
      <c r="E896" t="s">
        <v>74</v>
      </c>
      <c r="F896" t="s">
        <v>17380</v>
      </c>
      <c r="G896" t="s">
        <v>74</v>
      </c>
      <c r="H896" t="s">
        <v>74</v>
      </c>
      <c r="I896" t="s">
        <v>17381</v>
      </c>
      <c r="J896" t="s">
        <v>4989</v>
      </c>
      <c r="K896" t="s">
        <v>74</v>
      </c>
      <c r="L896" t="s">
        <v>74</v>
      </c>
      <c r="M896" t="s">
        <v>78</v>
      </c>
      <c r="N896" t="s">
        <v>79</v>
      </c>
      <c r="O896" t="s">
        <v>74</v>
      </c>
      <c r="P896" t="s">
        <v>74</v>
      </c>
      <c r="Q896" t="s">
        <v>74</v>
      </c>
      <c r="R896" t="s">
        <v>74</v>
      </c>
      <c r="S896" t="s">
        <v>74</v>
      </c>
      <c r="T896" t="s">
        <v>17382</v>
      </c>
      <c r="U896" t="s">
        <v>17383</v>
      </c>
      <c r="V896" t="s">
        <v>17384</v>
      </c>
      <c r="W896" t="s">
        <v>17385</v>
      </c>
      <c r="X896" t="s">
        <v>17386</v>
      </c>
      <c r="Y896" t="s">
        <v>17387</v>
      </c>
      <c r="Z896" t="s">
        <v>17388</v>
      </c>
      <c r="AA896" t="s">
        <v>17389</v>
      </c>
      <c r="AB896" t="s">
        <v>17390</v>
      </c>
      <c r="AC896" t="s">
        <v>17391</v>
      </c>
      <c r="AD896" t="s">
        <v>17392</v>
      </c>
      <c r="AE896" t="s">
        <v>17393</v>
      </c>
      <c r="AF896" t="s">
        <v>74</v>
      </c>
      <c r="AG896">
        <v>80</v>
      </c>
      <c r="AH896">
        <v>12</v>
      </c>
      <c r="AI896">
        <v>13</v>
      </c>
      <c r="AJ896">
        <v>0</v>
      </c>
      <c r="AK896">
        <v>34</v>
      </c>
      <c r="AL896" t="s">
        <v>807</v>
      </c>
      <c r="AM896" t="s">
        <v>808</v>
      </c>
      <c r="AN896" t="s">
        <v>809</v>
      </c>
      <c r="AO896" t="s">
        <v>5001</v>
      </c>
      <c r="AP896" t="s">
        <v>5002</v>
      </c>
      <c r="AQ896" t="s">
        <v>74</v>
      </c>
      <c r="AR896" t="s">
        <v>4989</v>
      </c>
      <c r="AS896" t="s">
        <v>5003</v>
      </c>
      <c r="AT896" t="s">
        <v>16784</v>
      </c>
      <c r="AU896">
        <v>2017</v>
      </c>
      <c r="AV896">
        <v>292</v>
      </c>
      <c r="AW896" t="s">
        <v>74</v>
      </c>
      <c r="AX896" t="s">
        <v>74</v>
      </c>
      <c r="AY896" t="s">
        <v>74</v>
      </c>
      <c r="AZ896" t="s">
        <v>74</v>
      </c>
      <c r="BA896" t="s">
        <v>74</v>
      </c>
      <c r="BB896">
        <v>179</v>
      </c>
      <c r="BC896">
        <v>197</v>
      </c>
      <c r="BD896" t="s">
        <v>74</v>
      </c>
      <c r="BE896" t="s">
        <v>17394</v>
      </c>
      <c r="BF896" t="str">
        <f>HYPERLINK("http://dx.doi.org/10.1016/j.lithos.2017.09.008","http://dx.doi.org/10.1016/j.lithos.2017.09.008")</f>
        <v>http://dx.doi.org/10.1016/j.lithos.2017.09.008</v>
      </c>
      <c r="BG896" t="s">
        <v>74</v>
      </c>
      <c r="BH896" t="s">
        <v>74</v>
      </c>
      <c r="BI896">
        <v>19</v>
      </c>
      <c r="BJ896" t="s">
        <v>5005</v>
      </c>
      <c r="BK896" t="s">
        <v>101</v>
      </c>
      <c r="BL896" t="s">
        <v>5005</v>
      </c>
      <c r="BM896" t="s">
        <v>17395</v>
      </c>
      <c r="BN896" t="s">
        <v>74</v>
      </c>
      <c r="BO896" t="s">
        <v>74</v>
      </c>
      <c r="BP896" t="s">
        <v>74</v>
      </c>
      <c r="BQ896" t="s">
        <v>74</v>
      </c>
      <c r="BR896" t="s">
        <v>105</v>
      </c>
      <c r="BS896" t="s">
        <v>17396</v>
      </c>
      <c r="BT896" t="str">
        <f>HYPERLINK("https%3A%2F%2Fwww.webofscience.com%2Fwos%2Fwoscc%2Ffull-record%2FWOS:000416185500012","View Full Record in Web of Science")</f>
        <v>View Full Record in Web of Science</v>
      </c>
    </row>
    <row r="897" spans="1:72" x14ac:dyDescent="0.15">
      <c r="A897" t="s">
        <v>72</v>
      </c>
      <c r="B897" t="s">
        <v>17397</v>
      </c>
      <c r="C897" t="s">
        <v>74</v>
      </c>
      <c r="D897" t="s">
        <v>74</v>
      </c>
      <c r="E897" t="s">
        <v>74</v>
      </c>
      <c r="F897" t="s">
        <v>17398</v>
      </c>
      <c r="G897" t="s">
        <v>74</v>
      </c>
      <c r="H897" t="s">
        <v>74</v>
      </c>
      <c r="I897" t="s">
        <v>17399</v>
      </c>
      <c r="J897" t="s">
        <v>17400</v>
      </c>
      <c r="K897" t="s">
        <v>74</v>
      </c>
      <c r="L897" t="s">
        <v>74</v>
      </c>
      <c r="M897" t="s">
        <v>78</v>
      </c>
      <c r="N897" t="s">
        <v>79</v>
      </c>
      <c r="O897" t="s">
        <v>74</v>
      </c>
      <c r="P897" t="s">
        <v>74</v>
      </c>
      <c r="Q897" t="s">
        <v>74</v>
      </c>
      <c r="R897" t="s">
        <v>74</v>
      </c>
      <c r="S897" t="s">
        <v>74</v>
      </c>
      <c r="T897" t="s">
        <v>17401</v>
      </c>
      <c r="U897" t="s">
        <v>17402</v>
      </c>
      <c r="V897" t="s">
        <v>17403</v>
      </c>
      <c r="W897" t="s">
        <v>17404</v>
      </c>
      <c r="X897" t="s">
        <v>17405</v>
      </c>
      <c r="Y897" t="s">
        <v>17406</v>
      </c>
      <c r="Z897" t="s">
        <v>17407</v>
      </c>
      <c r="AA897" t="s">
        <v>17408</v>
      </c>
      <c r="AB897" t="s">
        <v>17409</v>
      </c>
      <c r="AC897" t="s">
        <v>17410</v>
      </c>
      <c r="AD897" t="s">
        <v>17411</v>
      </c>
      <c r="AE897" t="s">
        <v>17412</v>
      </c>
      <c r="AF897" t="s">
        <v>74</v>
      </c>
      <c r="AG897">
        <v>17</v>
      </c>
      <c r="AH897">
        <v>0</v>
      </c>
      <c r="AI897">
        <v>0</v>
      </c>
      <c r="AJ897">
        <v>0</v>
      </c>
      <c r="AK897">
        <v>9</v>
      </c>
      <c r="AL897" t="s">
        <v>17413</v>
      </c>
      <c r="AM897" t="s">
        <v>17414</v>
      </c>
      <c r="AN897" t="s">
        <v>17415</v>
      </c>
      <c r="AO897" t="s">
        <v>17416</v>
      </c>
      <c r="AP897" t="s">
        <v>74</v>
      </c>
      <c r="AQ897" t="s">
        <v>74</v>
      </c>
      <c r="AR897" t="s">
        <v>17417</v>
      </c>
      <c r="AS897" t="s">
        <v>17418</v>
      </c>
      <c r="AT897" t="s">
        <v>17419</v>
      </c>
      <c r="AU897">
        <v>2017</v>
      </c>
      <c r="AV897">
        <v>33</v>
      </c>
      <c r="AW897">
        <v>6</v>
      </c>
      <c r="AX897" t="s">
        <v>74</v>
      </c>
      <c r="AY897" t="s">
        <v>74</v>
      </c>
      <c r="AZ897" t="s">
        <v>74</v>
      </c>
      <c r="BA897" t="s">
        <v>74</v>
      </c>
      <c r="BB897">
        <v>1617</v>
      </c>
      <c r="BC897">
        <v>1621</v>
      </c>
      <c r="BD897" t="s">
        <v>74</v>
      </c>
      <c r="BE897" t="s">
        <v>74</v>
      </c>
      <c r="BF897" t="s">
        <v>74</v>
      </c>
      <c r="BG897" t="s">
        <v>74</v>
      </c>
      <c r="BH897" t="s">
        <v>74</v>
      </c>
      <c r="BI897">
        <v>5</v>
      </c>
      <c r="BJ897" t="s">
        <v>17420</v>
      </c>
      <c r="BK897" t="s">
        <v>101</v>
      </c>
      <c r="BL897" t="s">
        <v>17421</v>
      </c>
      <c r="BM897" t="s">
        <v>17422</v>
      </c>
      <c r="BN897" t="s">
        <v>74</v>
      </c>
      <c r="BO897" t="s">
        <v>74</v>
      </c>
      <c r="BP897" t="s">
        <v>74</v>
      </c>
      <c r="BQ897" t="s">
        <v>74</v>
      </c>
      <c r="BR897" t="s">
        <v>105</v>
      </c>
      <c r="BS897" t="s">
        <v>17423</v>
      </c>
      <c r="BT897" t="str">
        <f>HYPERLINK("https%3A%2F%2Fwww.webofscience.com%2Fwos%2Fwoscc%2Ffull-record%2FWOS:000416106500025","View Full Record in Web of Science")</f>
        <v>View Full Record in Web of Science</v>
      </c>
    </row>
    <row r="898" spans="1:72" x14ac:dyDescent="0.15">
      <c r="A898" t="s">
        <v>72</v>
      </c>
      <c r="B898" t="s">
        <v>17424</v>
      </c>
      <c r="C898" t="s">
        <v>74</v>
      </c>
      <c r="D898" t="s">
        <v>74</v>
      </c>
      <c r="E898" t="s">
        <v>74</v>
      </c>
      <c r="F898" t="s">
        <v>17425</v>
      </c>
      <c r="G898" t="s">
        <v>74</v>
      </c>
      <c r="H898" t="s">
        <v>74</v>
      </c>
      <c r="I898" t="s">
        <v>17426</v>
      </c>
      <c r="J898" t="s">
        <v>4191</v>
      </c>
      <c r="K898" t="s">
        <v>74</v>
      </c>
      <c r="L898" t="s">
        <v>74</v>
      </c>
      <c r="M898" t="s">
        <v>78</v>
      </c>
      <c r="N898" t="s">
        <v>79</v>
      </c>
      <c r="O898" t="s">
        <v>74</v>
      </c>
      <c r="P898" t="s">
        <v>74</v>
      </c>
      <c r="Q898" t="s">
        <v>74</v>
      </c>
      <c r="R898" t="s">
        <v>74</v>
      </c>
      <c r="S898" t="s">
        <v>74</v>
      </c>
      <c r="T898" t="s">
        <v>17427</v>
      </c>
      <c r="U898" t="s">
        <v>17428</v>
      </c>
      <c r="V898" t="s">
        <v>17429</v>
      </c>
      <c r="W898" t="s">
        <v>17430</v>
      </c>
      <c r="X898" t="s">
        <v>17431</v>
      </c>
      <c r="Y898" t="s">
        <v>17432</v>
      </c>
      <c r="Z898" t="s">
        <v>17433</v>
      </c>
      <c r="AA898" t="s">
        <v>17434</v>
      </c>
      <c r="AB898" t="s">
        <v>17435</v>
      </c>
      <c r="AC898" t="s">
        <v>17436</v>
      </c>
      <c r="AD898" t="s">
        <v>17437</v>
      </c>
      <c r="AE898" t="s">
        <v>17438</v>
      </c>
      <c r="AF898" t="s">
        <v>74</v>
      </c>
      <c r="AG898">
        <v>101</v>
      </c>
      <c r="AH898">
        <v>17</v>
      </c>
      <c r="AI898">
        <v>17</v>
      </c>
      <c r="AJ898">
        <v>2</v>
      </c>
      <c r="AK898">
        <v>25</v>
      </c>
      <c r="AL898" t="s">
        <v>1139</v>
      </c>
      <c r="AM898" t="s">
        <v>1140</v>
      </c>
      <c r="AN898" t="s">
        <v>1141</v>
      </c>
      <c r="AO898" t="s">
        <v>4203</v>
      </c>
      <c r="AP898" t="s">
        <v>4204</v>
      </c>
      <c r="AQ898" t="s">
        <v>74</v>
      </c>
      <c r="AR898" t="s">
        <v>4205</v>
      </c>
      <c r="AS898" t="s">
        <v>4206</v>
      </c>
      <c r="AT898" t="s">
        <v>16784</v>
      </c>
      <c r="AU898">
        <v>2017</v>
      </c>
      <c r="AV898">
        <v>129</v>
      </c>
      <c r="AW898" t="s">
        <v>74</v>
      </c>
      <c r="AX898" t="s">
        <v>74</v>
      </c>
      <c r="AY898" t="s">
        <v>74</v>
      </c>
      <c r="AZ898" t="s">
        <v>74</v>
      </c>
      <c r="BA898" t="s">
        <v>74</v>
      </c>
      <c r="BB898">
        <v>116</v>
      </c>
      <c r="BC898">
        <v>130</v>
      </c>
      <c r="BD898" t="s">
        <v>74</v>
      </c>
      <c r="BE898" t="s">
        <v>17439</v>
      </c>
      <c r="BF898" t="str">
        <f>HYPERLINK("http://dx.doi.org/10.1016/j.dsr.2017.08.016","http://dx.doi.org/10.1016/j.dsr.2017.08.016")</f>
        <v>http://dx.doi.org/10.1016/j.dsr.2017.08.016</v>
      </c>
      <c r="BG898" t="s">
        <v>74</v>
      </c>
      <c r="BH898" t="s">
        <v>74</v>
      </c>
      <c r="BI898">
        <v>15</v>
      </c>
      <c r="BJ898" t="s">
        <v>1907</v>
      </c>
      <c r="BK898" t="s">
        <v>101</v>
      </c>
      <c r="BL898" t="s">
        <v>1907</v>
      </c>
      <c r="BM898" t="s">
        <v>17440</v>
      </c>
      <c r="BN898" t="s">
        <v>74</v>
      </c>
      <c r="BO898" t="s">
        <v>389</v>
      </c>
      <c r="BP898" t="s">
        <v>74</v>
      </c>
      <c r="BQ898" t="s">
        <v>74</v>
      </c>
      <c r="BR898" t="s">
        <v>105</v>
      </c>
      <c r="BS898" t="s">
        <v>17441</v>
      </c>
      <c r="BT898" t="str">
        <f>HYPERLINK("https%3A%2F%2Fwww.webofscience.com%2Fwos%2Fwoscc%2Ffull-record%2FWOS:000416191600011","View Full Record in Web of Science")</f>
        <v>View Full Record in Web of Science</v>
      </c>
    </row>
    <row r="899" spans="1:72" x14ac:dyDescent="0.15">
      <c r="A899" t="s">
        <v>72</v>
      </c>
      <c r="B899" t="s">
        <v>17442</v>
      </c>
      <c r="C899" t="s">
        <v>74</v>
      </c>
      <c r="D899" t="s">
        <v>74</v>
      </c>
      <c r="E899" t="s">
        <v>74</v>
      </c>
      <c r="F899" t="s">
        <v>17443</v>
      </c>
      <c r="G899" t="s">
        <v>74</v>
      </c>
      <c r="H899" t="s">
        <v>74</v>
      </c>
      <c r="I899" t="s">
        <v>17444</v>
      </c>
      <c r="J899" t="s">
        <v>17445</v>
      </c>
      <c r="K899" t="s">
        <v>74</v>
      </c>
      <c r="L899" t="s">
        <v>74</v>
      </c>
      <c r="M899" t="s">
        <v>78</v>
      </c>
      <c r="N899" t="s">
        <v>79</v>
      </c>
      <c r="O899" t="s">
        <v>74</v>
      </c>
      <c r="P899" t="s">
        <v>74</v>
      </c>
      <c r="Q899" t="s">
        <v>74</v>
      </c>
      <c r="R899" t="s">
        <v>74</v>
      </c>
      <c r="S899" t="s">
        <v>74</v>
      </c>
      <c r="T899" t="s">
        <v>74</v>
      </c>
      <c r="U899" t="s">
        <v>17446</v>
      </c>
      <c r="V899" t="s">
        <v>17447</v>
      </c>
      <c r="W899" t="s">
        <v>17448</v>
      </c>
      <c r="X899" t="s">
        <v>17449</v>
      </c>
      <c r="Y899" t="s">
        <v>17450</v>
      </c>
      <c r="Z899" t="s">
        <v>17451</v>
      </c>
      <c r="AA899" t="s">
        <v>74</v>
      </c>
      <c r="AB899" t="s">
        <v>17452</v>
      </c>
      <c r="AC899" t="s">
        <v>17453</v>
      </c>
      <c r="AD899" t="s">
        <v>17454</v>
      </c>
      <c r="AE899" t="s">
        <v>17455</v>
      </c>
      <c r="AF899" t="s">
        <v>74</v>
      </c>
      <c r="AG899">
        <v>75</v>
      </c>
      <c r="AH899">
        <v>14</v>
      </c>
      <c r="AI899">
        <v>17</v>
      </c>
      <c r="AJ899">
        <v>0</v>
      </c>
      <c r="AK899">
        <v>29</v>
      </c>
      <c r="AL899" t="s">
        <v>807</v>
      </c>
      <c r="AM899" t="s">
        <v>808</v>
      </c>
      <c r="AN899" t="s">
        <v>809</v>
      </c>
      <c r="AO899" t="s">
        <v>17456</v>
      </c>
      <c r="AP899" t="s">
        <v>17457</v>
      </c>
      <c r="AQ899" t="s">
        <v>74</v>
      </c>
      <c r="AR899" t="s">
        <v>17458</v>
      </c>
      <c r="AS899" t="s">
        <v>17459</v>
      </c>
      <c r="AT899" t="s">
        <v>16784</v>
      </c>
      <c r="AU899">
        <v>2017</v>
      </c>
      <c r="AV899">
        <v>158</v>
      </c>
      <c r="AW899" t="s">
        <v>74</v>
      </c>
      <c r="AX899" t="s">
        <v>74</v>
      </c>
      <c r="AY899" t="s">
        <v>74</v>
      </c>
      <c r="AZ899" t="s">
        <v>74</v>
      </c>
      <c r="BA899" t="s">
        <v>74</v>
      </c>
      <c r="BB899">
        <v>103</v>
      </c>
      <c r="BC899">
        <v>118</v>
      </c>
      <c r="BD899" t="s">
        <v>74</v>
      </c>
      <c r="BE899" t="s">
        <v>17460</v>
      </c>
      <c r="BF899" t="str">
        <f>HYPERLINK("http://dx.doi.org/10.1016/j.gloplacha.2017.09.012","http://dx.doi.org/10.1016/j.gloplacha.2017.09.012")</f>
        <v>http://dx.doi.org/10.1016/j.gloplacha.2017.09.012</v>
      </c>
      <c r="BG899" t="s">
        <v>74</v>
      </c>
      <c r="BH899" t="s">
        <v>74</v>
      </c>
      <c r="BI899">
        <v>16</v>
      </c>
      <c r="BJ899" t="s">
        <v>233</v>
      </c>
      <c r="BK899" t="s">
        <v>101</v>
      </c>
      <c r="BL899" t="s">
        <v>234</v>
      </c>
      <c r="BM899" t="s">
        <v>17461</v>
      </c>
      <c r="BN899" t="s">
        <v>74</v>
      </c>
      <c r="BO899" t="s">
        <v>74</v>
      </c>
      <c r="BP899" t="s">
        <v>74</v>
      </c>
      <c r="BQ899" t="s">
        <v>74</v>
      </c>
      <c r="BR899" t="s">
        <v>105</v>
      </c>
      <c r="BS899" t="s">
        <v>17462</v>
      </c>
      <c r="BT899" t="str">
        <f>HYPERLINK("https%3A%2F%2Fwww.webofscience.com%2Fwos%2Fwoscc%2Ffull-record%2FWOS:000415771500009","View Full Record in Web of Science")</f>
        <v>View Full Record in Web of Science</v>
      </c>
    </row>
    <row r="900" spans="1:72" x14ac:dyDescent="0.15">
      <c r="A900" t="s">
        <v>72</v>
      </c>
      <c r="B900" t="s">
        <v>17463</v>
      </c>
      <c r="C900" t="s">
        <v>74</v>
      </c>
      <c r="D900" t="s">
        <v>74</v>
      </c>
      <c r="E900" t="s">
        <v>74</v>
      </c>
      <c r="F900" t="s">
        <v>17464</v>
      </c>
      <c r="G900" t="s">
        <v>74</v>
      </c>
      <c r="H900" t="s">
        <v>74</v>
      </c>
      <c r="I900" t="s">
        <v>17465</v>
      </c>
      <c r="J900" t="s">
        <v>17466</v>
      </c>
      <c r="K900" t="s">
        <v>74</v>
      </c>
      <c r="L900" t="s">
        <v>74</v>
      </c>
      <c r="M900" t="s">
        <v>78</v>
      </c>
      <c r="N900" t="s">
        <v>79</v>
      </c>
      <c r="O900" t="s">
        <v>74</v>
      </c>
      <c r="P900" t="s">
        <v>74</v>
      </c>
      <c r="Q900" t="s">
        <v>74</v>
      </c>
      <c r="R900" t="s">
        <v>74</v>
      </c>
      <c r="S900" t="s">
        <v>74</v>
      </c>
      <c r="T900" t="s">
        <v>17467</v>
      </c>
      <c r="U900" t="s">
        <v>17468</v>
      </c>
      <c r="V900" t="s">
        <v>17469</v>
      </c>
      <c r="W900" t="s">
        <v>17470</v>
      </c>
      <c r="X900" t="s">
        <v>17471</v>
      </c>
      <c r="Y900" t="s">
        <v>17472</v>
      </c>
      <c r="Z900" t="s">
        <v>17473</v>
      </c>
      <c r="AA900" t="s">
        <v>17474</v>
      </c>
      <c r="AB900" t="s">
        <v>17475</v>
      </c>
      <c r="AC900" t="s">
        <v>17476</v>
      </c>
      <c r="AD900" t="s">
        <v>17477</v>
      </c>
      <c r="AE900" t="s">
        <v>17478</v>
      </c>
      <c r="AF900" t="s">
        <v>74</v>
      </c>
      <c r="AG900">
        <v>54</v>
      </c>
      <c r="AH900">
        <v>12</v>
      </c>
      <c r="AI900">
        <v>14</v>
      </c>
      <c r="AJ900">
        <v>0</v>
      </c>
      <c r="AK900">
        <v>8</v>
      </c>
      <c r="AL900" t="s">
        <v>807</v>
      </c>
      <c r="AM900" t="s">
        <v>808</v>
      </c>
      <c r="AN900" t="s">
        <v>809</v>
      </c>
      <c r="AO900" t="s">
        <v>17479</v>
      </c>
      <c r="AP900" t="s">
        <v>17480</v>
      </c>
      <c r="AQ900" t="s">
        <v>74</v>
      </c>
      <c r="AR900" t="s">
        <v>17481</v>
      </c>
      <c r="AS900" t="s">
        <v>17482</v>
      </c>
      <c r="AT900" t="s">
        <v>16784</v>
      </c>
      <c r="AU900">
        <v>2017</v>
      </c>
      <c r="AV900">
        <v>554</v>
      </c>
      <c r="AW900" t="s">
        <v>74</v>
      </c>
      <c r="AX900" t="s">
        <v>74</v>
      </c>
      <c r="AY900" t="s">
        <v>74</v>
      </c>
      <c r="AZ900" t="s">
        <v>74</v>
      </c>
      <c r="BA900" t="s">
        <v>74</v>
      </c>
      <c r="BB900">
        <v>277</v>
      </c>
      <c r="BC900">
        <v>291</v>
      </c>
      <c r="BD900" t="s">
        <v>74</v>
      </c>
      <c r="BE900" t="s">
        <v>17483</v>
      </c>
      <c r="BF900" t="str">
        <f>HYPERLINK("http://dx.doi.org/10.1016/j.jhydrol.2017.09.025","http://dx.doi.org/10.1016/j.jhydrol.2017.09.025")</f>
        <v>http://dx.doi.org/10.1016/j.jhydrol.2017.09.025</v>
      </c>
      <c r="BG900" t="s">
        <v>74</v>
      </c>
      <c r="BH900" t="s">
        <v>74</v>
      </c>
      <c r="BI900">
        <v>15</v>
      </c>
      <c r="BJ900" t="s">
        <v>17484</v>
      </c>
      <c r="BK900" t="s">
        <v>101</v>
      </c>
      <c r="BL900" t="s">
        <v>17485</v>
      </c>
      <c r="BM900" t="s">
        <v>17486</v>
      </c>
      <c r="BN900" t="s">
        <v>74</v>
      </c>
      <c r="BO900" t="s">
        <v>389</v>
      </c>
      <c r="BP900" t="s">
        <v>74</v>
      </c>
      <c r="BQ900" t="s">
        <v>74</v>
      </c>
      <c r="BR900" t="s">
        <v>105</v>
      </c>
      <c r="BS900" t="s">
        <v>17487</v>
      </c>
      <c r="BT900" t="str">
        <f>HYPERLINK("https%3A%2F%2Fwww.webofscience.com%2Fwos%2Fwoscc%2Ffull-record%2FWOS:000415769600020","View Full Record in Web of Science")</f>
        <v>View Full Record in Web of Science</v>
      </c>
    </row>
    <row r="901" spans="1:72" x14ac:dyDescent="0.15">
      <c r="A901" t="s">
        <v>72</v>
      </c>
      <c r="B901" t="s">
        <v>17488</v>
      </c>
      <c r="C901" t="s">
        <v>74</v>
      </c>
      <c r="D901" t="s">
        <v>74</v>
      </c>
      <c r="E901" t="s">
        <v>74</v>
      </c>
      <c r="F901" t="s">
        <v>17489</v>
      </c>
      <c r="G901" t="s">
        <v>74</v>
      </c>
      <c r="H901" t="s">
        <v>74</v>
      </c>
      <c r="I901" t="s">
        <v>17490</v>
      </c>
      <c r="J901" t="s">
        <v>17491</v>
      </c>
      <c r="K901" t="s">
        <v>74</v>
      </c>
      <c r="L901" t="s">
        <v>74</v>
      </c>
      <c r="M901" t="s">
        <v>78</v>
      </c>
      <c r="N901" t="s">
        <v>79</v>
      </c>
      <c r="O901" t="s">
        <v>74</v>
      </c>
      <c r="P901" t="s">
        <v>74</v>
      </c>
      <c r="Q901" t="s">
        <v>74</v>
      </c>
      <c r="R901" t="s">
        <v>74</v>
      </c>
      <c r="S901" t="s">
        <v>74</v>
      </c>
      <c r="T901" t="s">
        <v>17492</v>
      </c>
      <c r="U901" t="s">
        <v>74</v>
      </c>
      <c r="V901" t="s">
        <v>17493</v>
      </c>
      <c r="W901" t="s">
        <v>17494</v>
      </c>
      <c r="X901" t="s">
        <v>17495</v>
      </c>
      <c r="Y901" t="s">
        <v>17496</v>
      </c>
      <c r="Z901" t="s">
        <v>17497</v>
      </c>
      <c r="AA901" t="s">
        <v>74</v>
      </c>
      <c r="AB901" t="s">
        <v>17498</v>
      </c>
      <c r="AC901" t="s">
        <v>17499</v>
      </c>
      <c r="AD901" t="s">
        <v>17500</v>
      </c>
      <c r="AE901" t="s">
        <v>17501</v>
      </c>
      <c r="AF901" t="s">
        <v>74</v>
      </c>
      <c r="AG901">
        <v>24</v>
      </c>
      <c r="AH901">
        <v>5</v>
      </c>
      <c r="AI901">
        <v>6</v>
      </c>
      <c r="AJ901">
        <v>0</v>
      </c>
      <c r="AK901">
        <v>21</v>
      </c>
      <c r="AL901" t="s">
        <v>4270</v>
      </c>
      <c r="AM901" t="s">
        <v>4271</v>
      </c>
      <c r="AN901" t="s">
        <v>4272</v>
      </c>
      <c r="AO901" t="s">
        <v>17502</v>
      </c>
      <c r="AP901" t="s">
        <v>17503</v>
      </c>
      <c r="AQ901" t="s">
        <v>74</v>
      </c>
      <c r="AR901" t="s">
        <v>17504</v>
      </c>
      <c r="AS901" t="s">
        <v>17505</v>
      </c>
      <c r="AT901" t="s">
        <v>16784</v>
      </c>
      <c r="AU901">
        <v>2017</v>
      </c>
      <c r="AV901">
        <v>48</v>
      </c>
      <c r="AW901">
        <v>11</v>
      </c>
      <c r="AX901" t="s">
        <v>74</v>
      </c>
      <c r="AY901" t="s">
        <v>74</v>
      </c>
      <c r="AZ901" t="s">
        <v>1146</v>
      </c>
      <c r="BA901" t="s">
        <v>74</v>
      </c>
      <c r="BB901">
        <v>1503</v>
      </c>
      <c r="BC901">
        <v>1508</v>
      </c>
      <c r="BD901" t="s">
        <v>74</v>
      </c>
      <c r="BE901" t="s">
        <v>17506</v>
      </c>
      <c r="BF901" t="str">
        <f>HYPERLINK("http://dx.doi.org/10.1002/jrs.5142","http://dx.doi.org/10.1002/jrs.5142")</f>
        <v>http://dx.doi.org/10.1002/jrs.5142</v>
      </c>
      <c r="BG901" t="s">
        <v>74</v>
      </c>
      <c r="BH901" t="s">
        <v>74</v>
      </c>
      <c r="BI901">
        <v>6</v>
      </c>
      <c r="BJ901" t="s">
        <v>17507</v>
      </c>
      <c r="BK901" t="s">
        <v>101</v>
      </c>
      <c r="BL901" t="s">
        <v>17507</v>
      </c>
      <c r="BM901" t="s">
        <v>17508</v>
      </c>
      <c r="BN901" t="s">
        <v>74</v>
      </c>
      <c r="BO901" t="s">
        <v>74</v>
      </c>
      <c r="BP901" t="s">
        <v>74</v>
      </c>
      <c r="BQ901" t="s">
        <v>74</v>
      </c>
      <c r="BR901" t="s">
        <v>105</v>
      </c>
      <c r="BS901" t="s">
        <v>17509</v>
      </c>
      <c r="BT901" t="str">
        <f>HYPERLINK("https%3A%2F%2Fwww.webofscience.com%2Fwos%2Fwoscc%2Ffull-record%2FWOS:000416235800018","View Full Record in Web of Science")</f>
        <v>View Full Record in Web of Science</v>
      </c>
    </row>
    <row r="902" spans="1:72" x14ac:dyDescent="0.15">
      <c r="A902" t="s">
        <v>72</v>
      </c>
      <c r="B902" t="s">
        <v>17510</v>
      </c>
      <c r="C902" t="s">
        <v>74</v>
      </c>
      <c r="D902" t="s">
        <v>74</v>
      </c>
      <c r="E902" t="s">
        <v>74</v>
      </c>
      <c r="F902" t="s">
        <v>17511</v>
      </c>
      <c r="G902" t="s">
        <v>74</v>
      </c>
      <c r="H902" t="s">
        <v>74</v>
      </c>
      <c r="I902" t="s">
        <v>17512</v>
      </c>
      <c r="J902" t="s">
        <v>17513</v>
      </c>
      <c r="K902" t="s">
        <v>74</v>
      </c>
      <c r="L902" t="s">
        <v>74</v>
      </c>
      <c r="M902" t="s">
        <v>78</v>
      </c>
      <c r="N902" t="s">
        <v>79</v>
      </c>
      <c r="O902" t="s">
        <v>74</v>
      </c>
      <c r="P902" t="s">
        <v>74</v>
      </c>
      <c r="Q902" t="s">
        <v>74</v>
      </c>
      <c r="R902" t="s">
        <v>74</v>
      </c>
      <c r="S902" t="s">
        <v>74</v>
      </c>
      <c r="T902" t="s">
        <v>74</v>
      </c>
      <c r="U902" t="s">
        <v>17514</v>
      </c>
      <c r="V902" t="s">
        <v>17515</v>
      </c>
      <c r="W902" t="s">
        <v>17516</v>
      </c>
      <c r="X902" t="s">
        <v>17517</v>
      </c>
      <c r="Y902" t="s">
        <v>17518</v>
      </c>
      <c r="Z902" t="s">
        <v>17519</v>
      </c>
      <c r="AA902" t="s">
        <v>17520</v>
      </c>
      <c r="AB902" t="s">
        <v>17521</v>
      </c>
      <c r="AC902" t="s">
        <v>17522</v>
      </c>
      <c r="AD902" t="s">
        <v>17523</v>
      </c>
      <c r="AE902" t="s">
        <v>17524</v>
      </c>
      <c r="AF902" t="s">
        <v>74</v>
      </c>
      <c r="AG902">
        <v>80</v>
      </c>
      <c r="AH902">
        <v>14</v>
      </c>
      <c r="AI902">
        <v>15</v>
      </c>
      <c r="AJ902">
        <v>5</v>
      </c>
      <c r="AK902">
        <v>46</v>
      </c>
      <c r="AL902" t="s">
        <v>4270</v>
      </c>
      <c r="AM902" t="s">
        <v>4271</v>
      </c>
      <c r="AN902" t="s">
        <v>4272</v>
      </c>
      <c r="AO902" t="s">
        <v>17525</v>
      </c>
      <c r="AP902" t="s">
        <v>17526</v>
      </c>
      <c r="AQ902" t="s">
        <v>74</v>
      </c>
      <c r="AR902" t="s">
        <v>17527</v>
      </c>
      <c r="AS902" t="s">
        <v>17528</v>
      </c>
      <c r="AT902" t="s">
        <v>16784</v>
      </c>
      <c r="AU902">
        <v>2017</v>
      </c>
      <c r="AV902">
        <v>62</v>
      </c>
      <c r="AW902">
        <v>6</v>
      </c>
      <c r="AX902" t="s">
        <v>74</v>
      </c>
      <c r="AY902" t="s">
        <v>74</v>
      </c>
      <c r="AZ902" t="s">
        <v>74</v>
      </c>
      <c r="BA902" t="s">
        <v>74</v>
      </c>
      <c r="BB902">
        <v>2445</v>
      </c>
      <c r="BC902">
        <v>2462</v>
      </c>
      <c r="BD902" t="s">
        <v>74</v>
      </c>
      <c r="BE902" t="s">
        <v>17529</v>
      </c>
      <c r="BF902" t="str">
        <f>HYPERLINK("http://dx.doi.org/10.1002/lno.10578","http://dx.doi.org/10.1002/lno.10578")</f>
        <v>http://dx.doi.org/10.1002/lno.10578</v>
      </c>
      <c r="BG902" t="s">
        <v>74</v>
      </c>
      <c r="BH902" t="s">
        <v>74</v>
      </c>
      <c r="BI902">
        <v>18</v>
      </c>
      <c r="BJ902" t="s">
        <v>17530</v>
      </c>
      <c r="BK902" t="s">
        <v>101</v>
      </c>
      <c r="BL902" t="s">
        <v>1543</v>
      </c>
      <c r="BM902" t="s">
        <v>17531</v>
      </c>
      <c r="BN902" t="s">
        <v>74</v>
      </c>
      <c r="BO902" t="s">
        <v>306</v>
      </c>
      <c r="BP902" t="s">
        <v>74</v>
      </c>
      <c r="BQ902" t="s">
        <v>74</v>
      </c>
      <c r="BR902" t="s">
        <v>105</v>
      </c>
      <c r="BS902" t="s">
        <v>17532</v>
      </c>
      <c r="BT902" t="str">
        <f>HYPERLINK("https%3A%2F%2Fwww.webofscience.com%2Fwos%2Fwoscc%2Ffull-record%2FWOS:000415930800008","View Full Record in Web of Science")</f>
        <v>View Full Record in Web of Science</v>
      </c>
    </row>
    <row r="903" spans="1:72" x14ac:dyDescent="0.15">
      <c r="A903" t="s">
        <v>72</v>
      </c>
      <c r="B903" t="s">
        <v>17533</v>
      </c>
      <c r="C903" t="s">
        <v>74</v>
      </c>
      <c r="D903" t="s">
        <v>74</v>
      </c>
      <c r="E903" t="s">
        <v>74</v>
      </c>
      <c r="F903" t="s">
        <v>17534</v>
      </c>
      <c r="G903" t="s">
        <v>74</v>
      </c>
      <c r="H903" t="s">
        <v>74</v>
      </c>
      <c r="I903" t="s">
        <v>17535</v>
      </c>
      <c r="J903" t="s">
        <v>17513</v>
      </c>
      <c r="K903" t="s">
        <v>74</v>
      </c>
      <c r="L903" t="s">
        <v>74</v>
      </c>
      <c r="M903" t="s">
        <v>78</v>
      </c>
      <c r="N903" t="s">
        <v>79</v>
      </c>
      <c r="O903" t="s">
        <v>74</v>
      </c>
      <c r="P903" t="s">
        <v>74</v>
      </c>
      <c r="Q903" t="s">
        <v>74</v>
      </c>
      <c r="R903" t="s">
        <v>74</v>
      </c>
      <c r="S903" t="s">
        <v>74</v>
      </c>
      <c r="T903" t="s">
        <v>74</v>
      </c>
      <c r="U903" t="s">
        <v>17536</v>
      </c>
      <c r="V903" t="s">
        <v>17537</v>
      </c>
      <c r="W903" t="s">
        <v>17538</v>
      </c>
      <c r="X903" t="s">
        <v>17539</v>
      </c>
      <c r="Y903" t="s">
        <v>17540</v>
      </c>
      <c r="Z903" t="s">
        <v>17541</v>
      </c>
      <c r="AA903" t="s">
        <v>17542</v>
      </c>
      <c r="AB903" t="s">
        <v>17543</v>
      </c>
      <c r="AC903" t="s">
        <v>17544</v>
      </c>
      <c r="AD903" t="s">
        <v>17545</v>
      </c>
      <c r="AE903" t="s">
        <v>17546</v>
      </c>
      <c r="AF903" t="s">
        <v>74</v>
      </c>
      <c r="AG903">
        <v>36</v>
      </c>
      <c r="AH903">
        <v>18</v>
      </c>
      <c r="AI903">
        <v>21</v>
      </c>
      <c r="AJ903">
        <v>1</v>
      </c>
      <c r="AK903">
        <v>17</v>
      </c>
      <c r="AL903" t="s">
        <v>4270</v>
      </c>
      <c r="AM903" t="s">
        <v>4271</v>
      </c>
      <c r="AN903" t="s">
        <v>4272</v>
      </c>
      <c r="AO903" t="s">
        <v>17525</v>
      </c>
      <c r="AP903" t="s">
        <v>17526</v>
      </c>
      <c r="AQ903" t="s">
        <v>74</v>
      </c>
      <c r="AR903" t="s">
        <v>17527</v>
      </c>
      <c r="AS903" t="s">
        <v>17528</v>
      </c>
      <c r="AT903" t="s">
        <v>16784</v>
      </c>
      <c r="AU903">
        <v>2017</v>
      </c>
      <c r="AV903">
        <v>62</v>
      </c>
      <c r="AW903">
        <v>6</v>
      </c>
      <c r="AX903" t="s">
        <v>74</v>
      </c>
      <c r="AY903" t="s">
        <v>74</v>
      </c>
      <c r="AZ903" t="s">
        <v>74</v>
      </c>
      <c r="BA903" t="s">
        <v>74</v>
      </c>
      <c r="BB903">
        <v>2593</v>
      </c>
      <c r="BC903">
        <v>2603</v>
      </c>
      <c r="BD903" t="s">
        <v>74</v>
      </c>
      <c r="BE903" t="s">
        <v>17547</v>
      </c>
      <c r="BF903" t="str">
        <f>HYPERLINK("http://dx.doi.org/10.1002/lno.10592","http://dx.doi.org/10.1002/lno.10592")</f>
        <v>http://dx.doi.org/10.1002/lno.10592</v>
      </c>
      <c r="BG903" t="s">
        <v>74</v>
      </c>
      <c r="BH903" t="s">
        <v>74</v>
      </c>
      <c r="BI903">
        <v>11</v>
      </c>
      <c r="BJ903" t="s">
        <v>17530</v>
      </c>
      <c r="BK903" t="s">
        <v>101</v>
      </c>
      <c r="BL903" t="s">
        <v>1543</v>
      </c>
      <c r="BM903" t="s">
        <v>17531</v>
      </c>
      <c r="BN903" t="s">
        <v>74</v>
      </c>
      <c r="BO903" t="s">
        <v>306</v>
      </c>
      <c r="BP903" t="s">
        <v>74</v>
      </c>
      <c r="BQ903" t="s">
        <v>74</v>
      </c>
      <c r="BR903" t="s">
        <v>105</v>
      </c>
      <c r="BS903" t="s">
        <v>17548</v>
      </c>
      <c r="BT903" t="str">
        <f>HYPERLINK("https%3A%2F%2Fwww.webofscience.com%2Fwos%2Fwoscc%2Ffull-record%2FWOS:000415930800017","View Full Record in Web of Science")</f>
        <v>View Full Record in Web of Science</v>
      </c>
    </row>
    <row r="904" spans="1:72" x14ac:dyDescent="0.15">
      <c r="A904" t="s">
        <v>72</v>
      </c>
      <c r="B904" t="s">
        <v>17549</v>
      </c>
      <c r="C904" t="s">
        <v>74</v>
      </c>
      <c r="D904" t="s">
        <v>74</v>
      </c>
      <c r="E904" t="s">
        <v>74</v>
      </c>
      <c r="F904" t="s">
        <v>17550</v>
      </c>
      <c r="G904" t="s">
        <v>74</v>
      </c>
      <c r="H904" t="s">
        <v>74</v>
      </c>
      <c r="I904" t="s">
        <v>17551</v>
      </c>
      <c r="J904" t="s">
        <v>17552</v>
      </c>
      <c r="K904" t="s">
        <v>74</v>
      </c>
      <c r="L904" t="s">
        <v>74</v>
      </c>
      <c r="M904" t="s">
        <v>78</v>
      </c>
      <c r="N904" t="s">
        <v>79</v>
      </c>
      <c r="O904" t="s">
        <v>74</v>
      </c>
      <c r="P904" t="s">
        <v>74</v>
      </c>
      <c r="Q904" t="s">
        <v>74</v>
      </c>
      <c r="R904" t="s">
        <v>74</v>
      </c>
      <c r="S904" t="s">
        <v>74</v>
      </c>
      <c r="T904" t="s">
        <v>17553</v>
      </c>
      <c r="U904" t="s">
        <v>17554</v>
      </c>
      <c r="V904" t="s">
        <v>17555</v>
      </c>
      <c r="W904" t="s">
        <v>17556</v>
      </c>
      <c r="X904" t="s">
        <v>7225</v>
      </c>
      <c r="Y904" t="s">
        <v>17557</v>
      </c>
      <c r="Z904" t="s">
        <v>11603</v>
      </c>
      <c r="AA904" t="s">
        <v>11604</v>
      </c>
      <c r="AB904" t="s">
        <v>17558</v>
      </c>
      <c r="AC904" t="s">
        <v>74</v>
      </c>
      <c r="AD904" t="s">
        <v>74</v>
      </c>
      <c r="AE904" t="s">
        <v>74</v>
      </c>
      <c r="AF904" t="s">
        <v>74</v>
      </c>
      <c r="AG904">
        <v>58</v>
      </c>
      <c r="AH904">
        <v>0</v>
      </c>
      <c r="AI904">
        <v>2</v>
      </c>
      <c r="AJ904">
        <v>2</v>
      </c>
      <c r="AK904">
        <v>8</v>
      </c>
      <c r="AL904" t="s">
        <v>3906</v>
      </c>
      <c r="AM904" t="s">
        <v>3907</v>
      </c>
      <c r="AN904" t="s">
        <v>3908</v>
      </c>
      <c r="AO904" t="s">
        <v>17559</v>
      </c>
      <c r="AP904" t="s">
        <v>17560</v>
      </c>
      <c r="AQ904" t="s">
        <v>74</v>
      </c>
      <c r="AR904" t="s">
        <v>17561</v>
      </c>
      <c r="AS904" t="s">
        <v>17562</v>
      </c>
      <c r="AT904" t="s">
        <v>16784</v>
      </c>
      <c r="AU904">
        <v>2017</v>
      </c>
      <c r="AV904">
        <v>14</v>
      </c>
      <c r="AW904">
        <v>4</v>
      </c>
      <c r="AX904" t="s">
        <v>74</v>
      </c>
      <c r="AY904" t="s">
        <v>74</v>
      </c>
      <c r="AZ904" t="s">
        <v>74</v>
      </c>
      <c r="BA904" t="s">
        <v>74</v>
      </c>
      <c r="BB904">
        <v>648</v>
      </c>
      <c r="BC904">
        <v>661</v>
      </c>
      <c r="BD904" t="s">
        <v>74</v>
      </c>
      <c r="BE904" t="s">
        <v>17563</v>
      </c>
      <c r="BF904" t="str">
        <f>HYPERLINK("http://dx.doi.org/10.1007/s12182-017-0197-7","http://dx.doi.org/10.1007/s12182-017-0197-7")</f>
        <v>http://dx.doi.org/10.1007/s12182-017-0197-7</v>
      </c>
      <c r="BG904" t="s">
        <v>74</v>
      </c>
      <c r="BH904" t="s">
        <v>74</v>
      </c>
      <c r="BI904">
        <v>14</v>
      </c>
      <c r="BJ904" t="s">
        <v>17564</v>
      </c>
      <c r="BK904" t="s">
        <v>101</v>
      </c>
      <c r="BL904" t="s">
        <v>2177</v>
      </c>
      <c r="BM904" t="s">
        <v>17565</v>
      </c>
      <c r="BN904" t="s">
        <v>74</v>
      </c>
      <c r="BO904" t="s">
        <v>160</v>
      </c>
      <c r="BP904" t="s">
        <v>74</v>
      </c>
      <c r="BQ904" t="s">
        <v>74</v>
      </c>
      <c r="BR904" t="s">
        <v>105</v>
      </c>
      <c r="BS904" t="s">
        <v>17566</v>
      </c>
      <c r="BT904" t="str">
        <f>HYPERLINK("https%3A%2F%2Fwww.webofscience.com%2Fwos%2Fwoscc%2Ffull-record%2FWOS:000415724500002","View Full Record in Web of Science")</f>
        <v>View Full Record in Web of Science</v>
      </c>
    </row>
    <row r="905" spans="1:72" x14ac:dyDescent="0.15">
      <c r="A905" t="s">
        <v>72</v>
      </c>
      <c r="B905" t="s">
        <v>17567</v>
      </c>
      <c r="C905" t="s">
        <v>74</v>
      </c>
      <c r="D905" t="s">
        <v>74</v>
      </c>
      <c r="E905" t="s">
        <v>74</v>
      </c>
      <c r="F905" t="s">
        <v>17568</v>
      </c>
      <c r="G905" t="s">
        <v>74</v>
      </c>
      <c r="H905" t="s">
        <v>74</v>
      </c>
      <c r="I905" t="s">
        <v>17569</v>
      </c>
      <c r="J905" t="s">
        <v>17570</v>
      </c>
      <c r="K905" t="s">
        <v>74</v>
      </c>
      <c r="L905" t="s">
        <v>74</v>
      </c>
      <c r="M905" t="s">
        <v>78</v>
      </c>
      <c r="N905" t="s">
        <v>79</v>
      </c>
      <c r="O905" t="s">
        <v>74</v>
      </c>
      <c r="P905" t="s">
        <v>74</v>
      </c>
      <c r="Q905" t="s">
        <v>74</v>
      </c>
      <c r="R905" t="s">
        <v>74</v>
      </c>
      <c r="S905" t="s">
        <v>74</v>
      </c>
      <c r="T905" t="s">
        <v>74</v>
      </c>
      <c r="U905" t="s">
        <v>17571</v>
      </c>
      <c r="V905" t="s">
        <v>17572</v>
      </c>
      <c r="W905" t="s">
        <v>17573</v>
      </c>
      <c r="X905" t="s">
        <v>17574</v>
      </c>
      <c r="Y905" t="s">
        <v>17575</v>
      </c>
      <c r="Z905" t="s">
        <v>17576</v>
      </c>
      <c r="AA905" t="s">
        <v>17577</v>
      </c>
      <c r="AB905" t="s">
        <v>74</v>
      </c>
      <c r="AC905" t="s">
        <v>17578</v>
      </c>
      <c r="AD905" t="s">
        <v>17579</v>
      </c>
      <c r="AE905" t="s">
        <v>17580</v>
      </c>
      <c r="AF905" t="s">
        <v>74</v>
      </c>
      <c r="AG905">
        <v>25</v>
      </c>
      <c r="AH905">
        <v>4</v>
      </c>
      <c r="AI905">
        <v>4</v>
      </c>
      <c r="AJ905">
        <v>0</v>
      </c>
      <c r="AK905">
        <v>10</v>
      </c>
      <c r="AL905" t="s">
        <v>1973</v>
      </c>
      <c r="AM905" t="s">
        <v>1797</v>
      </c>
      <c r="AN905" t="s">
        <v>5588</v>
      </c>
      <c r="AO905" t="s">
        <v>17581</v>
      </c>
      <c r="AP905" t="s">
        <v>17582</v>
      </c>
      <c r="AQ905" t="s">
        <v>74</v>
      </c>
      <c r="AR905" t="s">
        <v>17583</v>
      </c>
      <c r="AS905" t="s">
        <v>17584</v>
      </c>
      <c r="AT905" t="s">
        <v>16784</v>
      </c>
      <c r="AU905">
        <v>2017</v>
      </c>
      <c r="AV905">
        <v>60</v>
      </c>
      <c r="AW905">
        <v>6</v>
      </c>
      <c r="AX905" t="s">
        <v>74</v>
      </c>
      <c r="AY905" t="s">
        <v>74</v>
      </c>
      <c r="AZ905" t="s">
        <v>74</v>
      </c>
      <c r="BA905" t="s">
        <v>74</v>
      </c>
      <c r="BB905">
        <v>456</v>
      </c>
      <c r="BC905">
        <v>466</v>
      </c>
      <c r="BD905" t="s">
        <v>74</v>
      </c>
      <c r="BE905" t="s">
        <v>17585</v>
      </c>
      <c r="BF905" t="str">
        <f>HYPERLINK("http://dx.doi.org/10.1007/s11141-017-9814-y","http://dx.doi.org/10.1007/s11141-017-9814-y")</f>
        <v>http://dx.doi.org/10.1007/s11141-017-9814-y</v>
      </c>
      <c r="BG905" t="s">
        <v>74</v>
      </c>
      <c r="BH905" t="s">
        <v>74</v>
      </c>
      <c r="BI905">
        <v>11</v>
      </c>
      <c r="BJ905" t="s">
        <v>17586</v>
      </c>
      <c r="BK905" t="s">
        <v>101</v>
      </c>
      <c r="BL905" t="s">
        <v>17587</v>
      </c>
      <c r="BM905" t="s">
        <v>17588</v>
      </c>
      <c r="BN905" t="s">
        <v>74</v>
      </c>
      <c r="BO905" t="s">
        <v>74</v>
      </c>
      <c r="BP905" t="s">
        <v>74</v>
      </c>
      <c r="BQ905" t="s">
        <v>74</v>
      </c>
      <c r="BR905" t="s">
        <v>105</v>
      </c>
      <c r="BS905" t="s">
        <v>17589</v>
      </c>
      <c r="BT905" t="str">
        <f>HYPERLINK("https%3A%2F%2Fwww.webofscience.com%2Fwos%2Fwoscc%2Ffull-record%2FWOS:000416156500003","View Full Record in Web of Science")</f>
        <v>View Full Record in Web of Science</v>
      </c>
    </row>
    <row r="906" spans="1:72" x14ac:dyDescent="0.15">
      <c r="A906" t="s">
        <v>72</v>
      </c>
      <c r="B906" t="s">
        <v>17590</v>
      </c>
      <c r="C906" t="s">
        <v>74</v>
      </c>
      <c r="D906" t="s">
        <v>74</v>
      </c>
      <c r="E906" t="s">
        <v>74</v>
      </c>
      <c r="F906" t="s">
        <v>17591</v>
      </c>
      <c r="G906" t="s">
        <v>74</v>
      </c>
      <c r="H906" t="s">
        <v>74</v>
      </c>
      <c r="I906" t="s">
        <v>17592</v>
      </c>
      <c r="J906" t="s">
        <v>17593</v>
      </c>
      <c r="K906" t="s">
        <v>74</v>
      </c>
      <c r="L906" t="s">
        <v>74</v>
      </c>
      <c r="M906" t="s">
        <v>78</v>
      </c>
      <c r="N906" t="s">
        <v>79</v>
      </c>
      <c r="O906" t="s">
        <v>74</v>
      </c>
      <c r="P906" t="s">
        <v>74</v>
      </c>
      <c r="Q906" t="s">
        <v>74</v>
      </c>
      <c r="R906" t="s">
        <v>74</v>
      </c>
      <c r="S906" t="s">
        <v>74</v>
      </c>
      <c r="T906" t="s">
        <v>17594</v>
      </c>
      <c r="U906" t="s">
        <v>17595</v>
      </c>
      <c r="V906" t="s">
        <v>17596</v>
      </c>
      <c r="W906" t="s">
        <v>17597</v>
      </c>
      <c r="X906" t="s">
        <v>17598</v>
      </c>
      <c r="Y906" t="s">
        <v>17599</v>
      </c>
      <c r="Z906" t="s">
        <v>9205</v>
      </c>
      <c r="AA906" t="s">
        <v>17600</v>
      </c>
      <c r="AB906" t="s">
        <v>17601</v>
      </c>
      <c r="AC906" t="s">
        <v>17602</v>
      </c>
      <c r="AD906" t="s">
        <v>17603</v>
      </c>
      <c r="AE906" t="s">
        <v>17604</v>
      </c>
      <c r="AF906" t="s">
        <v>74</v>
      </c>
      <c r="AG906">
        <v>48</v>
      </c>
      <c r="AH906">
        <v>11</v>
      </c>
      <c r="AI906">
        <v>12</v>
      </c>
      <c r="AJ906">
        <v>0</v>
      </c>
      <c r="AK906">
        <v>7</v>
      </c>
      <c r="AL906" t="s">
        <v>1186</v>
      </c>
      <c r="AM906" t="s">
        <v>808</v>
      </c>
      <c r="AN906" t="s">
        <v>1187</v>
      </c>
      <c r="AO906" t="s">
        <v>17605</v>
      </c>
      <c r="AP906" t="s">
        <v>17606</v>
      </c>
      <c r="AQ906" t="s">
        <v>74</v>
      </c>
      <c r="AR906" t="s">
        <v>17607</v>
      </c>
      <c r="AS906" t="s">
        <v>17608</v>
      </c>
      <c r="AT906" t="s">
        <v>16784</v>
      </c>
      <c r="AU906">
        <v>2017</v>
      </c>
      <c r="AV906">
        <v>361</v>
      </c>
      <c r="AW906" t="s">
        <v>74</v>
      </c>
      <c r="AX906" t="s">
        <v>74</v>
      </c>
      <c r="AY906" t="s">
        <v>74</v>
      </c>
      <c r="AZ906" t="s">
        <v>74</v>
      </c>
      <c r="BA906" t="s">
        <v>74</v>
      </c>
      <c r="BB906">
        <v>82</v>
      </c>
      <c r="BC906">
        <v>92</v>
      </c>
      <c r="BD906" t="s">
        <v>74</v>
      </c>
      <c r="BE906" t="s">
        <v>17609</v>
      </c>
      <c r="BF906" t="str">
        <f>HYPERLINK("http://dx.doi.org/10.1016/j.sedgeo.2017.09.013","http://dx.doi.org/10.1016/j.sedgeo.2017.09.013")</f>
        <v>http://dx.doi.org/10.1016/j.sedgeo.2017.09.013</v>
      </c>
      <c r="BG906" t="s">
        <v>74</v>
      </c>
      <c r="BH906" t="s">
        <v>74</v>
      </c>
      <c r="BI906">
        <v>11</v>
      </c>
      <c r="BJ906" t="s">
        <v>281</v>
      </c>
      <c r="BK906" t="s">
        <v>101</v>
      </c>
      <c r="BL906" t="s">
        <v>281</v>
      </c>
      <c r="BM906" t="s">
        <v>17610</v>
      </c>
      <c r="BN906" t="s">
        <v>74</v>
      </c>
      <c r="BO906" t="s">
        <v>74</v>
      </c>
      <c r="BP906" t="s">
        <v>74</v>
      </c>
      <c r="BQ906" t="s">
        <v>74</v>
      </c>
      <c r="BR906" t="s">
        <v>105</v>
      </c>
      <c r="BS906" t="s">
        <v>17611</v>
      </c>
      <c r="BT906" t="str">
        <f>HYPERLINK("https%3A%2F%2Fwww.webofscience.com%2Fwos%2Fwoscc%2Ffull-record%2FWOS:000416185100005","View Full Record in Web of Science")</f>
        <v>View Full Record in Web of Science</v>
      </c>
    </row>
    <row r="907" spans="1:72" x14ac:dyDescent="0.15">
      <c r="A907" t="s">
        <v>72</v>
      </c>
      <c r="B907" t="s">
        <v>17612</v>
      </c>
      <c r="C907" t="s">
        <v>74</v>
      </c>
      <c r="D907" t="s">
        <v>74</v>
      </c>
      <c r="E907" t="s">
        <v>74</v>
      </c>
      <c r="F907" t="s">
        <v>17613</v>
      </c>
      <c r="G907" t="s">
        <v>74</v>
      </c>
      <c r="H907" t="s">
        <v>74</v>
      </c>
      <c r="I907" t="s">
        <v>17614</v>
      </c>
      <c r="J907" t="s">
        <v>17615</v>
      </c>
      <c r="K907" t="s">
        <v>74</v>
      </c>
      <c r="L907" t="s">
        <v>74</v>
      </c>
      <c r="M907" t="s">
        <v>78</v>
      </c>
      <c r="N907" t="s">
        <v>79</v>
      </c>
      <c r="O907" t="s">
        <v>74</v>
      </c>
      <c r="P907" t="s">
        <v>74</v>
      </c>
      <c r="Q907" t="s">
        <v>74</v>
      </c>
      <c r="R907" t="s">
        <v>74</v>
      </c>
      <c r="S907" t="s">
        <v>74</v>
      </c>
      <c r="T907" t="s">
        <v>17616</v>
      </c>
      <c r="U907" t="s">
        <v>17617</v>
      </c>
      <c r="V907" t="s">
        <v>17618</v>
      </c>
      <c r="W907" t="s">
        <v>17619</v>
      </c>
      <c r="X907" t="s">
        <v>17620</v>
      </c>
      <c r="Y907" t="s">
        <v>17621</v>
      </c>
      <c r="Z907" t="s">
        <v>17622</v>
      </c>
      <c r="AA907" t="s">
        <v>17623</v>
      </c>
      <c r="AB907" t="s">
        <v>17624</v>
      </c>
      <c r="AC907" t="s">
        <v>17625</v>
      </c>
      <c r="AD907" t="s">
        <v>17626</v>
      </c>
      <c r="AE907" t="s">
        <v>17627</v>
      </c>
      <c r="AF907" t="s">
        <v>74</v>
      </c>
      <c r="AG907">
        <v>88</v>
      </c>
      <c r="AH907">
        <v>12</v>
      </c>
      <c r="AI907">
        <v>15</v>
      </c>
      <c r="AJ907">
        <v>3</v>
      </c>
      <c r="AK907">
        <v>18</v>
      </c>
      <c r="AL907" t="s">
        <v>4040</v>
      </c>
      <c r="AM907" t="s">
        <v>92</v>
      </c>
      <c r="AN907" t="s">
        <v>4041</v>
      </c>
      <c r="AO907" t="s">
        <v>17628</v>
      </c>
      <c r="AP907" t="s">
        <v>17629</v>
      </c>
      <c r="AQ907" t="s">
        <v>74</v>
      </c>
      <c r="AR907" t="s">
        <v>17615</v>
      </c>
      <c r="AS907" t="s">
        <v>17630</v>
      </c>
      <c r="AT907" t="s">
        <v>16784</v>
      </c>
      <c r="AU907">
        <v>2017</v>
      </c>
      <c r="AV907">
        <v>27</v>
      </c>
      <c r="AW907">
        <v>11</v>
      </c>
      <c r="AX907" t="s">
        <v>74</v>
      </c>
      <c r="AY907" t="s">
        <v>74</v>
      </c>
      <c r="AZ907" t="s">
        <v>74</v>
      </c>
      <c r="BA907" t="s">
        <v>74</v>
      </c>
      <c r="BB907">
        <v>1645</v>
      </c>
      <c r="BC907">
        <v>1658</v>
      </c>
      <c r="BD907" t="s">
        <v>74</v>
      </c>
      <c r="BE907" t="s">
        <v>17631</v>
      </c>
      <c r="BF907" t="str">
        <f>HYPERLINK("http://dx.doi.org/10.1177/0959683617702226","http://dx.doi.org/10.1177/0959683617702226")</f>
        <v>http://dx.doi.org/10.1177/0959683617702226</v>
      </c>
      <c r="BG907" t="s">
        <v>74</v>
      </c>
      <c r="BH907" t="s">
        <v>74</v>
      </c>
      <c r="BI907">
        <v>14</v>
      </c>
      <c r="BJ907" t="s">
        <v>233</v>
      </c>
      <c r="BK907" t="s">
        <v>101</v>
      </c>
      <c r="BL907" t="s">
        <v>234</v>
      </c>
      <c r="BM907" t="s">
        <v>17632</v>
      </c>
      <c r="BN907" t="s">
        <v>74</v>
      </c>
      <c r="BO907" t="s">
        <v>306</v>
      </c>
      <c r="BP907" t="s">
        <v>74</v>
      </c>
      <c r="BQ907" t="s">
        <v>74</v>
      </c>
      <c r="BR907" t="s">
        <v>105</v>
      </c>
      <c r="BS907" t="s">
        <v>17633</v>
      </c>
      <c r="BT907" t="str">
        <f>HYPERLINK("https%3A%2F%2Fwww.webofscience.com%2Fwos%2Fwoscc%2Ffull-record%2FWOS:000415000900003","View Full Record in Web of Science")</f>
        <v>View Full Record in Web of Science</v>
      </c>
    </row>
    <row r="908" spans="1:72" x14ac:dyDescent="0.15">
      <c r="A908" t="s">
        <v>72</v>
      </c>
      <c r="B908" t="s">
        <v>17634</v>
      </c>
      <c r="C908" t="s">
        <v>74</v>
      </c>
      <c r="D908" t="s">
        <v>74</v>
      </c>
      <c r="E908" t="s">
        <v>74</v>
      </c>
      <c r="F908" t="s">
        <v>17635</v>
      </c>
      <c r="G908" t="s">
        <v>74</v>
      </c>
      <c r="H908" t="s">
        <v>74</v>
      </c>
      <c r="I908" t="s">
        <v>17636</v>
      </c>
      <c r="J908" t="s">
        <v>17637</v>
      </c>
      <c r="K908" t="s">
        <v>74</v>
      </c>
      <c r="L908" t="s">
        <v>74</v>
      </c>
      <c r="M908" t="s">
        <v>78</v>
      </c>
      <c r="N908" t="s">
        <v>7681</v>
      </c>
      <c r="O908" t="s">
        <v>74</v>
      </c>
      <c r="P908" t="s">
        <v>74</v>
      </c>
      <c r="Q908" t="s">
        <v>74</v>
      </c>
      <c r="R908" t="s">
        <v>74</v>
      </c>
      <c r="S908" t="s">
        <v>74</v>
      </c>
      <c r="T908" t="s">
        <v>74</v>
      </c>
      <c r="U908" t="s">
        <v>74</v>
      </c>
      <c r="V908" t="s">
        <v>74</v>
      </c>
      <c r="W908" t="s">
        <v>74</v>
      </c>
      <c r="X908" t="s">
        <v>74</v>
      </c>
      <c r="Y908" t="s">
        <v>74</v>
      </c>
      <c r="Z908" t="s">
        <v>74</v>
      </c>
      <c r="AA908" t="s">
        <v>17638</v>
      </c>
      <c r="AB908" t="s">
        <v>17639</v>
      </c>
      <c r="AC908" t="s">
        <v>74</v>
      </c>
      <c r="AD908" t="s">
        <v>74</v>
      </c>
      <c r="AE908" t="s">
        <v>74</v>
      </c>
      <c r="AF908" t="s">
        <v>74</v>
      </c>
      <c r="AG908">
        <v>1</v>
      </c>
      <c r="AH908">
        <v>0</v>
      </c>
      <c r="AI908">
        <v>0</v>
      </c>
      <c r="AJ908">
        <v>0</v>
      </c>
      <c r="AK908">
        <v>8</v>
      </c>
      <c r="AL908" t="s">
        <v>4270</v>
      </c>
      <c r="AM908" t="s">
        <v>4271</v>
      </c>
      <c r="AN908" t="s">
        <v>4272</v>
      </c>
      <c r="AO908" t="s">
        <v>17640</v>
      </c>
      <c r="AP908" t="s">
        <v>17641</v>
      </c>
      <c r="AQ908" t="s">
        <v>74</v>
      </c>
      <c r="AR908" t="s">
        <v>17642</v>
      </c>
      <c r="AS908" t="s">
        <v>17643</v>
      </c>
      <c r="AT908" t="s">
        <v>17419</v>
      </c>
      <c r="AU908">
        <v>2017</v>
      </c>
      <c r="AV908">
        <v>64</v>
      </c>
      <c r="AW908">
        <v>6</v>
      </c>
      <c r="AX908" t="s">
        <v>74</v>
      </c>
      <c r="AY908" t="s">
        <v>74</v>
      </c>
      <c r="AZ908" t="s">
        <v>74</v>
      </c>
      <c r="BA908" t="s">
        <v>74</v>
      </c>
      <c r="BB908">
        <v>903</v>
      </c>
      <c r="BC908">
        <v>903</v>
      </c>
      <c r="BD908" t="s">
        <v>74</v>
      </c>
      <c r="BE908" t="s">
        <v>17644</v>
      </c>
      <c r="BF908" t="str">
        <f>HYPERLINK("http://dx.doi.org/10.1111/jeu.12433","http://dx.doi.org/10.1111/jeu.12433")</f>
        <v>http://dx.doi.org/10.1111/jeu.12433</v>
      </c>
      <c r="BG908" t="s">
        <v>74</v>
      </c>
      <c r="BH908" t="s">
        <v>74</v>
      </c>
      <c r="BI908">
        <v>1</v>
      </c>
      <c r="BJ908" t="s">
        <v>3806</v>
      </c>
      <c r="BK908" t="s">
        <v>101</v>
      </c>
      <c r="BL908" t="s">
        <v>3806</v>
      </c>
      <c r="BM908" t="s">
        <v>17645</v>
      </c>
      <c r="BN908" t="s">
        <v>74</v>
      </c>
      <c r="BO908" t="s">
        <v>306</v>
      </c>
      <c r="BP908" t="s">
        <v>74</v>
      </c>
      <c r="BQ908" t="s">
        <v>74</v>
      </c>
      <c r="BR908" t="s">
        <v>105</v>
      </c>
      <c r="BS908" t="s">
        <v>17646</v>
      </c>
      <c r="BT908" t="str">
        <f>HYPERLINK("https%3A%2F%2Fwww.webofscience.com%2Fwos%2Fwoscc%2Ffull-record%2FWOS:000415179600019","View Full Record in Web of Science")</f>
        <v>View Full Record in Web of Science</v>
      </c>
    </row>
    <row r="909" spans="1:72" x14ac:dyDescent="0.15">
      <c r="A909" t="s">
        <v>72</v>
      </c>
      <c r="B909" t="s">
        <v>17647</v>
      </c>
      <c r="C909" t="s">
        <v>74</v>
      </c>
      <c r="D909" t="s">
        <v>74</v>
      </c>
      <c r="E909" t="s">
        <v>74</v>
      </c>
      <c r="F909" t="s">
        <v>17648</v>
      </c>
      <c r="G909" t="s">
        <v>74</v>
      </c>
      <c r="H909" t="s">
        <v>74</v>
      </c>
      <c r="I909" t="s">
        <v>17649</v>
      </c>
      <c r="J909" t="s">
        <v>17650</v>
      </c>
      <c r="K909" t="s">
        <v>74</v>
      </c>
      <c r="L909" t="s">
        <v>74</v>
      </c>
      <c r="M909" t="s">
        <v>78</v>
      </c>
      <c r="N909" t="s">
        <v>79</v>
      </c>
      <c r="O909" t="s">
        <v>74</v>
      </c>
      <c r="P909" t="s">
        <v>74</v>
      </c>
      <c r="Q909" t="s">
        <v>74</v>
      </c>
      <c r="R909" t="s">
        <v>74</v>
      </c>
      <c r="S909" t="s">
        <v>74</v>
      </c>
      <c r="T909" t="s">
        <v>74</v>
      </c>
      <c r="U909" t="s">
        <v>17651</v>
      </c>
      <c r="V909" t="s">
        <v>17652</v>
      </c>
      <c r="W909" t="s">
        <v>17653</v>
      </c>
      <c r="X909" t="s">
        <v>17654</v>
      </c>
      <c r="Y909" t="s">
        <v>17655</v>
      </c>
      <c r="Z909" t="s">
        <v>17656</v>
      </c>
      <c r="AA909" t="s">
        <v>17657</v>
      </c>
      <c r="AB909" t="s">
        <v>17658</v>
      </c>
      <c r="AC909" t="s">
        <v>17659</v>
      </c>
      <c r="AD909" t="s">
        <v>17660</v>
      </c>
      <c r="AE909" t="s">
        <v>17661</v>
      </c>
      <c r="AF909" t="s">
        <v>74</v>
      </c>
      <c r="AG909">
        <v>10</v>
      </c>
      <c r="AH909">
        <v>1</v>
      </c>
      <c r="AI909">
        <v>1</v>
      </c>
      <c r="AJ909">
        <v>0</v>
      </c>
      <c r="AK909">
        <v>2</v>
      </c>
      <c r="AL909" t="s">
        <v>4154</v>
      </c>
      <c r="AM909" t="s">
        <v>1797</v>
      </c>
      <c r="AN909" t="s">
        <v>4155</v>
      </c>
      <c r="AO909" t="s">
        <v>17662</v>
      </c>
      <c r="AP909" t="s">
        <v>17663</v>
      </c>
      <c r="AQ909" t="s">
        <v>74</v>
      </c>
      <c r="AR909" t="s">
        <v>17664</v>
      </c>
      <c r="AS909" t="s">
        <v>17665</v>
      </c>
      <c r="AT909" t="s">
        <v>16784</v>
      </c>
      <c r="AU909">
        <v>2017</v>
      </c>
      <c r="AV909">
        <v>52</v>
      </c>
      <c r="AW909">
        <v>6</v>
      </c>
      <c r="AX909" t="s">
        <v>74</v>
      </c>
      <c r="AY909" t="s">
        <v>74</v>
      </c>
      <c r="AZ909" t="s">
        <v>74</v>
      </c>
      <c r="BA909" t="s">
        <v>74</v>
      </c>
      <c r="BB909">
        <v>427</v>
      </c>
      <c r="BC909">
        <v>434</v>
      </c>
      <c r="BD909" t="s">
        <v>74</v>
      </c>
      <c r="BE909" t="s">
        <v>17666</v>
      </c>
      <c r="BF909" t="str">
        <f>HYPERLINK("http://dx.doi.org/10.1134/S0024490217060104","http://dx.doi.org/10.1134/S0024490217060104")</f>
        <v>http://dx.doi.org/10.1134/S0024490217060104</v>
      </c>
      <c r="BG909" t="s">
        <v>74</v>
      </c>
      <c r="BH909" t="s">
        <v>74</v>
      </c>
      <c r="BI909">
        <v>8</v>
      </c>
      <c r="BJ909" t="s">
        <v>17667</v>
      </c>
      <c r="BK909" t="s">
        <v>101</v>
      </c>
      <c r="BL909" t="s">
        <v>17667</v>
      </c>
      <c r="BM909" t="s">
        <v>17668</v>
      </c>
      <c r="BN909" t="s">
        <v>74</v>
      </c>
      <c r="BO909" t="s">
        <v>74</v>
      </c>
      <c r="BP909" t="s">
        <v>74</v>
      </c>
      <c r="BQ909" t="s">
        <v>74</v>
      </c>
      <c r="BR909" t="s">
        <v>105</v>
      </c>
      <c r="BS909" t="s">
        <v>17669</v>
      </c>
      <c r="BT909" t="str">
        <f>HYPERLINK("https%3A%2F%2Fwww.webofscience.com%2Fwos%2Fwoscc%2Ffull-record%2FWOS:000415224500001","View Full Record in Web of Science")</f>
        <v>View Full Record in Web of Science</v>
      </c>
    </row>
    <row r="910" spans="1:72" x14ac:dyDescent="0.15">
      <c r="A910" t="s">
        <v>72</v>
      </c>
      <c r="B910" t="s">
        <v>17670</v>
      </c>
      <c r="C910" t="s">
        <v>74</v>
      </c>
      <c r="D910" t="s">
        <v>74</v>
      </c>
      <c r="E910" t="s">
        <v>74</v>
      </c>
      <c r="F910" t="s">
        <v>17671</v>
      </c>
      <c r="G910" t="s">
        <v>74</v>
      </c>
      <c r="H910" t="s">
        <v>74</v>
      </c>
      <c r="I910" t="s">
        <v>17672</v>
      </c>
      <c r="J910" t="s">
        <v>17673</v>
      </c>
      <c r="K910" t="s">
        <v>74</v>
      </c>
      <c r="L910" t="s">
        <v>74</v>
      </c>
      <c r="M910" t="s">
        <v>78</v>
      </c>
      <c r="N910" t="s">
        <v>79</v>
      </c>
      <c r="O910" t="s">
        <v>74</v>
      </c>
      <c r="P910" t="s">
        <v>74</v>
      </c>
      <c r="Q910" t="s">
        <v>74</v>
      </c>
      <c r="R910" t="s">
        <v>74</v>
      </c>
      <c r="S910" t="s">
        <v>74</v>
      </c>
      <c r="T910" t="s">
        <v>74</v>
      </c>
      <c r="U910" t="s">
        <v>17674</v>
      </c>
      <c r="V910" t="s">
        <v>17675</v>
      </c>
      <c r="W910" t="s">
        <v>17676</v>
      </c>
      <c r="X910" t="s">
        <v>17677</v>
      </c>
      <c r="Y910" t="s">
        <v>17678</v>
      </c>
      <c r="Z910" t="s">
        <v>17679</v>
      </c>
      <c r="AA910" t="s">
        <v>74</v>
      </c>
      <c r="AB910" t="s">
        <v>74</v>
      </c>
      <c r="AC910" t="s">
        <v>74</v>
      </c>
      <c r="AD910" t="s">
        <v>74</v>
      </c>
      <c r="AE910" t="s">
        <v>74</v>
      </c>
      <c r="AF910" t="s">
        <v>74</v>
      </c>
      <c r="AG910">
        <v>75</v>
      </c>
      <c r="AH910">
        <v>2</v>
      </c>
      <c r="AI910">
        <v>2</v>
      </c>
      <c r="AJ910">
        <v>0</v>
      </c>
      <c r="AK910">
        <v>7</v>
      </c>
      <c r="AL910" t="s">
        <v>17680</v>
      </c>
      <c r="AM910" t="s">
        <v>2585</v>
      </c>
      <c r="AN910" t="s">
        <v>17681</v>
      </c>
      <c r="AO910" t="s">
        <v>17682</v>
      </c>
      <c r="AP910" t="s">
        <v>74</v>
      </c>
      <c r="AQ910" t="s">
        <v>74</v>
      </c>
      <c r="AR910" t="s">
        <v>17683</v>
      </c>
      <c r="AS910" t="s">
        <v>17684</v>
      </c>
      <c r="AT910" t="s">
        <v>16784</v>
      </c>
      <c r="AU910">
        <v>2017</v>
      </c>
      <c r="AV910">
        <v>53</v>
      </c>
      <c r="AW910" t="s">
        <v>74</v>
      </c>
      <c r="AX910">
        <v>2</v>
      </c>
      <c r="AY910" t="s">
        <v>74</v>
      </c>
      <c r="AZ910" t="s">
        <v>74</v>
      </c>
      <c r="BA910" t="s">
        <v>74</v>
      </c>
      <c r="BB910">
        <v>71</v>
      </c>
      <c r="BC910">
        <v>87</v>
      </c>
      <c r="BD910" t="s">
        <v>74</v>
      </c>
      <c r="BE910" t="s">
        <v>17685</v>
      </c>
      <c r="BF910" t="str">
        <f>HYPERLINK("http://dx.doi.org/10.1144/sjg2017-005","http://dx.doi.org/10.1144/sjg2017-005")</f>
        <v>http://dx.doi.org/10.1144/sjg2017-005</v>
      </c>
      <c r="BG910" t="s">
        <v>74</v>
      </c>
      <c r="BH910" t="s">
        <v>74</v>
      </c>
      <c r="BI910">
        <v>17</v>
      </c>
      <c r="BJ910" t="s">
        <v>281</v>
      </c>
      <c r="BK910" t="s">
        <v>101</v>
      </c>
      <c r="BL910" t="s">
        <v>281</v>
      </c>
      <c r="BM910" t="s">
        <v>17686</v>
      </c>
      <c r="BN910" t="s">
        <v>74</v>
      </c>
      <c r="BO910" t="s">
        <v>389</v>
      </c>
      <c r="BP910" t="s">
        <v>74</v>
      </c>
      <c r="BQ910" t="s">
        <v>74</v>
      </c>
      <c r="BR910" t="s">
        <v>105</v>
      </c>
      <c r="BS910" t="s">
        <v>17687</v>
      </c>
      <c r="BT910" t="str">
        <f>HYPERLINK("https%3A%2F%2Fwww.webofscience.com%2Fwos%2Fwoscc%2Ffull-record%2FWOS:000415588500004","View Full Record in Web of Science")</f>
        <v>View Full Record in Web of Science</v>
      </c>
    </row>
    <row r="911" spans="1:72" x14ac:dyDescent="0.15">
      <c r="A911" t="s">
        <v>72</v>
      </c>
      <c r="B911" t="s">
        <v>17688</v>
      </c>
      <c r="C911" t="s">
        <v>74</v>
      </c>
      <c r="D911" t="s">
        <v>74</v>
      </c>
      <c r="E911" t="s">
        <v>74</v>
      </c>
      <c r="F911" t="s">
        <v>17689</v>
      </c>
      <c r="G911" t="s">
        <v>74</v>
      </c>
      <c r="H911" t="s">
        <v>74</v>
      </c>
      <c r="I911" t="s">
        <v>17690</v>
      </c>
      <c r="J911" t="s">
        <v>5552</v>
      </c>
      <c r="K911" t="s">
        <v>74</v>
      </c>
      <c r="L911" t="s">
        <v>74</v>
      </c>
      <c r="M911" t="s">
        <v>78</v>
      </c>
      <c r="N911" t="s">
        <v>79</v>
      </c>
      <c r="O911" t="s">
        <v>74</v>
      </c>
      <c r="P911" t="s">
        <v>74</v>
      </c>
      <c r="Q911" t="s">
        <v>74</v>
      </c>
      <c r="R911" t="s">
        <v>74</v>
      </c>
      <c r="S911" t="s">
        <v>74</v>
      </c>
      <c r="T911" t="s">
        <v>17691</v>
      </c>
      <c r="U911" t="s">
        <v>17692</v>
      </c>
      <c r="V911" t="s">
        <v>17693</v>
      </c>
      <c r="W911" t="s">
        <v>17694</v>
      </c>
      <c r="X911" t="s">
        <v>17695</v>
      </c>
      <c r="Y911" t="s">
        <v>1736</v>
      </c>
      <c r="Z911" t="s">
        <v>1737</v>
      </c>
      <c r="AA911" t="s">
        <v>17696</v>
      </c>
      <c r="AB911" t="s">
        <v>17697</v>
      </c>
      <c r="AC911" t="s">
        <v>17698</v>
      </c>
      <c r="AD911" t="s">
        <v>17699</v>
      </c>
      <c r="AE911" t="s">
        <v>17700</v>
      </c>
      <c r="AF911" t="s">
        <v>74</v>
      </c>
      <c r="AG911">
        <v>51</v>
      </c>
      <c r="AH911">
        <v>6</v>
      </c>
      <c r="AI911">
        <v>6</v>
      </c>
      <c r="AJ911">
        <v>0</v>
      </c>
      <c r="AK911">
        <v>22</v>
      </c>
      <c r="AL911" t="s">
        <v>1973</v>
      </c>
      <c r="AM911" t="s">
        <v>1797</v>
      </c>
      <c r="AN911" t="s">
        <v>4066</v>
      </c>
      <c r="AO911" t="s">
        <v>5565</v>
      </c>
      <c r="AP911" t="s">
        <v>5566</v>
      </c>
      <c r="AQ911" t="s">
        <v>74</v>
      </c>
      <c r="AR911" t="s">
        <v>5567</v>
      </c>
      <c r="AS911" t="s">
        <v>5568</v>
      </c>
      <c r="AT911" t="s">
        <v>16784</v>
      </c>
      <c r="AU911">
        <v>2017</v>
      </c>
      <c r="AV911">
        <v>40</v>
      </c>
      <c r="AW911">
        <v>11</v>
      </c>
      <c r="AX911" t="s">
        <v>74</v>
      </c>
      <c r="AY911" t="s">
        <v>74</v>
      </c>
      <c r="AZ911" t="s">
        <v>74</v>
      </c>
      <c r="BA911" t="s">
        <v>74</v>
      </c>
      <c r="BB911">
        <v>2137</v>
      </c>
      <c r="BC911">
        <v>2142</v>
      </c>
      <c r="BD911" t="s">
        <v>74</v>
      </c>
      <c r="BE911" t="s">
        <v>17701</v>
      </c>
      <c r="BF911" t="str">
        <f>HYPERLINK("http://dx.doi.org/10.1007/s00300-017-2129-9","http://dx.doi.org/10.1007/s00300-017-2129-9")</f>
        <v>http://dx.doi.org/10.1007/s00300-017-2129-9</v>
      </c>
      <c r="BG911" t="s">
        <v>74</v>
      </c>
      <c r="BH911" t="s">
        <v>74</v>
      </c>
      <c r="BI911">
        <v>6</v>
      </c>
      <c r="BJ911" t="s">
        <v>4277</v>
      </c>
      <c r="BK911" t="s">
        <v>101</v>
      </c>
      <c r="BL911" t="s">
        <v>4278</v>
      </c>
      <c r="BM911" t="s">
        <v>17702</v>
      </c>
      <c r="BN911" t="s">
        <v>74</v>
      </c>
      <c r="BO911" t="s">
        <v>74</v>
      </c>
      <c r="BP911" t="s">
        <v>74</v>
      </c>
      <c r="BQ911" t="s">
        <v>74</v>
      </c>
      <c r="BR911" t="s">
        <v>105</v>
      </c>
      <c r="BS911" t="s">
        <v>17703</v>
      </c>
      <c r="BT911" t="str">
        <f>HYPERLINK("https%3A%2F%2Fwww.webofscience.com%2Fwos%2Fwoscc%2Ffull-record%2FWOS:000415258700001","View Full Record in Web of Science")</f>
        <v>View Full Record in Web of Science</v>
      </c>
    </row>
    <row r="912" spans="1:72" x14ac:dyDescent="0.15">
      <c r="A912" t="s">
        <v>72</v>
      </c>
      <c r="B912" t="s">
        <v>17704</v>
      </c>
      <c r="C912" t="s">
        <v>74</v>
      </c>
      <c r="D912" t="s">
        <v>74</v>
      </c>
      <c r="E912" t="s">
        <v>74</v>
      </c>
      <c r="F912" t="s">
        <v>17705</v>
      </c>
      <c r="G912" t="s">
        <v>74</v>
      </c>
      <c r="H912" t="s">
        <v>74</v>
      </c>
      <c r="I912" t="s">
        <v>17706</v>
      </c>
      <c r="J912" t="s">
        <v>5552</v>
      </c>
      <c r="K912" t="s">
        <v>74</v>
      </c>
      <c r="L912" t="s">
        <v>74</v>
      </c>
      <c r="M912" t="s">
        <v>78</v>
      </c>
      <c r="N912" t="s">
        <v>79</v>
      </c>
      <c r="O912" t="s">
        <v>74</v>
      </c>
      <c r="P912" t="s">
        <v>74</v>
      </c>
      <c r="Q912" t="s">
        <v>74</v>
      </c>
      <c r="R912" t="s">
        <v>74</v>
      </c>
      <c r="S912" t="s">
        <v>74</v>
      </c>
      <c r="T912" t="s">
        <v>17707</v>
      </c>
      <c r="U912" t="s">
        <v>17708</v>
      </c>
      <c r="V912" t="s">
        <v>17709</v>
      </c>
      <c r="W912" t="s">
        <v>17710</v>
      </c>
      <c r="X912" t="s">
        <v>17711</v>
      </c>
      <c r="Y912" t="s">
        <v>17712</v>
      </c>
      <c r="Z912" t="s">
        <v>17713</v>
      </c>
      <c r="AA912" t="s">
        <v>17714</v>
      </c>
      <c r="AB912" t="s">
        <v>17715</v>
      </c>
      <c r="AC912" t="s">
        <v>17716</v>
      </c>
      <c r="AD912" t="s">
        <v>17717</v>
      </c>
      <c r="AE912" t="s">
        <v>17718</v>
      </c>
      <c r="AF912" t="s">
        <v>74</v>
      </c>
      <c r="AG912">
        <v>95</v>
      </c>
      <c r="AH912">
        <v>7</v>
      </c>
      <c r="AI912">
        <v>7</v>
      </c>
      <c r="AJ912">
        <v>2</v>
      </c>
      <c r="AK912">
        <v>64</v>
      </c>
      <c r="AL912" t="s">
        <v>1973</v>
      </c>
      <c r="AM912" t="s">
        <v>1797</v>
      </c>
      <c r="AN912" t="s">
        <v>5588</v>
      </c>
      <c r="AO912" t="s">
        <v>5565</v>
      </c>
      <c r="AP912" t="s">
        <v>5566</v>
      </c>
      <c r="AQ912" t="s">
        <v>74</v>
      </c>
      <c r="AR912" t="s">
        <v>5567</v>
      </c>
      <c r="AS912" t="s">
        <v>5568</v>
      </c>
      <c r="AT912" t="s">
        <v>16784</v>
      </c>
      <c r="AU912">
        <v>2017</v>
      </c>
      <c r="AV912">
        <v>40</v>
      </c>
      <c r="AW912">
        <v>11</v>
      </c>
      <c r="AX912" t="s">
        <v>74</v>
      </c>
      <c r="AY912" t="s">
        <v>74</v>
      </c>
      <c r="AZ912" t="s">
        <v>74</v>
      </c>
      <c r="BA912" t="s">
        <v>74</v>
      </c>
      <c r="BB912">
        <v>2143</v>
      </c>
      <c r="BC912">
        <v>2159</v>
      </c>
      <c r="BD912" t="s">
        <v>74</v>
      </c>
      <c r="BE912" t="s">
        <v>17719</v>
      </c>
      <c r="BF912" t="str">
        <f>HYPERLINK("http://dx.doi.org/10.1007/s00300-017-2130-3","http://dx.doi.org/10.1007/s00300-017-2130-3")</f>
        <v>http://dx.doi.org/10.1007/s00300-017-2130-3</v>
      </c>
      <c r="BG912" t="s">
        <v>74</v>
      </c>
      <c r="BH912" t="s">
        <v>74</v>
      </c>
      <c r="BI912">
        <v>17</v>
      </c>
      <c r="BJ912" t="s">
        <v>4277</v>
      </c>
      <c r="BK912" t="s">
        <v>101</v>
      </c>
      <c r="BL912" t="s">
        <v>4278</v>
      </c>
      <c r="BM912" t="s">
        <v>17702</v>
      </c>
      <c r="BN912" t="s">
        <v>74</v>
      </c>
      <c r="BO912" t="s">
        <v>74</v>
      </c>
      <c r="BP912" t="s">
        <v>74</v>
      </c>
      <c r="BQ912" t="s">
        <v>74</v>
      </c>
      <c r="BR912" t="s">
        <v>105</v>
      </c>
      <c r="BS912" t="s">
        <v>17720</v>
      </c>
      <c r="BT912" t="str">
        <f>HYPERLINK("https%3A%2F%2Fwww.webofscience.com%2Fwos%2Fwoscc%2Ffull-record%2FWOS:000415258700002","View Full Record in Web of Science")</f>
        <v>View Full Record in Web of Science</v>
      </c>
    </row>
    <row r="913" spans="1:72" x14ac:dyDescent="0.15">
      <c r="A913" t="s">
        <v>72</v>
      </c>
      <c r="B913" t="s">
        <v>17721</v>
      </c>
      <c r="C913" t="s">
        <v>74</v>
      </c>
      <c r="D913" t="s">
        <v>74</v>
      </c>
      <c r="E913" t="s">
        <v>74</v>
      </c>
      <c r="F913" t="s">
        <v>17722</v>
      </c>
      <c r="G913" t="s">
        <v>74</v>
      </c>
      <c r="H913" t="s">
        <v>74</v>
      </c>
      <c r="I913" t="s">
        <v>17723</v>
      </c>
      <c r="J913" t="s">
        <v>5552</v>
      </c>
      <c r="K913" t="s">
        <v>74</v>
      </c>
      <c r="L913" t="s">
        <v>74</v>
      </c>
      <c r="M913" t="s">
        <v>78</v>
      </c>
      <c r="N913" t="s">
        <v>79</v>
      </c>
      <c r="O913" t="s">
        <v>74</v>
      </c>
      <c r="P913" t="s">
        <v>74</v>
      </c>
      <c r="Q913" t="s">
        <v>74</v>
      </c>
      <c r="R913" t="s">
        <v>74</v>
      </c>
      <c r="S913" t="s">
        <v>74</v>
      </c>
      <c r="T913" t="s">
        <v>17724</v>
      </c>
      <c r="U913" t="s">
        <v>17725</v>
      </c>
      <c r="V913" t="s">
        <v>17726</v>
      </c>
      <c r="W913" t="s">
        <v>17727</v>
      </c>
      <c r="X913" t="s">
        <v>5658</v>
      </c>
      <c r="Y913" t="s">
        <v>17728</v>
      </c>
      <c r="Z913" t="s">
        <v>17729</v>
      </c>
      <c r="AA913" t="s">
        <v>17730</v>
      </c>
      <c r="AB913" t="s">
        <v>17731</v>
      </c>
      <c r="AC913" t="s">
        <v>17732</v>
      </c>
      <c r="AD913" t="s">
        <v>17733</v>
      </c>
      <c r="AE913" t="s">
        <v>17734</v>
      </c>
      <c r="AF913" t="s">
        <v>74</v>
      </c>
      <c r="AG913">
        <v>73</v>
      </c>
      <c r="AH913">
        <v>4</v>
      </c>
      <c r="AI913">
        <v>4</v>
      </c>
      <c r="AJ913">
        <v>0</v>
      </c>
      <c r="AK913">
        <v>6</v>
      </c>
      <c r="AL913" t="s">
        <v>1973</v>
      </c>
      <c r="AM913" t="s">
        <v>1797</v>
      </c>
      <c r="AN913" t="s">
        <v>5588</v>
      </c>
      <c r="AO913" t="s">
        <v>5565</v>
      </c>
      <c r="AP913" t="s">
        <v>5566</v>
      </c>
      <c r="AQ913" t="s">
        <v>74</v>
      </c>
      <c r="AR913" t="s">
        <v>5567</v>
      </c>
      <c r="AS913" t="s">
        <v>5568</v>
      </c>
      <c r="AT913" t="s">
        <v>16784</v>
      </c>
      <c r="AU913">
        <v>2017</v>
      </c>
      <c r="AV913">
        <v>40</v>
      </c>
      <c r="AW913">
        <v>11</v>
      </c>
      <c r="AX913" t="s">
        <v>74</v>
      </c>
      <c r="AY913" t="s">
        <v>74</v>
      </c>
      <c r="AZ913" t="s">
        <v>74</v>
      </c>
      <c r="BA913" t="s">
        <v>74</v>
      </c>
      <c r="BB913">
        <v>2187</v>
      </c>
      <c r="BC913">
        <v>2199</v>
      </c>
      <c r="BD913" t="s">
        <v>74</v>
      </c>
      <c r="BE913" t="s">
        <v>17735</v>
      </c>
      <c r="BF913" t="str">
        <f>HYPERLINK("http://dx.doi.org/10.1007/s00300-017-2133-0","http://dx.doi.org/10.1007/s00300-017-2133-0")</f>
        <v>http://dx.doi.org/10.1007/s00300-017-2133-0</v>
      </c>
      <c r="BG913" t="s">
        <v>74</v>
      </c>
      <c r="BH913" t="s">
        <v>74</v>
      </c>
      <c r="BI913">
        <v>13</v>
      </c>
      <c r="BJ913" t="s">
        <v>4277</v>
      </c>
      <c r="BK913" t="s">
        <v>101</v>
      </c>
      <c r="BL913" t="s">
        <v>4278</v>
      </c>
      <c r="BM913" t="s">
        <v>17702</v>
      </c>
      <c r="BN913" t="s">
        <v>74</v>
      </c>
      <c r="BO913" t="s">
        <v>1150</v>
      </c>
      <c r="BP913" t="s">
        <v>74</v>
      </c>
      <c r="BQ913" t="s">
        <v>74</v>
      </c>
      <c r="BR913" t="s">
        <v>105</v>
      </c>
      <c r="BS913" t="s">
        <v>17736</v>
      </c>
      <c r="BT913" t="str">
        <f>HYPERLINK("https%3A%2F%2Fwww.webofscience.com%2Fwos%2Fwoscc%2Ffull-record%2FWOS:000415258700005","View Full Record in Web of Science")</f>
        <v>View Full Record in Web of Science</v>
      </c>
    </row>
    <row r="914" spans="1:72" x14ac:dyDescent="0.15">
      <c r="A914" t="s">
        <v>72</v>
      </c>
      <c r="B914" t="s">
        <v>17737</v>
      </c>
      <c r="C914" t="s">
        <v>74</v>
      </c>
      <c r="D914" t="s">
        <v>74</v>
      </c>
      <c r="E914" t="s">
        <v>74</v>
      </c>
      <c r="F914" t="s">
        <v>17738</v>
      </c>
      <c r="G914" t="s">
        <v>74</v>
      </c>
      <c r="H914" t="s">
        <v>74</v>
      </c>
      <c r="I914" t="s">
        <v>17739</v>
      </c>
      <c r="J914" t="s">
        <v>5552</v>
      </c>
      <c r="K914" t="s">
        <v>74</v>
      </c>
      <c r="L914" t="s">
        <v>74</v>
      </c>
      <c r="M914" t="s">
        <v>78</v>
      </c>
      <c r="N914" t="s">
        <v>79</v>
      </c>
      <c r="O914" t="s">
        <v>74</v>
      </c>
      <c r="P914" t="s">
        <v>74</v>
      </c>
      <c r="Q914" t="s">
        <v>74</v>
      </c>
      <c r="R914" t="s">
        <v>74</v>
      </c>
      <c r="S914" t="s">
        <v>74</v>
      </c>
      <c r="T914" t="s">
        <v>17740</v>
      </c>
      <c r="U914" t="s">
        <v>17741</v>
      </c>
      <c r="V914" t="s">
        <v>17742</v>
      </c>
      <c r="W914" t="s">
        <v>17743</v>
      </c>
      <c r="X914" t="s">
        <v>17744</v>
      </c>
      <c r="Y914" t="s">
        <v>17745</v>
      </c>
      <c r="Z914" t="s">
        <v>17746</v>
      </c>
      <c r="AA914" t="s">
        <v>74</v>
      </c>
      <c r="AB914" t="s">
        <v>17747</v>
      </c>
      <c r="AC914" t="s">
        <v>17748</v>
      </c>
      <c r="AD914" t="s">
        <v>17749</v>
      </c>
      <c r="AE914" t="s">
        <v>17750</v>
      </c>
      <c r="AF914" t="s">
        <v>74</v>
      </c>
      <c r="AG914">
        <v>43</v>
      </c>
      <c r="AH914">
        <v>4</v>
      </c>
      <c r="AI914">
        <v>4</v>
      </c>
      <c r="AJ914">
        <v>0</v>
      </c>
      <c r="AK914">
        <v>13</v>
      </c>
      <c r="AL914" t="s">
        <v>1973</v>
      </c>
      <c r="AM914" t="s">
        <v>1797</v>
      </c>
      <c r="AN914" t="s">
        <v>5588</v>
      </c>
      <c r="AO914" t="s">
        <v>5565</v>
      </c>
      <c r="AP914" t="s">
        <v>5566</v>
      </c>
      <c r="AQ914" t="s">
        <v>74</v>
      </c>
      <c r="AR914" t="s">
        <v>5567</v>
      </c>
      <c r="AS914" t="s">
        <v>5568</v>
      </c>
      <c r="AT914" t="s">
        <v>16784</v>
      </c>
      <c r="AU914">
        <v>2017</v>
      </c>
      <c r="AV914">
        <v>40</v>
      </c>
      <c r="AW914">
        <v>11</v>
      </c>
      <c r="AX914" t="s">
        <v>74</v>
      </c>
      <c r="AY914" t="s">
        <v>74</v>
      </c>
      <c r="AZ914" t="s">
        <v>74</v>
      </c>
      <c r="BA914" t="s">
        <v>74</v>
      </c>
      <c r="BB914">
        <v>2201</v>
      </c>
      <c r="BC914">
        <v>2209</v>
      </c>
      <c r="BD914" t="s">
        <v>74</v>
      </c>
      <c r="BE914" t="s">
        <v>17751</v>
      </c>
      <c r="BF914" t="str">
        <f>HYPERLINK("http://dx.doi.org/10.1007/s00300-017-2134-z","http://dx.doi.org/10.1007/s00300-017-2134-z")</f>
        <v>http://dx.doi.org/10.1007/s00300-017-2134-z</v>
      </c>
      <c r="BG914" t="s">
        <v>74</v>
      </c>
      <c r="BH914" t="s">
        <v>74</v>
      </c>
      <c r="BI914">
        <v>9</v>
      </c>
      <c r="BJ914" t="s">
        <v>4277</v>
      </c>
      <c r="BK914" t="s">
        <v>101</v>
      </c>
      <c r="BL914" t="s">
        <v>4278</v>
      </c>
      <c r="BM914" t="s">
        <v>17702</v>
      </c>
      <c r="BN914" t="s">
        <v>74</v>
      </c>
      <c r="BO914" t="s">
        <v>74</v>
      </c>
      <c r="BP914" t="s">
        <v>74</v>
      </c>
      <c r="BQ914" t="s">
        <v>74</v>
      </c>
      <c r="BR914" t="s">
        <v>105</v>
      </c>
      <c r="BS914" t="s">
        <v>17752</v>
      </c>
      <c r="BT914" t="str">
        <f>HYPERLINK("https%3A%2F%2Fwww.webofscience.com%2Fwos%2Fwoscc%2Ffull-record%2FWOS:000415258700006","View Full Record in Web of Science")</f>
        <v>View Full Record in Web of Science</v>
      </c>
    </row>
    <row r="915" spans="1:72" x14ac:dyDescent="0.15">
      <c r="A915" t="s">
        <v>72</v>
      </c>
      <c r="B915" t="s">
        <v>17753</v>
      </c>
      <c r="C915" t="s">
        <v>74</v>
      </c>
      <c r="D915" t="s">
        <v>74</v>
      </c>
      <c r="E915" t="s">
        <v>74</v>
      </c>
      <c r="F915" t="s">
        <v>17754</v>
      </c>
      <c r="G915" t="s">
        <v>74</v>
      </c>
      <c r="H915" t="s">
        <v>74</v>
      </c>
      <c r="I915" t="s">
        <v>17755</v>
      </c>
      <c r="J915" t="s">
        <v>5552</v>
      </c>
      <c r="K915" t="s">
        <v>74</v>
      </c>
      <c r="L915" t="s">
        <v>74</v>
      </c>
      <c r="M915" t="s">
        <v>78</v>
      </c>
      <c r="N915" t="s">
        <v>79</v>
      </c>
      <c r="O915" t="s">
        <v>74</v>
      </c>
      <c r="P915" t="s">
        <v>74</v>
      </c>
      <c r="Q915" t="s">
        <v>74</v>
      </c>
      <c r="R915" t="s">
        <v>74</v>
      </c>
      <c r="S915" t="s">
        <v>74</v>
      </c>
      <c r="T915" t="s">
        <v>17756</v>
      </c>
      <c r="U915" t="s">
        <v>17757</v>
      </c>
      <c r="V915" t="s">
        <v>17758</v>
      </c>
      <c r="W915" t="s">
        <v>17759</v>
      </c>
      <c r="X915" t="s">
        <v>17760</v>
      </c>
      <c r="Y915" t="s">
        <v>17761</v>
      </c>
      <c r="Z915" t="s">
        <v>17762</v>
      </c>
      <c r="AA915" t="s">
        <v>74</v>
      </c>
      <c r="AB915" t="s">
        <v>17763</v>
      </c>
      <c r="AC915" t="s">
        <v>17764</v>
      </c>
      <c r="AD915" t="s">
        <v>17764</v>
      </c>
      <c r="AE915" t="s">
        <v>17765</v>
      </c>
      <c r="AF915" t="s">
        <v>74</v>
      </c>
      <c r="AG915">
        <v>16</v>
      </c>
      <c r="AH915">
        <v>2</v>
      </c>
      <c r="AI915">
        <v>3</v>
      </c>
      <c r="AJ915">
        <v>1</v>
      </c>
      <c r="AK915">
        <v>9</v>
      </c>
      <c r="AL915" t="s">
        <v>1973</v>
      </c>
      <c r="AM915" t="s">
        <v>1797</v>
      </c>
      <c r="AN915" t="s">
        <v>5588</v>
      </c>
      <c r="AO915" t="s">
        <v>5565</v>
      </c>
      <c r="AP915" t="s">
        <v>5566</v>
      </c>
      <c r="AQ915" t="s">
        <v>74</v>
      </c>
      <c r="AR915" t="s">
        <v>5567</v>
      </c>
      <c r="AS915" t="s">
        <v>5568</v>
      </c>
      <c r="AT915" t="s">
        <v>16784</v>
      </c>
      <c r="AU915">
        <v>2017</v>
      </c>
      <c r="AV915">
        <v>40</v>
      </c>
      <c r="AW915">
        <v>11</v>
      </c>
      <c r="AX915" t="s">
        <v>74</v>
      </c>
      <c r="AY915" t="s">
        <v>74</v>
      </c>
      <c r="AZ915" t="s">
        <v>74</v>
      </c>
      <c r="BA915" t="s">
        <v>74</v>
      </c>
      <c r="BB915">
        <v>2323</v>
      </c>
      <c r="BC915">
        <v>2327</v>
      </c>
      <c r="BD915" t="s">
        <v>74</v>
      </c>
      <c r="BE915" t="s">
        <v>17766</v>
      </c>
      <c r="BF915" t="str">
        <f>HYPERLINK("http://dx.doi.org/10.1007/s00300-017-2146-8","http://dx.doi.org/10.1007/s00300-017-2146-8")</f>
        <v>http://dx.doi.org/10.1007/s00300-017-2146-8</v>
      </c>
      <c r="BG915" t="s">
        <v>74</v>
      </c>
      <c r="BH915" t="s">
        <v>74</v>
      </c>
      <c r="BI915">
        <v>5</v>
      </c>
      <c r="BJ915" t="s">
        <v>4277</v>
      </c>
      <c r="BK915" t="s">
        <v>101</v>
      </c>
      <c r="BL915" t="s">
        <v>4278</v>
      </c>
      <c r="BM915" t="s">
        <v>17702</v>
      </c>
      <c r="BN915" t="s">
        <v>74</v>
      </c>
      <c r="BO915" t="s">
        <v>74</v>
      </c>
      <c r="BP915" t="s">
        <v>74</v>
      </c>
      <c r="BQ915" t="s">
        <v>74</v>
      </c>
      <c r="BR915" t="s">
        <v>105</v>
      </c>
      <c r="BS915" t="s">
        <v>17767</v>
      </c>
      <c r="BT915" t="str">
        <f>HYPERLINK("https%3A%2F%2Fwww.webofscience.com%2Fwos%2Fwoscc%2Ffull-record%2FWOS:000415258700017","View Full Record in Web of Science")</f>
        <v>View Full Record in Web of Science</v>
      </c>
    </row>
    <row r="916" spans="1:72" x14ac:dyDescent="0.15">
      <c r="A916" t="s">
        <v>72</v>
      </c>
      <c r="B916" t="s">
        <v>17768</v>
      </c>
      <c r="C916" t="s">
        <v>74</v>
      </c>
      <c r="D916" t="s">
        <v>74</v>
      </c>
      <c r="E916" t="s">
        <v>74</v>
      </c>
      <c r="F916" t="s">
        <v>17769</v>
      </c>
      <c r="G916" t="s">
        <v>74</v>
      </c>
      <c r="H916" t="s">
        <v>74</v>
      </c>
      <c r="I916" t="s">
        <v>17770</v>
      </c>
      <c r="J916" t="s">
        <v>5552</v>
      </c>
      <c r="K916" t="s">
        <v>74</v>
      </c>
      <c r="L916" t="s">
        <v>74</v>
      </c>
      <c r="M916" t="s">
        <v>78</v>
      </c>
      <c r="N916" t="s">
        <v>79</v>
      </c>
      <c r="O916" t="s">
        <v>74</v>
      </c>
      <c r="P916" t="s">
        <v>74</v>
      </c>
      <c r="Q916" t="s">
        <v>74</v>
      </c>
      <c r="R916" t="s">
        <v>74</v>
      </c>
      <c r="S916" t="s">
        <v>74</v>
      </c>
      <c r="T916" t="s">
        <v>17771</v>
      </c>
      <c r="U916" t="s">
        <v>17772</v>
      </c>
      <c r="V916" t="s">
        <v>17773</v>
      </c>
      <c r="W916" t="s">
        <v>17774</v>
      </c>
      <c r="X916" t="s">
        <v>17775</v>
      </c>
      <c r="Y916" t="s">
        <v>17776</v>
      </c>
      <c r="Z916" t="s">
        <v>17777</v>
      </c>
      <c r="AA916" t="s">
        <v>17778</v>
      </c>
      <c r="AB916" t="s">
        <v>17779</v>
      </c>
      <c r="AC916" t="s">
        <v>17780</v>
      </c>
      <c r="AD916" t="s">
        <v>17781</v>
      </c>
      <c r="AE916" t="s">
        <v>17782</v>
      </c>
      <c r="AF916" t="s">
        <v>74</v>
      </c>
      <c r="AG916">
        <v>29</v>
      </c>
      <c r="AH916">
        <v>9</v>
      </c>
      <c r="AI916">
        <v>9</v>
      </c>
      <c r="AJ916">
        <v>0</v>
      </c>
      <c r="AK916">
        <v>28</v>
      </c>
      <c r="AL916" t="s">
        <v>1973</v>
      </c>
      <c r="AM916" t="s">
        <v>1797</v>
      </c>
      <c r="AN916" t="s">
        <v>4066</v>
      </c>
      <c r="AO916" t="s">
        <v>5565</v>
      </c>
      <c r="AP916" t="s">
        <v>5566</v>
      </c>
      <c r="AQ916" t="s">
        <v>74</v>
      </c>
      <c r="AR916" t="s">
        <v>5567</v>
      </c>
      <c r="AS916" t="s">
        <v>5568</v>
      </c>
      <c r="AT916" t="s">
        <v>16784</v>
      </c>
      <c r="AU916">
        <v>2017</v>
      </c>
      <c r="AV916">
        <v>40</v>
      </c>
      <c r="AW916">
        <v>11</v>
      </c>
      <c r="AX916" t="s">
        <v>74</v>
      </c>
      <c r="AY916" t="s">
        <v>74</v>
      </c>
      <c r="AZ916" t="s">
        <v>74</v>
      </c>
      <c r="BA916" t="s">
        <v>74</v>
      </c>
      <c r="BB916">
        <v>2335</v>
      </c>
      <c r="BC916">
        <v>2342</v>
      </c>
      <c r="BD916" t="s">
        <v>74</v>
      </c>
      <c r="BE916" t="s">
        <v>17783</v>
      </c>
      <c r="BF916" t="str">
        <f>HYPERLINK("http://dx.doi.org/10.1007/s00300-017-2148-6","http://dx.doi.org/10.1007/s00300-017-2148-6")</f>
        <v>http://dx.doi.org/10.1007/s00300-017-2148-6</v>
      </c>
      <c r="BG916" t="s">
        <v>74</v>
      </c>
      <c r="BH916" t="s">
        <v>74</v>
      </c>
      <c r="BI916">
        <v>8</v>
      </c>
      <c r="BJ916" t="s">
        <v>4277</v>
      </c>
      <c r="BK916" t="s">
        <v>101</v>
      </c>
      <c r="BL916" t="s">
        <v>4278</v>
      </c>
      <c r="BM916" t="s">
        <v>17702</v>
      </c>
      <c r="BN916" t="s">
        <v>74</v>
      </c>
      <c r="BO916" t="s">
        <v>389</v>
      </c>
      <c r="BP916" t="s">
        <v>74</v>
      </c>
      <c r="BQ916" t="s">
        <v>74</v>
      </c>
      <c r="BR916" t="s">
        <v>105</v>
      </c>
      <c r="BS916" t="s">
        <v>17784</v>
      </c>
      <c r="BT916" t="str">
        <f>HYPERLINK("https%3A%2F%2Fwww.webofscience.com%2Fwos%2Fwoscc%2Ffull-record%2FWOS:000415258700019","View Full Record in Web of Science")</f>
        <v>View Full Record in Web of Science</v>
      </c>
    </row>
    <row r="917" spans="1:72" x14ac:dyDescent="0.15">
      <c r="A917" t="s">
        <v>72</v>
      </c>
      <c r="B917" t="s">
        <v>17785</v>
      </c>
      <c r="C917" t="s">
        <v>74</v>
      </c>
      <c r="D917" t="s">
        <v>74</v>
      </c>
      <c r="E917" t="s">
        <v>74</v>
      </c>
      <c r="F917" t="s">
        <v>17786</v>
      </c>
      <c r="G917" t="s">
        <v>74</v>
      </c>
      <c r="H917" t="s">
        <v>74</v>
      </c>
      <c r="I917" t="s">
        <v>17787</v>
      </c>
      <c r="J917" t="s">
        <v>17788</v>
      </c>
      <c r="K917" t="s">
        <v>74</v>
      </c>
      <c r="L917" t="s">
        <v>74</v>
      </c>
      <c r="M917" t="s">
        <v>78</v>
      </c>
      <c r="N917" t="s">
        <v>79</v>
      </c>
      <c r="O917" t="s">
        <v>74</v>
      </c>
      <c r="P917" t="s">
        <v>74</v>
      </c>
      <c r="Q917" t="s">
        <v>74</v>
      </c>
      <c r="R917" t="s">
        <v>74</v>
      </c>
      <c r="S917" t="s">
        <v>74</v>
      </c>
      <c r="T917" t="s">
        <v>17789</v>
      </c>
      <c r="U917" t="s">
        <v>17790</v>
      </c>
      <c r="V917" t="s">
        <v>17791</v>
      </c>
      <c r="W917" t="s">
        <v>17792</v>
      </c>
      <c r="X917" t="s">
        <v>17793</v>
      </c>
      <c r="Y917" t="s">
        <v>17794</v>
      </c>
      <c r="Z917" t="s">
        <v>17795</v>
      </c>
      <c r="AA917" t="s">
        <v>17796</v>
      </c>
      <c r="AB917" t="s">
        <v>17797</v>
      </c>
      <c r="AC917" t="s">
        <v>17798</v>
      </c>
      <c r="AD917" t="s">
        <v>17799</v>
      </c>
      <c r="AE917" t="s">
        <v>17800</v>
      </c>
      <c r="AF917" t="s">
        <v>74</v>
      </c>
      <c r="AG917">
        <v>58</v>
      </c>
      <c r="AH917">
        <v>8</v>
      </c>
      <c r="AI917">
        <v>8</v>
      </c>
      <c r="AJ917">
        <v>2</v>
      </c>
      <c r="AK917">
        <v>11</v>
      </c>
      <c r="AL917" t="s">
        <v>4978</v>
      </c>
      <c r="AM917" t="s">
        <v>3107</v>
      </c>
      <c r="AN917" t="s">
        <v>17801</v>
      </c>
      <c r="AO917" t="s">
        <v>17802</v>
      </c>
      <c r="AP917" t="s">
        <v>17803</v>
      </c>
      <c r="AQ917" t="s">
        <v>74</v>
      </c>
      <c r="AR917" t="s">
        <v>17788</v>
      </c>
      <c r="AS917" t="s">
        <v>17804</v>
      </c>
      <c r="AT917" t="s">
        <v>16784</v>
      </c>
      <c r="AU917">
        <v>2017</v>
      </c>
      <c r="AV917">
        <v>21</v>
      </c>
      <c r="AW917">
        <v>6</v>
      </c>
      <c r="AX917" t="s">
        <v>74</v>
      </c>
      <c r="AY917" t="s">
        <v>74</v>
      </c>
      <c r="AZ917" t="s">
        <v>74</v>
      </c>
      <c r="BA917" t="s">
        <v>74</v>
      </c>
      <c r="BB917">
        <v>947</v>
      </c>
      <c r="BC917">
        <v>961</v>
      </c>
      <c r="BD917" t="s">
        <v>74</v>
      </c>
      <c r="BE917" t="s">
        <v>17805</v>
      </c>
      <c r="BF917" t="str">
        <f>HYPERLINK("http://dx.doi.org/10.1007/s00792-017-0955-x","http://dx.doi.org/10.1007/s00792-017-0955-x")</f>
        <v>http://dx.doi.org/10.1007/s00792-017-0955-x</v>
      </c>
      <c r="BG917" t="s">
        <v>74</v>
      </c>
      <c r="BH917" t="s">
        <v>74</v>
      </c>
      <c r="BI917">
        <v>15</v>
      </c>
      <c r="BJ917" t="s">
        <v>5239</v>
      </c>
      <c r="BK917" t="s">
        <v>101</v>
      </c>
      <c r="BL917" t="s">
        <v>5239</v>
      </c>
      <c r="BM917" t="s">
        <v>17806</v>
      </c>
      <c r="BN917">
        <v>28936677</v>
      </c>
      <c r="BO917" t="s">
        <v>74</v>
      </c>
      <c r="BP917" t="s">
        <v>74</v>
      </c>
      <c r="BQ917" t="s">
        <v>74</v>
      </c>
      <c r="BR917" t="s">
        <v>105</v>
      </c>
      <c r="BS917" t="s">
        <v>17807</v>
      </c>
      <c r="BT917" t="str">
        <f>HYPERLINK("https%3A%2F%2Fwww.webofscience.com%2Fwos%2Fwoscc%2Ffull-record%2FWOS:000414671300001","View Full Record in Web of Science")</f>
        <v>View Full Record in Web of Science</v>
      </c>
    </row>
    <row r="918" spans="1:72" x14ac:dyDescent="0.15">
      <c r="A918" t="s">
        <v>72</v>
      </c>
      <c r="B918" t="s">
        <v>17808</v>
      </c>
      <c r="C918" t="s">
        <v>74</v>
      </c>
      <c r="D918" t="s">
        <v>74</v>
      </c>
      <c r="E918" t="s">
        <v>74</v>
      </c>
      <c r="F918" t="s">
        <v>17809</v>
      </c>
      <c r="G918" t="s">
        <v>74</v>
      </c>
      <c r="H918" t="s">
        <v>74</v>
      </c>
      <c r="I918" t="s">
        <v>17810</v>
      </c>
      <c r="J918" t="s">
        <v>7861</v>
      </c>
      <c r="K918" t="s">
        <v>74</v>
      </c>
      <c r="L918" t="s">
        <v>74</v>
      </c>
      <c r="M918" t="s">
        <v>78</v>
      </c>
      <c r="N918" t="s">
        <v>79</v>
      </c>
      <c r="O918" t="s">
        <v>74</v>
      </c>
      <c r="P918" t="s">
        <v>74</v>
      </c>
      <c r="Q918" t="s">
        <v>74</v>
      </c>
      <c r="R918" t="s">
        <v>74</v>
      </c>
      <c r="S918" t="s">
        <v>74</v>
      </c>
      <c r="T918" t="s">
        <v>74</v>
      </c>
      <c r="U918" t="s">
        <v>17811</v>
      </c>
      <c r="V918" t="s">
        <v>17812</v>
      </c>
      <c r="W918" t="s">
        <v>17813</v>
      </c>
      <c r="X918" t="s">
        <v>17814</v>
      </c>
      <c r="Y918" t="s">
        <v>17815</v>
      </c>
      <c r="Z918" t="s">
        <v>17816</v>
      </c>
      <c r="AA918" t="s">
        <v>17817</v>
      </c>
      <c r="AB918" t="s">
        <v>17818</v>
      </c>
      <c r="AC918" t="s">
        <v>17819</v>
      </c>
      <c r="AD918" t="s">
        <v>17820</v>
      </c>
      <c r="AE918" t="s">
        <v>17821</v>
      </c>
      <c r="AF918" t="s">
        <v>74</v>
      </c>
      <c r="AG918">
        <v>101</v>
      </c>
      <c r="AH918">
        <v>45</v>
      </c>
      <c r="AI918">
        <v>48</v>
      </c>
      <c r="AJ918">
        <v>5</v>
      </c>
      <c r="AK918">
        <v>54</v>
      </c>
      <c r="AL918" t="s">
        <v>4022</v>
      </c>
      <c r="AM918" t="s">
        <v>4023</v>
      </c>
      <c r="AN918" t="s">
        <v>12592</v>
      </c>
      <c r="AO918" t="s">
        <v>7870</v>
      </c>
      <c r="AP918" t="s">
        <v>7871</v>
      </c>
      <c r="AQ918" t="s">
        <v>74</v>
      </c>
      <c r="AR918" t="s">
        <v>7872</v>
      </c>
      <c r="AS918" t="s">
        <v>7873</v>
      </c>
      <c r="AT918" t="s">
        <v>16784</v>
      </c>
      <c r="AU918">
        <v>2017</v>
      </c>
      <c r="AV918">
        <v>30</v>
      </c>
      <c r="AW918">
        <v>21</v>
      </c>
      <c r="AX918" t="s">
        <v>74</v>
      </c>
      <c r="AY918" t="s">
        <v>74</v>
      </c>
      <c r="AZ918" t="s">
        <v>74</v>
      </c>
      <c r="BA918" t="s">
        <v>74</v>
      </c>
      <c r="BB918">
        <v>8539</v>
      </c>
      <c r="BC918">
        <v>8563</v>
      </c>
      <c r="BD918" t="s">
        <v>74</v>
      </c>
      <c r="BE918" t="s">
        <v>17822</v>
      </c>
      <c r="BF918" t="str">
        <f>HYPERLINK("http://dx.doi.org/10.1175/JCLI-D-17-0110.1","http://dx.doi.org/10.1175/JCLI-D-17-0110.1")</f>
        <v>http://dx.doi.org/10.1175/JCLI-D-17-0110.1</v>
      </c>
      <c r="BG918" t="s">
        <v>74</v>
      </c>
      <c r="BH918" t="s">
        <v>74</v>
      </c>
      <c r="BI918">
        <v>25</v>
      </c>
      <c r="BJ918" t="s">
        <v>430</v>
      </c>
      <c r="BK918" t="s">
        <v>101</v>
      </c>
      <c r="BL918" t="s">
        <v>430</v>
      </c>
      <c r="BM918" t="s">
        <v>17823</v>
      </c>
      <c r="BN918" t="s">
        <v>74</v>
      </c>
      <c r="BO918" t="s">
        <v>17824</v>
      </c>
      <c r="BP918" t="s">
        <v>74</v>
      </c>
      <c r="BQ918" t="s">
        <v>74</v>
      </c>
      <c r="BR918" t="s">
        <v>105</v>
      </c>
      <c r="BS918" t="s">
        <v>17825</v>
      </c>
      <c r="BT918" t="str">
        <f>HYPERLINK("https%3A%2F%2Fwww.webofscience.com%2Fwos%2Fwoscc%2Ffull-record%2FWOS:000414646000007","View Full Record in Web of Science")</f>
        <v>View Full Record in Web of Science</v>
      </c>
    </row>
    <row r="919" spans="1:72" x14ac:dyDescent="0.15">
      <c r="A919" t="s">
        <v>72</v>
      </c>
      <c r="B919" t="s">
        <v>17826</v>
      </c>
      <c r="C919" t="s">
        <v>74</v>
      </c>
      <c r="D919" t="s">
        <v>74</v>
      </c>
      <c r="E919" t="s">
        <v>74</v>
      </c>
      <c r="F919" t="s">
        <v>17827</v>
      </c>
      <c r="G919" t="s">
        <v>74</v>
      </c>
      <c r="H919" t="s">
        <v>74</v>
      </c>
      <c r="I919" t="s">
        <v>17828</v>
      </c>
      <c r="J919" t="s">
        <v>7861</v>
      </c>
      <c r="K919" t="s">
        <v>74</v>
      </c>
      <c r="L919" t="s">
        <v>74</v>
      </c>
      <c r="M919" t="s">
        <v>78</v>
      </c>
      <c r="N919" t="s">
        <v>79</v>
      </c>
      <c r="O919" t="s">
        <v>74</v>
      </c>
      <c r="P919" t="s">
        <v>74</v>
      </c>
      <c r="Q919" t="s">
        <v>74</v>
      </c>
      <c r="R919" t="s">
        <v>74</v>
      </c>
      <c r="S919" t="s">
        <v>74</v>
      </c>
      <c r="T919" t="s">
        <v>74</v>
      </c>
      <c r="U919" t="s">
        <v>17829</v>
      </c>
      <c r="V919" t="s">
        <v>17830</v>
      </c>
      <c r="W919" t="s">
        <v>17831</v>
      </c>
      <c r="X919" t="s">
        <v>17832</v>
      </c>
      <c r="Y919" t="s">
        <v>17833</v>
      </c>
      <c r="Z919" t="s">
        <v>17834</v>
      </c>
      <c r="AA919" t="s">
        <v>17835</v>
      </c>
      <c r="AB919" t="s">
        <v>17836</v>
      </c>
      <c r="AC919" t="s">
        <v>17837</v>
      </c>
      <c r="AD919" t="s">
        <v>17838</v>
      </c>
      <c r="AE919" t="s">
        <v>17839</v>
      </c>
      <c r="AF919" t="s">
        <v>74</v>
      </c>
      <c r="AG919">
        <v>161</v>
      </c>
      <c r="AH919">
        <v>42</v>
      </c>
      <c r="AI919">
        <v>43</v>
      </c>
      <c r="AJ919">
        <v>5</v>
      </c>
      <c r="AK919">
        <v>41</v>
      </c>
      <c r="AL919" t="s">
        <v>4022</v>
      </c>
      <c r="AM919" t="s">
        <v>4023</v>
      </c>
      <c r="AN919" t="s">
        <v>4024</v>
      </c>
      <c r="AO919" t="s">
        <v>7870</v>
      </c>
      <c r="AP919" t="s">
        <v>7871</v>
      </c>
      <c r="AQ919" t="s">
        <v>74</v>
      </c>
      <c r="AR919" t="s">
        <v>7872</v>
      </c>
      <c r="AS919" t="s">
        <v>7873</v>
      </c>
      <c r="AT919" t="s">
        <v>16784</v>
      </c>
      <c r="AU919">
        <v>2017</v>
      </c>
      <c r="AV919">
        <v>30</v>
      </c>
      <c r="AW919">
        <v>21</v>
      </c>
      <c r="AX919" t="s">
        <v>74</v>
      </c>
      <c r="AY919" t="s">
        <v>74</v>
      </c>
      <c r="AZ919" t="s">
        <v>74</v>
      </c>
      <c r="BA919" t="s">
        <v>74</v>
      </c>
      <c r="BB919">
        <v>8565</v>
      </c>
      <c r="BC919">
        <v>8593</v>
      </c>
      <c r="BD919" t="s">
        <v>74</v>
      </c>
      <c r="BE919" t="s">
        <v>17840</v>
      </c>
      <c r="BF919" t="str">
        <f>HYPERLINK("http://dx.doi.org/10.1175/JCLI-D-17-0112.1","http://dx.doi.org/10.1175/JCLI-D-17-0112.1")</f>
        <v>http://dx.doi.org/10.1175/JCLI-D-17-0112.1</v>
      </c>
      <c r="BG919" t="s">
        <v>74</v>
      </c>
      <c r="BH919" t="s">
        <v>74</v>
      </c>
      <c r="BI919">
        <v>29</v>
      </c>
      <c r="BJ919" t="s">
        <v>430</v>
      </c>
      <c r="BK919" t="s">
        <v>101</v>
      </c>
      <c r="BL919" t="s">
        <v>430</v>
      </c>
      <c r="BM919" t="s">
        <v>17823</v>
      </c>
      <c r="BN919" t="s">
        <v>74</v>
      </c>
      <c r="BO919" t="s">
        <v>17824</v>
      </c>
      <c r="BP919" t="s">
        <v>74</v>
      </c>
      <c r="BQ919" t="s">
        <v>74</v>
      </c>
      <c r="BR919" t="s">
        <v>105</v>
      </c>
      <c r="BS919" t="s">
        <v>17841</v>
      </c>
      <c r="BT919" t="str">
        <f>HYPERLINK("https%3A%2F%2Fwww.webofscience.com%2Fwos%2Fwoscc%2Ffull-record%2FWOS:000414646000008","View Full Record in Web of Science")</f>
        <v>View Full Record in Web of Science</v>
      </c>
    </row>
    <row r="920" spans="1:72" x14ac:dyDescent="0.15">
      <c r="A920" t="s">
        <v>72</v>
      </c>
      <c r="B920" t="s">
        <v>17842</v>
      </c>
      <c r="C920" t="s">
        <v>74</v>
      </c>
      <c r="D920" t="s">
        <v>74</v>
      </c>
      <c r="E920" t="s">
        <v>74</v>
      </c>
      <c r="F920" t="s">
        <v>17843</v>
      </c>
      <c r="G920" t="s">
        <v>74</v>
      </c>
      <c r="H920" t="s">
        <v>74</v>
      </c>
      <c r="I920" t="s">
        <v>17844</v>
      </c>
      <c r="J920" t="s">
        <v>17845</v>
      </c>
      <c r="K920" t="s">
        <v>74</v>
      </c>
      <c r="L920" t="s">
        <v>74</v>
      </c>
      <c r="M920" t="s">
        <v>78</v>
      </c>
      <c r="N920" t="s">
        <v>79</v>
      </c>
      <c r="O920" t="s">
        <v>74</v>
      </c>
      <c r="P920" t="s">
        <v>74</v>
      </c>
      <c r="Q920" t="s">
        <v>74</v>
      </c>
      <c r="R920" t="s">
        <v>74</v>
      </c>
      <c r="S920" t="s">
        <v>74</v>
      </c>
      <c r="T920" t="s">
        <v>17846</v>
      </c>
      <c r="U920" t="s">
        <v>17847</v>
      </c>
      <c r="V920" t="s">
        <v>17848</v>
      </c>
      <c r="W920" t="s">
        <v>17849</v>
      </c>
      <c r="X920" t="s">
        <v>17850</v>
      </c>
      <c r="Y920" t="s">
        <v>17851</v>
      </c>
      <c r="Z920" t="s">
        <v>17852</v>
      </c>
      <c r="AA920" t="s">
        <v>74</v>
      </c>
      <c r="AB920" t="s">
        <v>17853</v>
      </c>
      <c r="AC920" t="s">
        <v>17854</v>
      </c>
      <c r="AD920" t="s">
        <v>17855</v>
      </c>
      <c r="AE920" t="s">
        <v>74</v>
      </c>
      <c r="AF920" t="s">
        <v>74</v>
      </c>
      <c r="AG920">
        <v>70</v>
      </c>
      <c r="AH920">
        <v>10</v>
      </c>
      <c r="AI920">
        <v>10</v>
      </c>
      <c r="AJ920">
        <v>0</v>
      </c>
      <c r="AK920">
        <v>5</v>
      </c>
      <c r="AL920" t="s">
        <v>1139</v>
      </c>
      <c r="AM920" t="s">
        <v>1140</v>
      </c>
      <c r="AN920" t="s">
        <v>1141</v>
      </c>
      <c r="AO920" t="s">
        <v>17856</v>
      </c>
      <c r="AP920" t="s">
        <v>74</v>
      </c>
      <c r="AQ920" t="s">
        <v>74</v>
      </c>
      <c r="AR920" t="s">
        <v>17857</v>
      </c>
      <c r="AS920" t="s">
        <v>17858</v>
      </c>
      <c r="AT920" t="s">
        <v>16784</v>
      </c>
      <c r="AU920">
        <v>2017</v>
      </c>
      <c r="AV920">
        <v>111</v>
      </c>
      <c r="AW920" t="s">
        <v>74</v>
      </c>
      <c r="AX920" t="s">
        <v>74</v>
      </c>
      <c r="AY920" t="s">
        <v>74</v>
      </c>
      <c r="AZ920" t="s">
        <v>74</v>
      </c>
      <c r="BA920" t="s">
        <v>74</v>
      </c>
      <c r="BB920">
        <v>15</v>
      </c>
      <c r="BC920">
        <v>30</v>
      </c>
      <c r="BD920" t="s">
        <v>74</v>
      </c>
      <c r="BE920" t="s">
        <v>17859</v>
      </c>
      <c r="BF920" t="str">
        <f>HYPERLINK("http://dx.doi.org/10.1016/j.jog.2017.08.001","http://dx.doi.org/10.1016/j.jog.2017.08.001")</f>
        <v>http://dx.doi.org/10.1016/j.jog.2017.08.001</v>
      </c>
      <c r="BG920" t="s">
        <v>74</v>
      </c>
      <c r="BH920" t="s">
        <v>74</v>
      </c>
      <c r="BI920">
        <v>16</v>
      </c>
      <c r="BJ920" t="s">
        <v>1148</v>
      </c>
      <c r="BK920" t="s">
        <v>101</v>
      </c>
      <c r="BL920" t="s">
        <v>1148</v>
      </c>
      <c r="BM920" t="s">
        <v>17860</v>
      </c>
      <c r="BN920" t="s">
        <v>74</v>
      </c>
      <c r="BO920" t="s">
        <v>74</v>
      </c>
      <c r="BP920" t="s">
        <v>74</v>
      </c>
      <c r="BQ920" t="s">
        <v>74</v>
      </c>
      <c r="BR920" t="s">
        <v>105</v>
      </c>
      <c r="BS920" t="s">
        <v>17861</v>
      </c>
      <c r="BT920" t="str">
        <f>HYPERLINK("https%3A%2F%2Fwww.webofscience.com%2Fwos%2Fwoscc%2Ffull-record%2FWOS:000414815100002","View Full Record in Web of Science")</f>
        <v>View Full Record in Web of Science</v>
      </c>
    </row>
    <row r="921" spans="1:72" x14ac:dyDescent="0.15">
      <c r="A921" t="s">
        <v>72</v>
      </c>
      <c r="B921" t="s">
        <v>17862</v>
      </c>
      <c r="C921" t="s">
        <v>74</v>
      </c>
      <c r="D921" t="s">
        <v>74</v>
      </c>
      <c r="E921" t="s">
        <v>74</v>
      </c>
      <c r="F921" t="s">
        <v>17863</v>
      </c>
      <c r="G921" t="s">
        <v>74</v>
      </c>
      <c r="H921" t="s">
        <v>74</v>
      </c>
      <c r="I921" t="s">
        <v>17864</v>
      </c>
      <c r="J921" t="s">
        <v>17865</v>
      </c>
      <c r="K921" t="s">
        <v>74</v>
      </c>
      <c r="L921" t="s">
        <v>74</v>
      </c>
      <c r="M921" t="s">
        <v>78</v>
      </c>
      <c r="N921" t="s">
        <v>79</v>
      </c>
      <c r="O921" t="s">
        <v>74</v>
      </c>
      <c r="P921" t="s">
        <v>74</v>
      </c>
      <c r="Q921" t="s">
        <v>74</v>
      </c>
      <c r="R921" t="s">
        <v>74</v>
      </c>
      <c r="S921" t="s">
        <v>74</v>
      </c>
      <c r="T921" t="s">
        <v>17866</v>
      </c>
      <c r="U921" t="s">
        <v>74</v>
      </c>
      <c r="V921" t="s">
        <v>17867</v>
      </c>
      <c r="W921" t="s">
        <v>17868</v>
      </c>
      <c r="X921" t="s">
        <v>17869</v>
      </c>
      <c r="Y921" t="s">
        <v>17870</v>
      </c>
      <c r="Z921" t="s">
        <v>17871</v>
      </c>
      <c r="AA921" t="s">
        <v>17872</v>
      </c>
      <c r="AB921" t="s">
        <v>17873</v>
      </c>
      <c r="AC921" t="s">
        <v>74</v>
      </c>
      <c r="AD921" t="s">
        <v>74</v>
      </c>
      <c r="AE921" t="s">
        <v>74</v>
      </c>
      <c r="AF921" t="s">
        <v>74</v>
      </c>
      <c r="AG921">
        <v>48</v>
      </c>
      <c r="AH921">
        <v>3</v>
      </c>
      <c r="AI921">
        <v>3</v>
      </c>
      <c r="AJ921">
        <v>0</v>
      </c>
      <c r="AK921">
        <v>8</v>
      </c>
      <c r="AL921" t="s">
        <v>4270</v>
      </c>
      <c r="AM921" t="s">
        <v>4271</v>
      </c>
      <c r="AN921" t="s">
        <v>4272</v>
      </c>
      <c r="AO921" t="s">
        <v>17874</v>
      </c>
      <c r="AP921" t="s">
        <v>17875</v>
      </c>
      <c r="AQ921" t="s">
        <v>74</v>
      </c>
      <c r="AR921" t="s">
        <v>17876</v>
      </c>
      <c r="AS921" t="s">
        <v>17877</v>
      </c>
      <c r="AT921" t="s">
        <v>16784</v>
      </c>
      <c r="AU921">
        <v>2017</v>
      </c>
      <c r="AV921">
        <v>20</v>
      </c>
      <c r="AW921" t="s">
        <v>2329</v>
      </c>
      <c r="AX921" t="s">
        <v>74</v>
      </c>
      <c r="AY921" t="s">
        <v>74</v>
      </c>
      <c r="AZ921" t="s">
        <v>74</v>
      </c>
      <c r="BA921" t="s">
        <v>74</v>
      </c>
      <c r="BB921">
        <v>221</v>
      </c>
      <c r="BC921">
        <v>238</v>
      </c>
      <c r="BD921" t="s">
        <v>74</v>
      </c>
      <c r="BE921" t="s">
        <v>17878</v>
      </c>
      <c r="BF921" t="str">
        <f>HYPERLINK("http://dx.doi.org/10.1111/jwip.12082","http://dx.doi.org/10.1111/jwip.12082")</f>
        <v>http://dx.doi.org/10.1111/jwip.12082</v>
      </c>
      <c r="BG921" t="s">
        <v>74</v>
      </c>
      <c r="BH921" t="s">
        <v>74</v>
      </c>
      <c r="BI921">
        <v>18</v>
      </c>
      <c r="BJ921" t="s">
        <v>2924</v>
      </c>
      <c r="BK921" t="s">
        <v>2081</v>
      </c>
      <c r="BL921" t="s">
        <v>2925</v>
      </c>
      <c r="BM921" t="s">
        <v>17879</v>
      </c>
      <c r="BN921" t="s">
        <v>74</v>
      </c>
      <c r="BO921" t="s">
        <v>432</v>
      </c>
      <c r="BP921" t="s">
        <v>74</v>
      </c>
      <c r="BQ921" t="s">
        <v>74</v>
      </c>
      <c r="BR921" t="s">
        <v>105</v>
      </c>
      <c r="BS921" t="s">
        <v>17880</v>
      </c>
      <c r="BT921" t="str">
        <f>HYPERLINK("https%3A%2F%2Fwww.webofscience.com%2Fwos%2Fwoscc%2Ffull-record%2FWOS:000414696000005","View Full Record in Web of Science")</f>
        <v>View Full Record in Web of Science</v>
      </c>
    </row>
    <row r="922" spans="1:72" x14ac:dyDescent="0.15">
      <c r="A922" t="s">
        <v>72</v>
      </c>
      <c r="B922" t="s">
        <v>17881</v>
      </c>
      <c r="C922" t="s">
        <v>74</v>
      </c>
      <c r="D922" t="s">
        <v>74</v>
      </c>
      <c r="E922" t="s">
        <v>74</v>
      </c>
      <c r="F922" t="s">
        <v>17882</v>
      </c>
      <c r="G922" t="s">
        <v>74</v>
      </c>
      <c r="H922" t="s">
        <v>74</v>
      </c>
      <c r="I922" t="s">
        <v>17883</v>
      </c>
      <c r="J922" t="s">
        <v>17884</v>
      </c>
      <c r="K922" t="s">
        <v>74</v>
      </c>
      <c r="L922" t="s">
        <v>74</v>
      </c>
      <c r="M922" t="s">
        <v>78</v>
      </c>
      <c r="N922" t="s">
        <v>79</v>
      </c>
      <c r="O922" t="s">
        <v>74</v>
      </c>
      <c r="P922" t="s">
        <v>74</v>
      </c>
      <c r="Q922" t="s">
        <v>74</v>
      </c>
      <c r="R922" t="s">
        <v>74</v>
      </c>
      <c r="S922" t="s">
        <v>74</v>
      </c>
      <c r="T922" t="s">
        <v>14197</v>
      </c>
      <c r="U922" t="s">
        <v>17885</v>
      </c>
      <c r="V922" t="s">
        <v>17886</v>
      </c>
      <c r="W922" t="s">
        <v>17887</v>
      </c>
      <c r="X922" t="s">
        <v>9044</v>
      </c>
      <c r="Y922" t="s">
        <v>9045</v>
      </c>
      <c r="Z922" t="s">
        <v>17888</v>
      </c>
      <c r="AA922" t="s">
        <v>74</v>
      </c>
      <c r="AB922" t="s">
        <v>74</v>
      </c>
      <c r="AC922" t="s">
        <v>17889</v>
      </c>
      <c r="AD922" t="s">
        <v>17890</v>
      </c>
      <c r="AE922" t="s">
        <v>17891</v>
      </c>
      <c r="AF922" t="s">
        <v>74</v>
      </c>
      <c r="AG922">
        <v>30</v>
      </c>
      <c r="AH922">
        <v>12</v>
      </c>
      <c r="AI922">
        <v>12</v>
      </c>
      <c r="AJ922">
        <v>4</v>
      </c>
      <c r="AK922">
        <v>72</v>
      </c>
      <c r="AL922" t="s">
        <v>17892</v>
      </c>
      <c r="AM922" t="s">
        <v>17893</v>
      </c>
      <c r="AN922" t="s">
        <v>17894</v>
      </c>
      <c r="AO922" t="s">
        <v>17895</v>
      </c>
      <c r="AP922" t="s">
        <v>17896</v>
      </c>
      <c r="AQ922" t="s">
        <v>74</v>
      </c>
      <c r="AR922" t="s">
        <v>17897</v>
      </c>
      <c r="AS922" t="s">
        <v>17898</v>
      </c>
      <c r="AT922" t="s">
        <v>16784</v>
      </c>
      <c r="AU922">
        <v>2017</v>
      </c>
      <c r="AV922">
        <v>183</v>
      </c>
      <c r="AW922">
        <v>3</v>
      </c>
      <c r="AX922" t="s">
        <v>74</v>
      </c>
      <c r="AY922" t="s">
        <v>74</v>
      </c>
      <c r="AZ922" t="s">
        <v>74</v>
      </c>
      <c r="BA922" t="s">
        <v>74</v>
      </c>
      <c r="BB922">
        <v>807</v>
      </c>
      <c r="BC922">
        <v>819</v>
      </c>
      <c r="BD922" t="s">
        <v>74</v>
      </c>
      <c r="BE922" t="s">
        <v>17899</v>
      </c>
      <c r="BF922" t="str">
        <f>HYPERLINK("http://dx.doi.org/10.1007/s12010-017-2465-9","http://dx.doi.org/10.1007/s12010-017-2465-9")</f>
        <v>http://dx.doi.org/10.1007/s12010-017-2465-9</v>
      </c>
      <c r="BG922" t="s">
        <v>74</v>
      </c>
      <c r="BH922" t="s">
        <v>74</v>
      </c>
      <c r="BI922">
        <v>13</v>
      </c>
      <c r="BJ922" t="s">
        <v>17900</v>
      </c>
      <c r="BK922" t="s">
        <v>101</v>
      </c>
      <c r="BL922" t="s">
        <v>17900</v>
      </c>
      <c r="BM922" t="s">
        <v>17901</v>
      </c>
      <c r="BN922">
        <v>28353043</v>
      </c>
      <c r="BO922" t="s">
        <v>74</v>
      </c>
      <c r="BP922" t="s">
        <v>74</v>
      </c>
      <c r="BQ922" t="s">
        <v>74</v>
      </c>
      <c r="BR922" t="s">
        <v>105</v>
      </c>
      <c r="BS922" t="s">
        <v>17902</v>
      </c>
      <c r="BT922" t="str">
        <f>HYPERLINK("https%3A%2F%2Fwww.webofscience.com%2Fwos%2Fwoscc%2Ffull-record%2FWOS:000414195200009","View Full Record in Web of Science")</f>
        <v>View Full Record in Web of Science</v>
      </c>
    </row>
    <row r="923" spans="1:72" x14ac:dyDescent="0.15">
      <c r="A923" t="s">
        <v>72</v>
      </c>
      <c r="B923" t="s">
        <v>17903</v>
      </c>
      <c r="C923" t="s">
        <v>74</v>
      </c>
      <c r="D923" t="s">
        <v>74</v>
      </c>
      <c r="E923" t="s">
        <v>74</v>
      </c>
      <c r="F923" t="s">
        <v>17904</v>
      </c>
      <c r="G923" t="s">
        <v>74</v>
      </c>
      <c r="H923" t="s">
        <v>74</v>
      </c>
      <c r="I923" t="s">
        <v>17905</v>
      </c>
      <c r="J923" t="s">
        <v>17906</v>
      </c>
      <c r="K923" t="s">
        <v>74</v>
      </c>
      <c r="L923" t="s">
        <v>74</v>
      </c>
      <c r="M923" t="s">
        <v>78</v>
      </c>
      <c r="N923" t="s">
        <v>79</v>
      </c>
      <c r="O923" t="s">
        <v>74</v>
      </c>
      <c r="P923" t="s">
        <v>74</v>
      </c>
      <c r="Q923" t="s">
        <v>74</v>
      </c>
      <c r="R923" t="s">
        <v>74</v>
      </c>
      <c r="S923" t="s">
        <v>74</v>
      </c>
      <c r="T923" t="s">
        <v>17907</v>
      </c>
      <c r="U923" t="s">
        <v>17908</v>
      </c>
      <c r="V923" t="s">
        <v>17909</v>
      </c>
      <c r="W923" t="s">
        <v>17910</v>
      </c>
      <c r="X923" t="s">
        <v>17911</v>
      </c>
      <c r="Y923" t="s">
        <v>17912</v>
      </c>
      <c r="Z923" t="s">
        <v>17913</v>
      </c>
      <c r="AA923" t="s">
        <v>17914</v>
      </c>
      <c r="AB923" t="s">
        <v>17915</v>
      </c>
      <c r="AC923" t="s">
        <v>17916</v>
      </c>
      <c r="AD923" t="s">
        <v>17916</v>
      </c>
      <c r="AE923" t="s">
        <v>17917</v>
      </c>
      <c r="AF923" t="s">
        <v>74</v>
      </c>
      <c r="AG923">
        <v>41</v>
      </c>
      <c r="AH923">
        <v>9</v>
      </c>
      <c r="AI923">
        <v>10</v>
      </c>
      <c r="AJ923">
        <v>1</v>
      </c>
      <c r="AK923">
        <v>31</v>
      </c>
      <c r="AL923" t="s">
        <v>4270</v>
      </c>
      <c r="AM923" t="s">
        <v>4271</v>
      </c>
      <c r="AN923" t="s">
        <v>4272</v>
      </c>
      <c r="AO923" t="s">
        <v>17918</v>
      </c>
      <c r="AP923" t="s">
        <v>17919</v>
      </c>
      <c r="AQ923" t="s">
        <v>74</v>
      </c>
      <c r="AR923" t="s">
        <v>17920</v>
      </c>
      <c r="AS923" t="s">
        <v>17921</v>
      </c>
      <c r="AT923" t="s">
        <v>16784</v>
      </c>
      <c r="AU923">
        <v>2017</v>
      </c>
      <c r="AV923">
        <v>48</v>
      </c>
      <c r="AW923">
        <v>11</v>
      </c>
      <c r="AX923" t="s">
        <v>74</v>
      </c>
      <c r="AY923" t="s">
        <v>74</v>
      </c>
      <c r="AZ923" t="s">
        <v>74</v>
      </c>
      <c r="BA923" t="s">
        <v>74</v>
      </c>
      <c r="BB923">
        <v>5614</v>
      </c>
      <c r="BC923">
        <v>5623</v>
      </c>
      <c r="BD923" t="s">
        <v>74</v>
      </c>
      <c r="BE923" t="s">
        <v>17922</v>
      </c>
      <c r="BF923" t="str">
        <f>HYPERLINK("http://dx.doi.org/10.1111/are.13383","http://dx.doi.org/10.1111/are.13383")</f>
        <v>http://dx.doi.org/10.1111/are.13383</v>
      </c>
      <c r="BG923" t="s">
        <v>74</v>
      </c>
      <c r="BH923" t="s">
        <v>74</v>
      </c>
      <c r="BI923">
        <v>10</v>
      </c>
      <c r="BJ923" t="s">
        <v>6350</v>
      </c>
      <c r="BK923" t="s">
        <v>101</v>
      </c>
      <c r="BL923" t="s">
        <v>6350</v>
      </c>
      <c r="BM923" t="s">
        <v>17923</v>
      </c>
      <c r="BN923" t="s">
        <v>74</v>
      </c>
      <c r="BO923" t="s">
        <v>160</v>
      </c>
      <c r="BP923" t="s">
        <v>74</v>
      </c>
      <c r="BQ923" t="s">
        <v>74</v>
      </c>
      <c r="BR923" t="s">
        <v>105</v>
      </c>
      <c r="BS923" t="s">
        <v>17924</v>
      </c>
      <c r="BT923" t="str">
        <f>HYPERLINK("https%3A%2F%2Fwww.webofscience.com%2Fwos%2Fwoscc%2Ffull-record%2FWOS:000412517900019","View Full Record in Web of Science")</f>
        <v>View Full Record in Web of Science</v>
      </c>
    </row>
    <row r="924" spans="1:72" x14ac:dyDescent="0.15">
      <c r="A924" t="s">
        <v>72</v>
      </c>
      <c r="B924" t="s">
        <v>17925</v>
      </c>
      <c r="C924" t="s">
        <v>74</v>
      </c>
      <c r="D924" t="s">
        <v>74</v>
      </c>
      <c r="E924" t="s">
        <v>74</v>
      </c>
      <c r="F924" t="s">
        <v>17926</v>
      </c>
      <c r="G924" t="s">
        <v>74</v>
      </c>
      <c r="H924" t="s">
        <v>74</v>
      </c>
      <c r="I924" t="s">
        <v>17927</v>
      </c>
      <c r="J924" t="s">
        <v>1643</v>
      </c>
      <c r="K924" t="s">
        <v>74</v>
      </c>
      <c r="L924" t="s">
        <v>74</v>
      </c>
      <c r="M924" t="s">
        <v>78</v>
      </c>
      <c r="N924" t="s">
        <v>79</v>
      </c>
      <c r="O924" t="s">
        <v>74</v>
      </c>
      <c r="P924" t="s">
        <v>74</v>
      </c>
      <c r="Q924" t="s">
        <v>74</v>
      </c>
      <c r="R924" t="s">
        <v>74</v>
      </c>
      <c r="S924" t="s">
        <v>74</v>
      </c>
      <c r="T924" t="s">
        <v>74</v>
      </c>
      <c r="U924" t="s">
        <v>17928</v>
      </c>
      <c r="V924" t="s">
        <v>17929</v>
      </c>
      <c r="W924" t="s">
        <v>17930</v>
      </c>
      <c r="X924" t="s">
        <v>17931</v>
      </c>
      <c r="Y924" t="s">
        <v>17932</v>
      </c>
      <c r="Z924" t="s">
        <v>17933</v>
      </c>
      <c r="AA924" t="s">
        <v>74</v>
      </c>
      <c r="AB924" t="s">
        <v>17934</v>
      </c>
      <c r="AC924" t="s">
        <v>74</v>
      </c>
      <c r="AD924" t="s">
        <v>74</v>
      </c>
      <c r="AE924" t="s">
        <v>74</v>
      </c>
      <c r="AF924" t="s">
        <v>74</v>
      </c>
      <c r="AG924">
        <v>60</v>
      </c>
      <c r="AH924">
        <v>17</v>
      </c>
      <c r="AI924">
        <v>17</v>
      </c>
      <c r="AJ924">
        <v>0</v>
      </c>
      <c r="AK924">
        <v>22</v>
      </c>
      <c r="AL924" t="s">
        <v>1648</v>
      </c>
      <c r="AM924" t="s">
        <v>1649</v>
      </c>
      <c r="AN924" t="s">
        <v>1650</v>
      </c>
      <c r="AO924" t="s">
        <v>1651</v>
      </c>
      <c r="AP924" t="s">
        <v>1652</v>
      </c>
      <c r="AQ924" t="s">
        <v>74</v>
      </c>
      <c r="AR924" t="s">
        <v>1653</v>
      </c>
      <c r="AS924" t="s">
        <v>1654</v>
      </c>
      <c r="AT924" t="s">
        <v>16784</v>
      </c>
      <c r="AU924">
        <v>2017</v>
      </c>
      <c r="AV924">
        <v>49</v>
      </c>
      <c r="AW924">
        <v>4</v>
      </c>
      <c r="AX924" t="s">
        <v>74</v>
      </c>
      <c r="AY924" t="s">
        <v>74</v>
      </c>
      <c r="AZ924" t="s">
        <v>74</v>
      </c>
      <c r="BA924" t="s">
        <v>74</v>
      </c>
      <c r="BB924">
        <v>507</v>
      </c>
      <c r="BC924">
        <v>520</v>
      </c>
      <c r="BD924" t="s">
        <v>74</v>
      </c>
      <c r="BE924" t="s">
        <v>17935</v>
      </c>
      <c r="BF924" t="str">
        <f>HYPERLINK("http://dx.doi.org/10.1657/AAAR0016-024","http://dx.doi.org/10.1657/AAAR0016-024")</f>
        <v>http://dx.doi.org/10.1657/AAAR0016-024</v>
      </c>
      <c r="BG924" t="s">
        <v>74</v>
      </c>
      <c r="BH924" t="s">
        <v>74</v>
      </c>
      <c r="BI924">
        <v>14</v>
      </c>
      <c r="BJ924" t="s">
        <v>1657</v>
      </c>
      <c r="BK924" t="s">
        <v>101</v>
      </c>
      <c r="BL924" t="s">
        <v>1658</v>
      </c>
      <c r="BM924" t="s">
        <v>17936</v>
      </c>
      <c r="BN924" t="s">
        <v>74</v>
      </c>
      <c r="BO924" t="s">
        <v>104</v>
      </c>
      <c r="BP924" t="s">
        <v>74</v>
      </c>
      <c r="BQ924" t="s">
        <v>74</v>
      </c>
      <c r="BR924" t="s">
        <v>105</v>
      </c>
      <c r="BS924" t="s">
        <v>17937</v>
      </c>
      <c r="BT924" t="str">
        <f>HYPERLINK("https%3A%2F%2Fwww.webofscience.com%2Fwos%2Fwoscc%2Ffull-record%2FWOS:000413931200001","View Full Record in Web of Science")</f>
        <v>View Full Record in Web of Science</v>
      </c>
    </row>
    <row r="925" spans="1:72" x14ac:dyDescent="0.15">
      <c r="A925" t="s">
        <v>72</v>
      </c>
      <c r="B925" t="s">
        <v>17938</v>
      </c>
      <c r="C925" t="s">
        <v>74</v>
      </c>
      <c r="D925" t="s">
        <v>74</v>
      </c>
      <c r="E925" t="s">
        <v>74</v>
      </c>
      <c r="F925" t="s">
        <v>17939</v>
      </c>
      <c r="G925" t="s">
        <v>74</v>
      </c>
      <c r="H925" t="s">
        <v>74</v>
      </c>
      <c r="I925" t="s">
        <v>17940</v>
      </c>
      <c r="J925" t="s">
        <v>1643</v>
      </c>
      <c r="K925" t="s">
        <v>74</v>
      </c>
      <c r="L925" t="s">
        <v>74</v>
      </c>
      <c r="M925" t="s">
        <v>78</v>
      </c>
      <c r="N925" t="s">
        <v>79</v>
      </c>
      <c r="O925" t="s">
        <v>74</v>
      </c>
      <c r="P925" t="s">
        <v>74</v>
      </c>
      <c r="Q925" t="s">
        <v>74</v>
      </c>
      <c r="R925" t="s">
        <v>74</v>
      </c>
      <c r="S925" t="s">
        <v>74</v>
      </c>
      <c r="T925" t="s">
        <v>74</v>
      </c>
      <c r="U925" t="s">
        <v>17941</v>
      </c>
      <c r="V925" t="s">
        <v>17942</v>
      </c>
      <c r="W925" t="s">
        <v>17943</v>
      </c>
      <c r="X925" t="s">
        <v>17944</v>
      </c>
      <c r="Y925" t="s">
        <v>17945</v>
      </c>
      <c r="Z925" t="s">
        <v>17946</v>
      </c>
      <c r="AA925" t="s">
        <v>74</v>
      </c>
      <c r="AB925" t="s">
        <v>17947</v>
      </c>
      <c r="AC925" t="s">
        <v>17948</v>
      </c>
      <c r="AD925" t="s">
        <v>17949</v>
      </c>
      <c r="AE925" t="s">
        <v>17950</v>
      </c>
      <c r="AF925" t="s">
        <v>74</v>
      </c>
      <c r="AG925">
        <v>70</v>
      </c>
      <c r="AH925">
        <v>7</v>
      </c>
      <c r="AI925">
        <v>8</v>
      </c>
      <c r="AJ925">
        <v>2</v>
      </c>
      <c r="AK925">
        <v>49</v>
      </c>
      <c r="AL925" t="s">
        <v>1700</v>
      </c>
      <c r="AM925" t="s">
        <v>1701</v>
      </c>
      <c r="AN925" t="s">
        <v>1702</v>
      </c>
      <c r="AO925" t="s">
        <v>1651</v>
      </c>
      <c r="AP925" t="s">
        <v>1652</v>
      </c>
      <c r="AQ925" t="s">
        <v>74</v>
      </c>
      <c r="AR925" t="s">
        <v>1653</v>
      </c>
      <c r="AS925" t="s">
        <v>1654</v>
      </c>
      <c r="AT925" t="s">
        <v>16784</v>
      </c>
      <c r="AU925">
        <v>2017</v>
      </c>
      <c r="AV925">
        <v>49</v>
      </c>
      <c r="AW925">
        <v>4</v>
      </c>
      <c r="AX925" t="s">
        <v>74</v>
      </c>
      <c r="AY925" t="s">
        <v>74</v>
      </c>
      <c r="AZ925" t="s">
        <v>74</v>
      </c>
      <c r="BA925" t="s">
        <v>74</v>
      </c>
      <c r="BB925">
        <v>537</v>
      </c>
      <c r="BC925">
        <v>550</v>
      </c>
      <c r="BD925" t="s">
        <v>74</v>
      </c>
      <c r="BE925" t="s">
        <v>17951</v>
      </c>
      <c r="BF925" t="str">
        <f>HYPERLINK("http://dx.doi.org/10.1657/AAAR0016-064","http://dx.doi.org/10.1657/AAAR0016-064")</f>
        <v>http://dx.doi.org/10.1657/AAAR0016-064</v>
      </c>
      <c r="BG925" t="s">
        <v>74</v>
      </c>
      <c r="BH925" t="s">
        <v>74</v>
      </c>
      <c r="BI925">
        <v>14</v>
      </c>
      <c r="BJ925" t="s">
        <v>1657</v>
      </c>
      <c r="BK925" t="s">
        <v>101</v>
      </c>
      <c r="BL925" t="s">
        <v>1658</v>
      </c>
      <c r="BM925" t="s">
        <v>17936</v>
      </c>
      <c r="BN925" t="s">
        <v>74</v>
      </c>
      <c r="BO925" t="s">
        <v>789</v>
      </c>
      <c r="BP925" t="s">
        <v>74</v>
      </c>
      <c r="BQ925" t="s">
        <v>74</v>
      </c>
      <c r="BR925" t="s">
        <v>105</v>
      </c>
      <c r="BS925" t="s">
        <v>17952</v>
      </c>
      <c r="BT925" t="str">
        <f>HYPERLINK("https%3A%2F%2Fwww.webofscience.com%2Fwos%2Fwoscc%2Ffull-record%2FWOS:000413931200003","View Full Record in Web of Science")</f>
        <v>View Full Record in Web of Science</v>
      </c>
    </row>
    <row r="926" spans="1:72" x14ac:dyDescent="0.15">
      <c r="A926" t="s">
        <v>72</v>
      </c>
      <c r="B926" t="s">
        <v>17953</v>
      </c>
      <c r="C926" t="s">
        <v>74</v>
      </c>
      <c r="D926" t="s">
        <v>74</v>
      </c>
      <c r="E926" t="s">
        <v>74</v>
      </c>
      <c r="F926" t="s">
        <v>17954</v>
      </c>
      <c r="G926" t="s">
        <v>74</v>
      </c>
      <c r="H926" t="s">
        <v>74</v>
      </c>
      <c r="I926" t="s">
        <v>17955</v>
      </c>
      <c r="J926" t="s">
        <v>1643</v>
      </c>
      <c r="K926" t="s">
        <v>74</v>
      </c>
      <c r="L926" t="s">
        <v>74</v>
      </c>
      <c r="M926" t="s">
        <v>78</v>
      </c>
      <c r="N926" t="s">
        <v>79</v>
      </c>
      <c r="O926" t="s">
        <v>74</v>
      </c>
      <c r="P926" t="s">
        <v>74</v>
      </c>
      <c r="Q926" t="s">
        <v>74</v>
      </c>
      <c r="R926" t="s">
        <v>74</v>
      </c>
      <c r="S926" t="s">
        <v>74</v>
      </c>
      <c r="T926" t="s">
        <v>74</v>
      </c>
      <c r="U926" t="s">
        <v>17956</v>
      </c>
      <c r="V926" t="s">
        <v>17957</v>
      </c>
      <c r="W926" t="s">
        <v>17958</v>
      </c>
      <c r="X926" t="s">
        <v>17959</v>
      </c>
      <c r="Y926" t="s">
        <v>17960</v>
      </c>
      <c r="Z926" t="s">
        <v>17961</v>
      </c>
      <c r="AA926" t="s">
        <v>17962</v>
      </c>
      <c r="AB926" t="s">
        <v>17963</v>
      </c>
      <c r="AC926" t="s">
        <v>17964</v>
      </c>
      <c r="AD926" t="s">
        <v>17965</v>
      </c>
      <c r="AE926" t="s">
        <v>17966</v>
      </c>
      <c r="AF926" t="s">
        <v>74</v>
      </c>
      <c r="AG926">
        <v>69</v>
      </c>
      <c r="AH926">
        <v>4</v>
      </c>
      <c r="AI926">
        <v>4</v>
      </c>
      <c r="AJ926">
        <v>0</v>
      </c>
      <c r="AK926">
        <v>4</v>
      </c>
      <c r="AL926" t="s">
        <v>1648</v>
      </c>
      <c r="AM926" t="s">
        <v>1649</v>
      </c>
      <c r="AN926" t="s">
        <v>1650</v>
      </c>
      <c r="AO926" t="s">
        <v>1651</v>
      </c>
      <c r="AP926" t="s">
        <v>1652</v>
      </c>
      <c r="AQ926" t="s">
        <v>74</v>
      </c>
      <c r="AR926" t="s">
        <v>1653</v>
      </c>
      <c r="AS926" t="s">
        <v>1654</v>
      </c>
      <c r="AT926" t="s">
        <v>16784</v>
      </c>
      <c r="AU926">
        <v>2017</v>
      </c>
      <c r="AV926">
        <v>49</v>
      </c>
      <c r="AW926">
        <v>4</v>
      </c>
      <c r="AX926" t="s">
        <v>74</v>
      </c>
      <c r="AY926" t="s">
        <v>74</v>
      </c>
      <c r="AZ926" t="s">
        <v>74</v>
      </c>
      <c r="BA926" t="s">
        <v>74</v>
      </c>
      <c r="BB926">
        <v>569</v>
      </c>
      <c r="BC926">
        <v>583</v>
      </c>
      <c r="BD926" t="s">
        <v>74</v>
      </c>
      <c r="BE926" t="s">
        <v>17967</v>
      </c>
      <c r="BF926" t="str">
        <f>HYPERLINK("http://dx.doi.org/10.1657/AAAR0017-028","http://dx.doi.org/10.1657/AAAR0017-028")</f>
        <v>http://dx.doi.org/10.1657/AAAR0017-028</v>
      </c>
      <c r="BG926" t="s">
        <v>74</v>
      </c>
      <c r="BH926" t="s">
        <v>74</v>
      </c>
      <c r="BI926">
        <v>15</v>
      </c>
      <c r="BJ926" t="s">
        <v>1657</v>
      </c>
      <c r="BK926" t="s">
        <v>101</v>
      </c>
      <c r="BL926" t="s">
        <v>1658</v>
      </c>
      <c r="BM926" t="s">
        <v>17936</v>
      </c>
      <c r="BN926" t="s">
        <v>74</v>
      </c>
      <c r="BO926" t="s">
        <v>104</v>
      </c>
      <c r="BP926" t="s">
        <v>74</v>
      </c>
      <c r="BQ926" t="s">
        <v>74</v>
      </c>
      <c r="BR926" t="s">
        <v>105</v>
      </c>
      <c r="BS926" t="s">
        <v>17968</v>
      </c>
      <c r="BT926" t="str">
        <f>HYPERLINK("https%3A%2F%2Fwww.webofscience.com%2Fwos%2Fwoscc%2Ffull-record%2FWOS:000413931200005","View Full Record in Web of Science")</f>
        <v>View Full Record in Web of Science</v>
      </c>
    </row>
    <row r="927" spans="1:72" x14ac:dyDescent="0.15">
      <c r="A927" t="s">
        <v>72</v>
      </c>
      <c r="B927" t="s">
        <v>17969</v>
      </c>
      <c r="C927" t="s">
        <v>74</v>
      </c>
      <c r="D927" t="s">
        <v>74</v>
      </c>
      <c r="E927" t="s">
        <v>74</v>
      </c>
      <c r="F927" t="s">
        <v>17970</v>
      </c>
      <c r="G927" t="s">
        <v>74</v>
      </c>
      <c r="H927" t="s">
        <v>74</v>
      </c>
      <c r="I927" t="s">
        <v>17971</v>
      </c>
      <c r="J927" t="s">
        <v>1643</v>
      </c>
      <c r="K927" t="s">
        <v>74</v>
      </c>
      <c r="L927" t="s">
        <v>74</v>
      </c>
      <c r="M927" t="s">
        <v>78</v>
      </c>
      <c r="N927" t="s">
        <v>79</v>
      </c>
      <c r="O927" t="s">
        <v>74</v>
      </c>
      <c r="P927" t="s">
        <v>74</v>
      </c>
      <c r="Q927" t="s">
        <v>74</v>
      </c>
      <c r="R927" t="s">
        <v>74</v>
      </c>
      <c r="S927" t="s">
        <v>74</v>
      </c>
      <c r="T927" t="s">
        <v>74</v>
      </c>
      <c r="U927" t="s">
        <v>17972</v>
      </c>
      <c r="V927" t="s">
        <v>17973</v>
      </c>
      <c r="W927" t="s">
        <v>17974</v>
      </c>
      <c r="X927" t="s">
        <v>17975</v>
      </c>
      <c r="Y927" t="s">
        <v>17976</v>
      </c>
      <c r="Z927" t="s">
        <v>17977</v>
      </c>
      <c r="AA927" t="s">
        <v>17978</v>
      </c>
      <c r="AB927" t="s">
        <v>17979</v>
      </c>
      <c r="AC927" t="s">
        <v>74</v>
      </c>
      <c r="AD927" t="s">
        <v>74</v>
      </c>
      <c r="AE927" t="s">
        <v>74</v>
      </c>
      <c r="AF927" t="s">
        <v>74</v>
      </c>
      <c r="AG927">
        <v>101</v>
      </c>
      <c r="AH927">
        <v>6</v>
      </c>
      <c r="AI927">
        <v>6</v>
      </c>
      <c r="AJ927">
        <v>1</v>
      </c>
      <c r="AK927">
        <v>8</v>
      </c>
      <c r="AL927" t="s">
        <v>1648</v>
      </c>
      <c r="AM927" t="s">
        <v>1649</v>
      </c>
      <c r="AN927" t="s">
        <v>1650</v>
      </c>
      <c r="AO927" t="s">
        <v>1651</v>
      </c>
      <c r="AP927" t="s">
        <v>1652</v>
      </c>
      <c r="AQ927" t="s">
        <v>74</v>
      </c>
      <c r="AR927" t="s">
        <v>1653</v>
      </c>
      <c r="AS927" t="s">
        <v>1654</v>
      </c>
      <c r="AT927" t="s">
        <v>16784</v>
      </c>
      <c r="AU927">
        <v>2017</v>
      </c>
      <c r="AV927">
        <v>49</v>
      </c>
      <c r="AW927">
        <v>4</v>
      </c>
      <c r="AX927" t="s">
        <v>74</v>
      </c>
      <c r="AY927" t="s">
        <v>74</v>
      </c>
      <c r="AZ927" t="s">
        <v>74</v>
      </c>
      <c r="BA927" t="s">
        <v>74</v>
      </c>
      <c r="BB927">
        <v>585</v>
      </c>
      <c r="BC927">
        <v>599</v>
      </c>
      <c r="BD927" t="s">
        <v>74</v>
      </c>
      <c r="BE927" t="s">
        <v>17980</v>
      </c>
      <c r="BF927" t="str">
        <f>HYPERLINK("http://dx.doi.org/10.1657/AAAR0017-051","http://dx.doi.org/10.1657/AAAR0017-051")</f>
        <v>http://dx.doi.org/10.1657/AAAR0017-051</v>
      </c>
      <c r="BG927" t="s">
        <v>74</v>
      </c>
      <c r="BH927" t="s">
        <v>74</v>
      </c>
      <c r="BI927">
        <v>15</v>
      </c>
      <c r="BJ927" t="s">
        <v>1657</v>
      </c>
      <c r="BK927" t="s">
        <v>101</v>
      </c>
      <c r="BL927" t="s">
        <v>1658</v>
      </c>
      <c r="BM927" t="s">
        <v>17936</v>
      </c>
      <c r="BN927" t="s">
        <v>74</v>
      </c>
      <c r="BO927" t="s">
        <v>1434</v>
      </c>
      <c r="BP927" t="s">
        <v>74</v>
      </c>
      <c r="BQ927" t="s">
        <v>74</v>
      </c>
      <c r="BR927" t="s">
        <v>105</v>
      </c>
      <c r="BS927" t="s">
        <v>17981</v>
      </c>
      <c r="BT927" t="str">
        <f>HYPERLINK("https%3A%2F%2Fwww.webofscience.com%2Fwos%2Fwoscc%2Ffull-record%2FWOS:000413931200006","View Full Record in Web of Science")</f>
        <v>View Full Record in Web of Science</v>
      </c>
    </row>
    <row r="928" spans="1:72" x14ac:dyDescent="0.15">
      <c r="A928" t="s">
        <v>72</v>
      </c>
      <c r="B928" t="s">
        <v>17982</v>
      </c>
      <c r="C928" t="s">
        <v>74</v>
      </c>
      <c r="D928" t="s">
        <v>74</v>
      </c>
      <c r="E928" t="s">
        <v>74</v>
      </c>
      <c r="F928" t="s">
        <v>17983</v>
      </c>
      <c r="G928" t="s">
        <v>74</v>
      </c>
      <c r="H928" t="s">
        <v>74</v>
      </c>
      <c r="I928" t="s">
        <v>17984</v>
      </c>
      <c r="J928" t="s">
        <v>1643</v>
      </c>
      <c r="K928" t="s">
        <v>74</v>
      </c>
      <c r="L928" t="s">
        <v>74</v>
      </c>
      <c r="M928" t="s">
        <v>78</v>
      </c>
      <c r="N928" t="s">
        <v>79</v>
      </c>
      <c r="O928" t="s">
        <v>74</v>
      </c>
      <c r="P928" t="s">
        <v>74</v>
      </c>
      <c r="Q928" t="s">
        <v>74</v>
      </c>
      <c r="R928" t="s">
        <v>74</v>
      </c>
      <c r="S928" t="s">
        <v>74</v>
      </c>
      <c r="T928" t="s">
        <v>74</v>
      </c>
      <c r="U928" t="s">
        <v>17985</v>
      </c>
      <c r="V928" t="s">
        <v>17986</v>
      </c>
      <c r="W928" t="s">
        <v>17987</v>
      </c>
      <c r="X928" t="s">
        <v>17988</v>
      </c>
      <c r="Y928" t="s">
        <v>17989</v>
      </c>
      <c r="Z928" t="s">
        <v>17990</v>
      </c>
      <c r="AA928" t="s">
        <v>17991</v>
      </c>
      <c r="AB928" t="s">
        <v>17992</v>
      </c>
      <c r="AC928" t="s">
        <v>17993</v>
      </c>
      <c r="AD928" t="s">
        <v>17994</v>
      </c>
      <c r="AE928" t="s">
        <v>17995</v>
      </c>
      <c r="AF928" t="s">
        <v>74</v>
      </c>
      <c r="AG928">
        <v>142</v>
      </c>
      <c r="AH928">
        <v>7</v>
      </c>
      <c r="AI928">
        <v>8</v>
      </c>
      <c r="AJ928">
        <v>0</v>
      </c>
      <c r="AK928">
        <v>12</v>
      </c>
      <c r="AL928" t="s">
        <v>1700</v>
      </c>
      <c r="AM928" t="s">
        <v>1701</v>
      </c>
      <c r="AN928" t="s">
        <v>1702</v>
      </c>
      <c r="AO928" t="s">
        <v>1651</v>
      </c>
      <c r="AP928" t="s">
        <v>1652</v>
      </c>
      <c r="AQ928" t="s">
        <v>74</v>
      </c>
      <c r="AR928" t="s">
        <v>1653</v>
      </c>
      <c r="AS928" t="s">
        <v>1654</v>
      </c>
      <c r="AT928" t="s">
        <v>16784</v>
      </c>
      <c r="AU928">
        <v>2017</v>
      </c>
      <c r="AV928">
        <v>49</v>
      </c>
      <c r="AW928">
        <v>4</v>
      </c>
      <c r="AX928" t="s">
        <v>74</v>
      </c>
      <c r="AY928" t="s">
        <v>74</v>
      </c>
      <c r="AZ928" t="s">
        <v>74</v>
      </c>
      <c r="BA928" t="s">
        <v>74</v>
      </c>
      <c r="BB928">
        <v>649</v>
      </c>
      <c r="BC928">
        <v>672</v>
      </c>
      <c r="BD928" t="s">
        <v>74</v>
      </c>
      <c r="BE928" t="s">
        <v>17996</v>
      </c>
      <c r="BF928" t="str">
        <f>HYPERLINK("http://dx.doi.org/10.1657/AAAR0017-008","http://dx.doi.org/10.1657/AAAR0017-008")</f>
        <v>http://dx.doi.org/10.1657/AAAR0017-008</v>
      </c>
      <c r="BG928" t="s">
        <v>74</v>
      </c>
      <c r="BH928" t="s">
        <v>74</v>
      </c>
      <c r="BI928">
        <v>24</v>
      </c>
      <c r="BJ928" t="s">
        <v>1657</v>
      </c>
      <c r="BK928" t="s">
        <v>101</v>
      </c>
      <c r="BL928" t="s">
        <v>1658</v>
      </c>
      <c r="BM928" t="s">
        <v>17936</v>
      </c>
      <c r="BN928" t="s">
        <v>74</v>
      </c>
      <c r="BO928" t="s">
        <v>104</v>
      </c>
      <c r="BP928" t="s">
        <v>74</v>
      </c>
      <c r="BQ928" t="s">
        <v>74</v>
      </c>
      <c r="BR928" t="s">
        <v>105</v>
      </c>
      <c r="BS928" t="s">
        <v>17997</v>
      </c>
      <c r="BT928" t="str">
        <f>HYPERLINK("https%3A%2F%2Fwww.webofscience.com%2Fwos%2Fwoscc%2Ffull-record%2FWOS:000413931200009","View Full Record in Web of Science")</f>
        <v>View Full Record in Web of Science</v>
      </c>
    </row>
    <row r="929" spans="1:72" x14ac:dyDescent="0.15">
      <c r="A929" t="s">
        <v>72</v>
      </c>
      <c r="B929" t="s">
        <v>17998</v>
      </c>
      <c r="C929" t="s">
        <v>74</v>
      </c>
      <c r="D929" t="s">
        <v>74</v>
      </c>
      <c r="E929" t="s">
        <v>74</v>
      </c>
      <c r="F929" t="s">
        <v>17999</v>
      </c>
      <c r="G929" t="s">
        <v>74</v>
      </c>
      <c r="H929" t="s">
        <v>74</v>
      </c>
      <c r="I929" t="s">
        <v>18000</v>
      </c>
      <c r="J929" t="s">
        <v>1643</v>
      </c>
      <c r="K929" t="s">
        <v>74</v>
      </c>
      <c r="L929" t="s">
        <v>74</v>
      </c>
      <c r="M929" t="s">
        <v>78</v>
      </c>
      <c r="N929" t="s">
        <v>79</v>
      </c>
      <c r="O929" t="s">
        <v>74</v>
      </c>
      <c r="P929" t="s">
        <v>74</v>
      </c>
      <c r="Q929" t="s">
        <v>74</v>
      </c>
      <c r="R929" t="s">
        <v>74</v>
      </c>
      <c r="S929" t="s">
        <v>74</v>
      </c>
      <c r="T929" t="s">
        <v>74</v>
      </c>
      <c r="U929" t="s">
        <v>18001</v>
      </c>
      <c r="V929" t="s">
        <v>18002</v>
      </c>
      <c r="W929" t="s">
        <v>18003</v>
      </c>
      <c r="X929" t="s">
        <v>18004</v>
      </c>
      <c r="Y929" t="s">
        <v>18005</v>
      </c>
      <c r="Z929" t="s">
        <v>18006</v>
      </c>
      <c r="AA929" t="s">
        <v>18007</v>
      </c>
      <c r="AB929" t="s">
        <v>18008</v>
      </c>
      <c r="AC929" t="s">
        <v>74</v>
      </c>
      <c r="AD929" t="s">
        <v>74</v>
      </c>
      <c r="AE929" t="s">
        <v>74</v>
      </c>
      <c r="AF929" t="s">
        <v>74</v>
      </c>
      <c r="AG929">
        <v>62</v>
      </c>
      <c r="AH929">
        <v>4</v>
      </c>
      <c r="AI929">
        <v>4</v>
      </c>
      <c r="AJ929">
        <v>1</v>
      </c>
      <c r="AK929">
        <v>25</v>
      </c>
      <c r="AL929" t="s">
        <v>1700</v>
      </c>
      <c r="AM929" t="s">
        <v>1701</v>
      </c>
      <c r="AN929" t="s">
        <v>1702</v>
      </c>
      <c r="AO929" t="s">
        <v>1651</v>
      </c>
      <c r="AP929" t="s">
        <v>1652</v>
      </c>
      <c r="AQ929" t="s">
        <v>74</v>
      </c>
      <c r="AR929" t="s">
        <v>1653</v>
      </c>
      <c r="AS929" t="s">
        <v>1654</v>
      </c>
      <c r="AT929" t="s">
        <v>16784</v>
      </c>
      <c r="AU929">
        <v>2017</v>
      </c>
      <c r="AV929">
        <v>49</v>
      </c>
      <c r="AW929">
        <v>4</v>
      </c>
      <c r="AX929" t="s">
        <v>74</v>
      </c>
      <c r="AY929" t="s">
        <v>74</v>
      </c>
      <c r="AZ929" t="s">
        <v>74</v>
      </c>
      <c r="BA929" t="s">
        <v>74</v>
      </c>
      <c r="BB929">
        <v>673</v>
      </c>
      <c r="BC929">
        <v>685</v>
      </c>
      <c r="BD929" t="s">
        <v>74</v>
      </c>
      <c r="BE929" t="s">
        <v>18009</v>
      </c>
      <c r="BF929" t="str">
        <f>HYPERLINK("http://dx.doi.org/10.1657/AAAR0017-024","http://dx.doi.org/10.1657/AAAR0017-024")</f>
        <v>http://dx.doi.org/10.1657/AAAR0017-024</v>
      </c>
      <c r="BG929" t="s">
        <v>74</v>
      </c>
      <c r="BH929" t="s">
        <v>74</v>
      </c>
      <c r="BI929">
        <v>13</v>
      </c>
      <c r="BJ929" t="s">
        <v>1657</v>
      </c>
      <c r="BK929" t="s">
        <v>101</v>
      </c>
      <c r="BL929" t="s">
        <v>1658</v>
      </c>
      <c r="BM929" t="s">
        <v>17936</v>
      </c>
      <c r="BN929" t="s">
        <v>74</v>
      </c>
      <c r="BO929" t="s">
        <v>789</v>
      </c>
      <c r="BP929" t="s">
        <v>74</v>
      </c>
      <c r="BQ929" t="s">
        <v>74</v>
      </c>
      <c r="BR929" t="s">
        <v>105</v>
      </c>
      <c r="BS929" t="s">
        <v>18010</v>
      </c>
      <c r="BT929" t="str">
        <f>HYPERLINK("https%3A%2F%2Fwww.webofscience.com%2Fwos%2Fwoscc%2Ffull-record%2FWOS:000413931200010","View Full Record in Web of Science")</f>
        <v>View Full Record in Web of Science</v>
      </c>
    </row>
    <row r="930" spans="1:72" x14ac:dyDescent="0.15">
      <c r="A930" t="s">
        <v>72</v>
      </c>
      <c r="B930" t="s">
        <v>18011</v>
      </c>
      <c r="C930" t="s">
        <v>74</v>
      </c>
      <c r="D930" t="s">
        <v>74</v>
      </c>
      <c r="E930" t="s">
        <v>74</v>
      </c>
      <c r="F930" t="s">
        <v>18012</v>
      </c>
      <c r="G930" t="s">
        <v>74</v>
      </c>
      <c r="H930" t="s">
        <v>74</v>
      </c>
      <c r="I930" t="s">
        <v>18013</v>
      </c>
      <c r="J930" t="s">
        <v>1643</v>
      </c>
      <c r="K930" t="s">
        <v>74</v>
      </c>
      <c r="L930" t="s">
        <v>74</v>
      </c>
      <c r="M930" t="s">
        <v>78</v>
      </c>
      <c r="N930" t="s">
        <v>79</v>
      </c>
      <c r="O930" t="s">
        <v>74</v>
      </c>
      <c r="P930" t="s">
        <v>74</v>
      </c>
      <c r="Q930" t="s">
        <v>74</v>
      </c>
      <c r="R930" t="s">
        <v>74</v>
      </c>
      <c r="S930" t="s">
        <v>74</v>
      </c>
      <c r="T930" t="s">
        <v>74</v>
      </c>
      <c r="U930" t="s">
        <v>18014</v>
      </c>
      <c r="V930" t="s">
        <v>18015</v>
      </c>
      <c r="W930" t="s">
        <v>18016</v>
      </c>
      <c r="X930" t="s">
        <v>18017</v>
      </c>
      <c r="Y930" t="s">
        <v>18018</v>
      </c>
      <c r="Z930" t="s">
        <v>18019</v>
      </c>
      <c r="AA930" t="s">
        <v>18020</v>
      </c>
      <c r="AB930" t="s">
        <v>18021</v>
      </c>
      <c r="AC930" t="s">
        <v>18022</v>
      </c>
      <c r="AD930" t="s">
        <v>18023</v>
      </c>
      <c r="AE930" t="s">
        <v>18024</v>
      </c>
      <c r="AF930" t="s">
        <v>74</v>
      </c>
      <c r="AG930">
        <v>20</v>
      </c>
      <c r="AH930">
        <v>6</v>
      </c>
      <c r="AI930">
        <v>9</v>
      </c>
      <c r="AJ930">
        <v>3</v>
      </c>
      <c r="AK930">
        <v>29</v>
      </c>
      <c r="AL930" t="s">
        <v>1648</v>
      </c>
      <c r="AM930" t="s">
        <v>1649</v>
      </c>
      <c r="AN930" t="s">
        <v>1650</v>
      </c>
      <c r="AO930" t="s">
        <v>1651</v>
      </c>
      <c r="AP930" t="s">
        <v>1652</v>
      </c>
      <c r="AQ930" t="s">
        <v>74</v>
      </c>
      <c r="AR930" t="s">
        <v>1653</v>
      </c>
      <c r="AS930" t="s">
        <v>1654</v>
      </c>
      <c r="AT930" t="s">
        <v>16784</v>
      </c>
      <c r="AU930">
        <v>2017</v>
      </c>
      <c r="AV930">
        <v>49</v>
      </c>
      <c r="AW930">
        <v>4</v>
      </c>
      <c r="AX930" t="s">
        <v>74</v>
      </c>
      <c r="AY930" t="s">
        <v>74</v>
      </c>
      <c r="AZ930" t="s">
        <v>74</v>
      </c>
      <c r="BA930" t="s">
        <v>74</v>
      </c>
      <c r="BB930">
        <v>687</v>
      </c>
      <c r="BC930">
        <v>697</v>
      </c>
      <c r="BD930" t="s">
        <v>74</v>
      </c>
      <c r="BE930" t="s">
        <v>18025</v>
      </c>
      <c r="BF930" t="str">
        <f>HYPERLINK("http://dx.doi.org/10.1657/AAAR0016-010","http://dx.doi.org/10.1657/AAAR0016-010")</f>
        <v>http://dx.doi.org/10.1657/AAAR0016-010</v>
      </c>
      <c r="BG930" t="s">
        <v>74</v>
      </c>
      <c r="BH930" t="s">
        <v>74</v>
      </c>
      <c r="BI930">
        <v>11</v>
      </c>
      <c r="BJ930" t="s">
        <v>1657</v>
      </c>
      <c r="BK930" t="s">
        <v>101</v>
      </c>
      <c r="BL930" t="s">
        <v>1658</v>
      </c>
      <c r="BM930" t="s">
        <v>17936</v>
      </c>
      <c r="BN930" t="s">
        <v>74</v>
      </c>
      <c r="BO930" t="s">
        <v>104</v>
      </c>
      <c r="BP930" t="s">
        <v>74</v>
      </c>
      <c r="BQ930" t="s">
        <v>74</v>
      </c>
      <c r="BR930" t="s">
        <v>105</v>
      </c>
      <c r="BS930" t="s">
        <v>18026</v>
      </c>
      <c r="BT930" t="str">
        <f>HYPERLINK("https%3A%2F%2Fwww.webofscience.com%2Fwos%2Fwoscc%2Ffull-record%2FWOS:000413931200011","View Full Record in Web of Science")</f>
        <v>View Full Record in Web of Science</v>
      </c>
    </row>
    <row r="931" spans="1:72" x14ac:dyDescent="0.15">
      <c r="A931" t="s">
        <v>72</v>
      </c>
      <c r="B931" t="s">
        <v>18027</v>
      </c>
      <c r="C931" t="s">
        <v>74</v>
      </c>
      <c r="D931" t="s">
        <v>74</v>
      </c>
      <c r="E931" t="s">
        <v>74</v>
      </c>
      <c r="F931" t="s">
        <v>18028</v>
      </c>
      <c r="G931" t="s">
        <v>74</v>
      </c>
      <c r="H931" t="s">
        <v>74</v>
      </c>
      <c r="I931" t="s">
        <v>18029</v>
      </c>
      <c r="J931" t="s">
        <v>18030</v>
      </c>
      <c r="K931" t="s">
        <v>74</v>
      </c>
      <c r="L931" t="s">
        <v>74</v>
      </c>
      <c r="M931" t="s">
        <v>78</v>
      </c>
      <c r="N931" t="s">
        <v>2311</v>
      </c>
      <c r="O931" t="s">
        <v>18031</v>
      </c>
      <c r="P931" t="s">
        <v>18032</v>
      </c>
      <c r="Q931" t="s">
        <v>18033</v>
      </c>
      <c r="R931" t="s">
        <v>74</v>
      </c>
      <c r="S931" t="s">
        <v>74</v>
      </c>
      <c r="T931" t="s">
        <v>74</v>
      </c>
      <c r="U931" t="s">
        <v>18034</v>
      </c>
      <c r="V931" t="s">
        <v>18035</v>
      </c>
      <c r="W931" t="s">
        <v>18036</v>
      </c>
      <c r="X931" t="s">
        <v>18037</v>
      </c>
      <c r="Y931" t="s">
        <v>18038</v>
      </c>
      <c r="Z931" t="s">
        <v>18039</v>
      </c>
      <c r="AA931" t="s">
        <v>18040</v>
      </c>
      <c r="AB931" t="s">
        <v>18041</v>
      </c>
      <c r="AC931" t="s">
        <v>18042</v>
      </c>
      <c r="AD931" t="s">
        <v>18042</v>
      </c>
      <c r="AE931" t="s">
        <v>18043</v>
      </c>
      <c r="AF931" t="s">
        <v>74</v>
      </c>
      <c r="AG931">
        <v>133</v>
      </c>
      <c r="AH931">
        <v>69</v>
      </c>
      <c r="AI931">
        <v>74</v>
      </c>
      <c r="AJ931">
        <v>0</v>
      </c>
      <c r="AK931">
        <v>23</v>
      </c>
      <c r="AL931" t="s">
        <v>18044</v>
      </c>
      <c r="AM931" t="s">
        <v>18045</v>
      </c>
      <c r="AN931" t="s">
        <v>18046</v>
      </c>
      <c r="AO931" t="s">
        <v>18047</v>
      </c>
      <c r="AP931" t="s">
        <v>18048</v>
      </c>
      <c r="AQ931" t="s">
        <v>74</v>
      </c>
      <c r="AR931" t="s">
        <v>18049</v>
      </c>
      <c r="AS931" t="s">
        <v>18050</v>
      </c>
      <c r="AT931" t="s">
        <v>16784</v>
      </c>
      <c r="AU931">
        <v>2017</v>
      </c>
      <c r="AV931">
        <v>74</v>
      </c>
      <c r="AW931">
        <v>11</v>
      </c>
      <c r="AX931" t="s">
        <v>74</v>
      </c>
      <c r="AY931" t="s">
        <v>74</v>
      </c>
      <c r="AZ931" t="s">
        <v>1146</v>
      </c>
      <c r="BA931" t="s">
        <v>74</v>
      </c>
      <c r="BB931">
        <v>1698</v>
      </c>
      <c r="BC931">
        <v>1716</v>
      </c>
      <c r="BD931" t="s">
        <v>74</v>
      </c>
      <c r="BE931" t="s">
        <v>18051</v>
      </c>
      <c r="BF931" t="str">
        <f>HYPERLINK("http://dx.doi.org/10.1139/cjfas-2017-0150","http://dx.doi.org/10.1139/cjfas-2017-0150")</f>
        <v>http://dx.doi.org/10.1139/cjfas-2017-0150</v>
      </c>
      <c r="BG931" t="s">
        <v>74</v>
      </c>
      <c r="BH931" t="s">
        <v>74</v>
      </c>
      <c r="BI931">
        <v>19</v>
      </c>
      <c r="BJ931" t="s">
        <v>6707</v>
      </c>
      <c r="BK931" t="s">
        <v>2330</v>
      </c>
      <c r="BL931" t="s">
        <v>6707</v>
      </c>
      <c r="BM931" t="s">
        <v>18052</v>
      </c>
      <c r="BN931" t="s">
        <v>74</v>
      </c>
      <c r="BO931" t="s">
        <v>18053</v>
      </c>
      <c r="BP931" t="s">
        <v>74</v>
      </c>
      <c r="BQ931" t="s">
        <v>74</v>
      </c>
      <c r="BR931" t="s">
        <v>105</v>
      </c>
      <c r="BS931" t="s">
        <v>18054</v>
      </c>
      <c r="BT931" t="str">
        <f>HYPERLINK("https%3A%2F%2Fwww.webofscience.com%2Fwos%2Fwoscc%2Ffull-record%2FWOS:000413550300002","View Full Record in Web of Science")</f>
        <v>View Full Record in Web of Science</v>
      </c>
    </row>
    <row r="932" spans="1:72" x14ac:dyDescent="0.15">
      <c r="A932" t="s">
        <v>72</v>
      </c>
      <c r="B932" t="s">
        <v>18055</v>
      </c>
      <c r="C932" t="s">
        <v>74</v>
      </c>
      <c r="D932" t="s">
        <v>74</v>
      </c>
      <c r="E932" t="s">
        <v>74</v>
      </c>
      <c r="F932" t="s">
        <v>18056</v>
      </c>
      <c r="G932" t="s">
        <v>74</v>
      </c>
      <c r="H932" t="s">
        <v>74</v>
      </c>
      <c r="I932" t="s">
        <v>18057</v>
      </c>
      <c r="J932" t="s">
        <v>4334</v>
      </c>
      <c r="K932" t="s">
        <v>74</v>
      </c>
      <c r="L932" t="s">
        <v>74</v>
      </c>
      <c r="M932" t="s">
        <v>78</v>
      </c>
      <c r="N932" t="s">
        <v>79</v>
      </c>
      <c r="O932" t="s">
        <v>74</v>
      </c>
      <c r="P932" t="s">
        <v>74</v>
      </c>
      <c r="Q932" t="s">
        <v>74</v>
      </c>
      <c r="R932" t="s">
        <v>74</v>
      </c>
      <c r="S932" t="s">
        <v>74</v>
      </c>
      <c r="T932" t="s">
        <v>18058</v>
      </c>
      <c r="U932" t="s">
        <v>18059</v>
      </c>
      <c r="V932" t="s">
        <v>18060</v>
      </c>
      <c r="W932" t="s">
        <v>18061</v>
      </c>
      <c r="X932" t="s">
        <v>7225</v>
      </c>
      <c r="Y932" t="s">
        <v>18062</v>
      </c>
      <c r="Z932" t="s">
        <v>18063</v>
      </c>
      <c r="AA932" t="s">
        <v>18064</v>
      </c>
      <c r="AB932" t="s">
        <v>18065</v>
      </c>
      <c r="AC932" t="s">
        <v>18066</v>
      </c>
      <c r="AD932" t="s">
        <v>18066</v>
      </c>
      <c r="AE932" t="s">
        <v>18067</v>
      </c>
      <c r="AF932" t="s">
        <v>74</v>
      </c>
      <c r="AG932">
        <v>40</v>
      </c>
      <c r="AH932">
        <v>15</v>
      </c>
      <c r="AI932">
        <v>17</v>
      </c>
      <c r="AJ932">
        <v>1</v>
      </c>
      <c r="AK932">
        <v>19</v>
      </c>
      <c r="AL932" t="s">
        <v>1973</v>
      </c>
      <c r="AM932" t="s">
        <v>4347</v>
      </c>
      <c r="AN932" t="s">
        <v>4348</v>
      </c>
      <c r="AO932" t="s">
        <v>4349</v>
      </c>
      <c r="AP932" t="s">
        <v>4350</v>
      </c>
      <c r="AQ932" t="s">
        <v>74</v>
      </c>
      <c r="AR932" t="s">
        <v>4351</v>
      </c>
      <c r="AS932" t="s">
        <v>4352</v>
      </c>
      <c r="AT932" t="s">
        <v>16784</v>
      </c>
      <c r="AU932">
        <v>2017</v>
      </c>
      <c r="AV932">
        <v>189</v>
      </c>
      <c r="AW932">
        <v>11</v>
      </c>
      <c r="AX932" t="s">
        <v>74</v>
      </c>
      <c r="AY932" t="s">
        <v>74</v>
      </c>
      <c r="AZ932" t="s">
        <v>74</v>
      </c>
      <c r="BA932" t="s">
        <v>74</v>
      </c>
      <c r="BB932" t="s">
        <v>74</v>
      </c>
      <c r="BC932" t="s">
        <v>74</v>
      </c>
      <c r="BD932">
        <v>555</v>
      </c>
      <c r="BE932" t="s">
        <v>18068</v>
      </c>
      <c r="BF932" t="str">
        <f>HYPERLINK("http://dx.doi.org/10.1007/s10661-017-6268-9","http://dx.doi.org/10.1007/s10661-017-6268-9")</f>
        <v>http://dx.doi.org/10.1007/s10661-017-6268-9</v>
      </c>
      <c r="BG932" t="s">
        <v>74</v>
      </c>
      <c r="BH932" t="s">
        <v>74</v>
      </c>
      <c r="BI932">
        <v>13</v>
      </c>
      <c r="BJ932" t="s">
        <v>1119</v>
      </c>
      <c r="BK932" t="s">
        <v>101</v>
      </c>
      <c r="BL932" t="s">
        <v>1120</v>
      </c>
      <c r="BM932" t="s">
        <v>18069</v>
      </c>
      <c r="BN932">
        <v>29027048</v>
      </c>
      <c r="BO932" t="s">
        <v>74</v>
      </c>
      <c r="BP932" t="s">
        <v>74</v>
      </c>
      <c r="BQ932" t="s">
        <v>74</v>
      </c>
      <c r="BR932" t="s">
        <v>105</v>
      </c>
      <c r="BS932" t="s">
        <v>18070</v>
      </c>
      <c r="BT932" t="str">
        <f>HYPERLINK("https%3A%2F%2Fwww.webofscience.com%2Fwos%2Fwoscc%2Ffull-record%2FWOS:000413605000025","View Full Record in Web of Science")</f>
        <v>View Full Record in Web of Science</v>
      </c>
    </row>
    <row r="933" spans="1:72" x14ac:dyDescent="0.15">
      <c r="A933" t="s">
        <v>72</v>
      </c>
      <c r="B933" t="s">
        <v>18071</v>
      </c>
      <c r="C933" t="s">
        <v>74</v>
      </c>
      <c r="D933" t="s">
        <v>74</v>
      </c>
      <c r="E933" t="s">
        <v>74</v>
      </c>
      <c r="F933" t="s">
        <v>18072</v>
      </c>
      <c r="G933" t="s">
        <v>74</v>
      </c>
      <c r="H933" t="s">
        <v>74</v>
      </c>
      <c r="I933" t="s">
        <v>18073</v>
      </c>
      <c r="J933" t="s">
        <v>10376</v>
      </c>
      <c r="K933" t="s">
        <v>74</v>
      </c>
      <c r="L933" t="s">
        <v>74</v>
      </c>
      <c r="M933" t="s">
        <v>78</v>
      </c>
      <c r="N933" t="s">
        <v>79</v>
      </c>
      <c r="O933" t="s">
        <v>74</v>
      </c>
      <c r="P933" t="s">
        <v>74</v>
      </c>
      <c r="Q933" t="s">
        <v>74</v>
      </c>
      <c r="R933" t="s">
        <v>74</v>
      </c>
      <c r="S933" t="s">
        <v>74</v>
      </c>
      <c r="T933" t="s">
        <v>18074</v>
      </c>
      <c r="U933" t="s">
        <v>18075</v>
      </c>
      <c r="V933" t="s">
        <v>18076</v>
      </c>
      <c r="W933" t="s">
        <v>18077</v>
      </c>
      <c r="X933" t="s">
        <v>18078</v>
      </c>
      <c r="Y933" t="s">
        <v>18079</v>
      </c>
      <c r="Z933" t="s">
        <v>18080</v>
      </c>
      <c r="AA933" t="s">
        <v>18081</v>
      </c>
      <c r="AB933" t="s">
        <v>18082</v>
      </c>
      <c r="AC933" t="s">
        <v>18083</v>
      </c>
      <c r="AD933" t="s">
        <v>18084</v>
      </c>
      <c r="AE933" t="s">
        <v>18085</v>
      </c>
      <c r="AF933" t="s">
        <v>74</v>
      </c>
      <c r="AG933">
        <v>60</v>
      </c>
      <c r="AH933">
        <v>9</v>
      </c>
      <c r="AI933">
        <v>9</v>
      </c>
      <c r="AJ933">
        <v>1</v>
      </c>
      <c r="AK933">
        <v>14</v>
      </c>
      <c r="AL933" t="s">
        <v>807</v>
      </c>
      <c r="AM933" t="s">
        <v>808</v>
      </c>
      <c r="AN933" t="s">
        <v>809</v>
      </c>
      <c r="AO933" t="s">
        <v>10389</v>
      </c>
      <c r="AP933" t="s">
        <v>10390</v>
      </c>
      <c r="AQ933" t="s">
        <v>74</v>
      </c>
      <c r="AR933" t="s">
        <v>10391</v>
      </c>
      <c r="AS933" t="s">
        <v>10392</v>
      </c>
      <c r="AT933" t="s">
        <v>16784</v>
      </c>
      <c r="AU933">
        <v>2017</v>
      </c>
      <c r="AV933">
        <v>195</v>
      </c>
      <c r="AW933" t="s">
        <v>74</v>
      </c>
      <c r="AX933" t="s">
        <v>74</v>
      </c>
      <c r="AY933" t="s">
        <v>74</v>
      </c>
      <c r="AZ933" t="s">
        <v>74</v>
      </c>
      <c r="BA933" t="s">
        <v>74</v>
      </c>
      <c r="BB933">
        <v>91</v>
      </c>
      <c r="BC933">
        <v>104</v>
      </c>
      <c r="BD933" t="s">
        <v>74</v>
      </c>
      <c r="BE933" t="s">
        <v>18086</v>
      </c>
      <c r="BF933" t="str">
        <f>HYPERLINK("http://dx.doi.org/10.1016/j.fishres.2017.07.008","http://dx.doi.org/10.1016/j.fishres.2017.07.008")</f>
        <v>http://dx.doi.org/10.1016/j.fishres.2017.07.008</v>
      </c>
      <c r="BG933" t="s">
        <v>74</v>
      </c>
      <c r="BH933" t="s">
        <v>74</v>
      </c>
      <c r="BI933">
        <v>14</v>
      </c>
      <c r="BJ933" t="s">
        <v>6350</v>
      </c>
      <c r="BK933" t="s">
        <v>101</v>
      </c>
      <c r="BL933" t="s">
        <v>6350</v>
      </c>
      <c r="BM933" t="s">
        <v>18087</v>
      </c>
      <c r="BN933" t="s">
        <v>74</v>
      </c>
      <c r="BO933" t="s">
        <v>74</v>
      </c>
      <c r="BP933" t="s">
        <v>74</v>
      </c>
      <c r="BQ933" t="s">
        <v>74</v>
      </c>
      <c r="BR933" t="s">
        <v>105</v>
      </c>
      <c r="BS933" t="s">
        <v>18088</v>
      </c>
      <c r="BT933" t="str">
        <f>HYPERLINK("https%3A%2F%2Fwww.webofscience.com%2Fwos%2Fwoscc%2Ffull-record%2FWOS:000412254900011","View Full Record in Web of Science")</f>
        <v>View Full Record in Web of Science</v>
      </c>
    </row>
    <row r="934" spans="1:72" x14ac:dyDescent="0.15">
      <c r="A934" t="s">
        <v>72</v>
      </c>
      <c r="B934" t="s">
        <v>18089</v>
      </c>
      <c r="C934" t="s">
        <v>74</v>
      </c>
      <c r="D934" t="s">
        <v>74</v>
      </c>
      <c r="E934" t="s">
        <v>74</v>
      </c>
      <c r="F934" t="s">
        <v>18090</v>
      </c>
      <c r="G934" t="s">
        <v>74</v>
      </c>
      <c r="H934" t="s">
        <v>74</v>
      </c>
      <c r="I934" t="s">
        <v>18091</v>
      </c>
      <c r="J934" t="s">
        <v>4573</v>
      </c>
      <c r="K934" t="s">
        <v>74</v>
      </c>
      <c r="L934" t="s">
        <v>74</v>
      </c>
      <c r="M934" t="s">
        <v>78</v>
      </c>
      <c r="N934" t="s">
        <v>79</v>
      </c>
      <c r="O934" t="s">
        <v>74</v>
      </c>
      <c r="P934" t="s">
        <v>74</v>
      </c>
      <c r="Q934" t="s">
        <v>74</v>
      </c>
      <c r="R934" t="s">
        <v>74</v>
      </c>
      <c r="S934" t="s">
        <v>74</v>
      </c>
      <c r="T934" t="s">
        <v>74</v>
      </c>
      <c r="U934" t="s">
        <v>18092</v>
      </c>
      <c r="V934" t="s">
        <v>18093</v>
      </c>
      <c r="W934" t="s">
        <v>18094</v>
      </c>
      <c r="X934" t="s">
        <v>18095</v>
      </c>
      <c r="Y934" t="s">
        <v>18096</v>
      </c>
      <c r="Z934" t="s">
        <v>18097</v>
      </c>
      <c r="AA934" t="s">
        <v>13307</v>
      </c>
      <c r="AB934" t="s">
        <v>18098</v>
      </c>
      <c r="AC934" t="s">
        <v>18099</v>
      </c>
      <c r="AD934" t="s">
        <v>9072</v>
      </c>
      <c r="AE934" t="s">
        <v>18100</v>
      </c>
      <c r="AF934" t="s">
        <v>74</v>
      </c>
      <c r="AG934">
        <v>25</v>
      </c>
      <c r="AH934">
        <v>18</v>
      </c>
      <c r="AI934">
        <v>20</v>
      </c>
      <c r="AJ934">
        <v>0</v>
      </c>
      <c r="AK934">
        <v>11</v>
      </c>
      <c r="AL934" t="s">
        <v>4585</v>
      </c>
      <c r="AM934" t="s">
        <v>1649</v>
      </c>
      <c r="AN934" t="s">
        <v>4586</v>
      </c>
      <c r="AO934" t="s">
        <v>4587</v>
      </c>
      <c r="AP934" t="s">
        <v>4588</v>
      </c>
      <c r="AQ934" t="s">
        <v>74</v>
      </c>
      <c r="AR934" t="s">
        <v>4573</v>
      </c>
      <c r="AS934" t="s">
        <v>281</v>
      </c>
      <c r="AT934" t="s">
        <v>16784</v>
      </c>
      <c r="AU934">
        <v>2017</v>
      </c>
      <c r="AV934">
        <v>45</v>
      </c>
      <c r="AW934">
        <v>11</v>
      </c>
      <c r="AX934" t="s">
        <v>74</v>
      </c>
      <c r="AY934" t="s">
        <v>74</v>
      </c>
      <c r="AZ934" t="s">
        <v>74</v>
      </c>
      <c r="BA934" t="s">
        <v>74</v>
      </c>
      <c r="BB934">
        <v>963</v>
      </c>
      <c r="BC934">
        <v>966</v>
      </c>
      <c r="BD934" t="s">
        <v>74</v>
      </c>
      <c r="BE934" t="s">
        <v>18101</v>
      </c>
      <c r="BF934" t="str">
        <f>HYPERLINK("http://dx.doi.org/10.1130/G39189.1","http://dx.doi.org/10.1130/G39189.1")</f>
        <v>http://dx.doi.org/10.1130/G39189.1</v>
      </c>
      <c r="BG934" t="s">
        <v>74</v>
      </c>
      <c r="BH934" t="s">
        <v>74</v>
      </c>
      <c r="BI934">
        <v>4</v>
      </c>
      <c r="BJ934" t="s">
        <v>281</v>
      </c>
      <c r="BK934" t="s">
        <v>101</v>
      </c>
      <c r="BL934" t="s">
        <v>281</v>
      </c>
      <c r="BM934" t="s">
        <v>18102</v>
      </c>
      <c r="BN934" t="s">
        <v>74</v>
      </c>
      <c r="BO934" t="s">
        <v>432</v>
      </c>
      <c r="BP934" t="s">
        <v>74</v>
      </c>
      <c r="BQ934" t="s">
        <v>74</v>
      </c>
      <c r="BR934" t="s">
        <v>105</v>
      </c>
      <c r="BS934" t="s">
        <v>18103</v>
      </c>
      <c r="BT934" t="str">
        <f>HYPERLINK("https%3A%2F%2Fwww.webofscience.com%2Fwos%2Fwoscc%2Ffull-record%2FWOS:000414366200003","View Full Record in Web of Science")</f>
        <v>View Full Record in Web of Science</v>
      </c>
    </row>
    <row r="935" spans="1:72" x14ac:dyDescent="0.15">
      <c r="A935" t="s">
        <v>72</v>
      </c>
      <c r="B935" t="s">
        <v>18104</v>
      </c>
      <c r="C935" t="s">
        <v>74</v>
      </c>
      <c r="D935" t="s">
        <v>74</v>
      </c>
      <c r="E935" t="s">
        <v>74</v>
      </c>
      <c r="F935" t="s">
        <v>18105</v>
      </c>
      <c r="G935" t="s">
        <v>74</v>
      </c>
      <c r="H935" t="s">
        <v>74</v>
      </c>
      <c r="I935" t="s">
        <v>18106</v>
      </c>
      <c r="J935" t="s">
        <v>4573</v>
      </c>
      <c r="K935" t="s">
        <v>74</v>
      </c>
      <c r="L935" t="s">
        <v>74</v>
      </c>
      <c r="M935" t="s">
        <v>78</v>
      </c>
      <c r="N935" t="s">
        <v>79</v>
      </c>
      <c r="O935" t="s">
        <v>74</v>
      </c>
      <c r="P935" t="s">
        <v>74</v>
      </c>
      <c r="Q935" t="s">
        <v>74</v>
      </c>
      <c r="R935" t="s">
        <v>74</v>
      </c>
      <c r="S935" t="s">
        <v>74</v>
      </c>
      <c r="T935" t="s">
        <v>74</v>
      </c>
      <c r="U935" t="s">
        <v>18107</v>
      </c>
      <c r="V935" t="s">
        <v>18108</v>
      </c>
      <c r="W935" t="s">
        <v>18109</v>
      </c>
      <c r="X935" t="s">
        <v>18110</v>
      </c>
      <c r="Y935" t="s">
        <v>18111</v>
      </c>
      <c r="Z935" t="s">
        <v>74</v>
      </c>
      <c r="AA935" t="s">
        <v>74</v>
      </c>
      <c r="AB935" t="s">
        <v>18112</v>
      </c>
      <c r="AC935" t="s">
        <v>18113</v>
      </c>
      <c r="AD935" t="s">
        <v>18114</v>
      </c>
      <c r="AE935" t="s">
        <v>18115</v>
      </c>
      <c r="AF935" t="s">
        <v>74</v>
      </c>
      <c r="AG935">
        <v>24</v>
      </c>
      <c r="AH935">
        <v>18</v>
      </c>
      <c r="AI935">
        <v>19</v>
      </c>
      <c r="AJ935">
        <v>0</v>
      </c>
      <c r="AK935">
        <v>7</v>
      </c>
      <c r="AL935" t="s">
        <v>4585</v>
      </c>
      <c r="AM935" t="s">
        <v>1649</v>
      </c>
      <c r="AN935" t="s">
        <v>4586</v>
      </c>
      <c r="AO935" t="s">
        <v>4587</v>
      </c>
      <c r="AP935" t="s">
        <v>4588</v>
      </c>
      <c r="AQ935" t="s">
        <v>74</v>
      </c>
      <c r="AR935" t="s">
        <v>4573</v>
      </c>
      <c r="AS935" t="s">
        <v>281</v>
      </c>
      <c r="AT935" t="s">
        <v>16784</v>
      </c>
      <c r="AU935">
        <v>2017</v>
      </c>
      <c r="AV935">
        <v>45</v>
      </c>
      <c r="AW935">
        <v>11</v>
      </c>
      <c r="AX935" t="s">
        <v>74</v>
      </c>
      <c r="AY935" t="s">
        <v>74</v>
      </c>
      <c r="AZ935" t="s">
        <v>74</v>
      </c>
      <c r="BA935" t="s">
        <v>74</v>
      </c>
      <c r="BB935">
        <v>1035</v>
      </c>
      <c r="BC935">
        <v>1038</v>
      </c>
      <c r="BD935" t="s">
        <v>74</v>
      </c>
      <c r="BE935" t="s">
        <v>18116</v>
      </c>
      <c r="BF935" t="str">
        <f>HYPERLINK("http://dx.doi.org/10.1130/G39398.1","http://dx.doi.org/10.1130/G39398.1")</f>
        <v>http://dx.doi.org/10.1130/G39398.1</v>
      </c>
      <c r="BG935" t="s">
        <v>74</v>
      </c>
      <c r="BH935" t="s">
        <v>74</v>
      </c>
      <c r="BI935">
        <v>4</v>
      </c>
      <c r="BJ935" t="s">
        <v>281</v>
      </c>
      <c r="BK935" t="s">
        <v>101</v>
      </c>
      <c r="BL935" t="s">
        <v>281</v>
      </c>
      <c r="BM935" t="s">
        <v>18102</v>
      </c>
      <c r="BN935" t="s">
        <v>74</v>
      </c>
      <c r="BO935" t="s">
        <v>389</v>
      </c>
      <c r="BP935" t="s">
        <v>74</v>
      </c>
      <c r="BQ935" t="s">
        <v>74</v>
      </c>
      <c r="BR935" t="s">
        <v>105</v>
      </c>
      <c r="BS935" t="s">
        <v>18117</v>
      </c>
      <c r="BT935" t="str">
        <f>HYPERLINK("https%3A%2F%2Fwww.webofscience.com%2Fwos%2Fwoscc%2Ffull-record%2FWOS:000414366200021","View Full Record in Web of Science")</f>
        <v>View Full Record in Web of Science</v>
      </c>
    </row>
    <row r="936" spans="1:72" x14ac:dyDescent="0.15">
      <c r="A936" t="s">
        <v>72</v>
      </c>
      <c r="B936" t="s">
        <v>18118</v>
      </c>
      <c r="C936" t="s">
        <v>74</v>
      </c>
      <c r="D936" t="s">
        <v>74</v>
      </c>
      <c r="E936" t="s">
        <v>74</v>
      </c>
      <c r="F936" t="s">
        <v>18119</v>
      </c>
      <c r="G936" t="s">
        <v>74</v>
      </c>
      <c r="H936" t="s">
        <v>74</v>
      </c>
      <c r="I936" t="s">
        <v>18120</v>
      </c>
      <c r="J936" t="s">
        <v>18121</v>
      </c>
      <c r="K936" t="s">
        <v>74</v>
      </c>
      <c r="L936" t="s">
        <v>74</v>
      </c>
      <c r="M936" t="s">
        <v>78</v>
      </c>
      <c r="N936" t="s">
        <v>79</v>
      </c>
      <c r="O936" t="s">
        <v>74</v>
      </c>
      <c r="P936" t="s">
        <v>74</v>
      </c>
      <c r="Q936" t="s">
        <v>74</v>
      </c>
      <c r="R936" t="s">
        <v>74</v>
      </c>
      <c r="S936" t="s">
        <v>74</v>
      </c>
      <c r="T936" t="s">
        <v>18122</v>
      </c>
      <c r="U936" t="s">
        <v>18123</v>
      </c>
      <c r="V936" t="s">
        <v>18124</v>
      </c>
      <c r="W936" t="s">
        <v>18125</v>
      </c>
      <c r="X936" t="s">
        <v>18126</v>
      </c>
      <c r="Y936" t="s">
        <v>18127</v>
      </c>
      <c r="Z936" t="s">
        <v>14410</v>
      </c>
      <c r="AA936" t="s">
        <v>74</v>
      </c>
      <c r="AB936" t="s">
        <v>18128</v>
      </c>
      <c r="AC936" t="s">
        <v>18129</v>
      </c>
      <c r="AD936" t="s">
        <v>18129</v>
      </c>
      <c r="AE936" t="s">
        <v>18130</v>
      </c>
      <c r="AF936" t="s">
        <v>74</v>
      </c>
      <c r="AG936">
        <v>70</v>
      </c>
      <c r="AH936">
        <v>19</v>
      </c>
      <c r="AI936">
        <v>19</v>
      </c>
      <c r="AJ936">
        <v>3</v>
      </c>
      <c r="AK936">
        <v>17</v>
      </c>
      <c r="AL936" t="s">
        <v>18131</v>
      </c>
      <c r="AM936" t="s">
        <v>18132</v>
      </c>
      <c r="AN936" t="s">
        <v>18133</v>
      </c>
      <c r="AO936" t="s">
        <v>18134</v>
      </c>
      <c r="AP936" t="s">
        <v>74</v>
      </c>
      <c r="AQ936" t="s">
        <v>74</v>
      </c>
      <c r="AR936" t="s">
        <v>18135</v>
      </c>
      <c r="AS936" t="s">
        <v>18136</v>
      </c>
      <c r="AT936" t="s">
        <v>16784</v>
      </c>
      <c r="AU936">
        <v>2017</v>
      </c>
      <c r="AV936">
        <v>8</v>
      </c>
      <c r="AW936">
        <v>6</v>
      </c>
      <c r="AX936" t="s">
        <v>74</v>
      </c>
      <c r="AY936" t="s">
        <v>74</v>
      </c>
      <c r="AZ936" t="s">
        <v>74</v>
      </c>
      <c r="BA936" t="s">
        <v>74</v>
      </c>
      <c r="BB936">
        <v>1339</v>
      </c>
      <c r="BC936">
        <v>1347</v>
      </c>
      <c r="BD936" t="s">
        <v>74</v>
      </c>
      <c r="BE936" t="s">
        <v>18137</v>
      </c>
      <c r="BF936" t="str">
        <f>HYPERLINK("http://dx.doi.org/10.1016/j.gsf.2017.01.002","http://dx.doi.org/10.1016/j.gsf.2017.01.002")</f>
        <v>http://dx.doi.org/10.1016/j.gsf.2017.01.002</v>
      </c>
      <c r="BG936" t="s">
        <v>74</v>
      </c>
      <c r="BH936" t="s">
        <v>74</v>
      </c>
      <c r="BI936">
        <v>9</v>
      </c>
      <c r="BJ936" t="s">
        <v>280</v>
      </c>
      <c r="BK936" t="s">
        <v>101</v>
      </c>
      <c r="BL936" t="s">
        <v>281</v>
      </c>
      <c r="BM936" t="s">
        <v>18138</v>
      </c>
      <c r="BN936" t="s">
        <v>74</v>
      </c>
      <c r="BO936" t="s">
        <v>160</v>
      </c>
      <c r="BP936" t="s">
        <v>74</v>
      </c>
      <c r="BQ936" t="s">
        <v>74</v>
      </c>
      <c r="BR936" t="s">
        <v>105</v>
      </c>
      <c r="BS936" t="s">
        <v>18139</v>
      </c>
      <c r="BT936" t="str">
        <f>HYPERLINK("https%3A%2F%2Fwww.webofscience.com%2Fwos%2Fwoscc%2Ffull-record%2FWOS:000413237600011","View Full Record in Web of Science")</f>
        <v>View Full Record in Web of Science</v>
      </c>
    </row>
    <row r="937" spans="1:72" x14ac:dyDescent="0.15">
      <c r="A937" t="s">
        <v>72</v>
      </c>
      <c r="B937" t="s">
        <v>18140</v>
      </c>
      <c r="C937" t="s">
        <v>74</v>
      </c>
      <c r="D937" t="s">
        <v>74</v>
      </c>
      <c r="E937" t="s">
        <v>74</v>
      </c>
      <c r="F937" t="s">
        <v>18141</v>
      </c>
      <c r="G937" t="s">
        <v>74</v>
      </c>
      <c r="H937" t="s">
        <v>74</v>
      </c>
      <c r="I937" t="s">
        <v>18142</v>
      </c>
      <c r="J937" t="s">
        <v>18143</v>
      </c>
      <c r="K937" t="s">
        <v>74</v>
      </c>
      <c r="L937" t="s">
        <v>74</v>
      </c>
      <c r="M937" t="s">
        <v>78</v>
      </c>
      <c r="N937" t="s">
        <v>79</v>
      </c>
      <c r="O937" t="s">
        <v>74</v>
      </c>
      <c r="P937" t="s">
        <v>74</v>
      </c>
      <c r="Q937" t="s">
        <v>74</v>
      </c>
      <c r="R937" t="s">
        <v>74</v>
      </c>
      <c r="S937" t="s">
        <v>74</v>
      </c>
      <c r="T937" t="s">
        <v>18144</v>
      </c>
      <c r="U937" t="s">
        <v>18145</v>
      </c>
      <c r="V937" t="s">
        <v>18146</v>
      </c>
      <c r="W937" t="s">
        <v>18147</v>
      </c>
      <c r="X937" t="s">
        <v>18148</v>
      </c>
      <c r="Y937" t="s">
        <v>18149</v>
      </c>
      <c r="Z937" t="s">
        <v>18150</v>
      </c>
      <c r="AA937" t="s">
        <v>18151</v>
      </c>
      <c r="AB937" t="s">
        <v>18152</v>
      </c>
      <c r="AC937" t="s">
        <v>18153</v>
      </c>
      <c r="AD937" t="s">
        <v>18154</v>
      </c>
      <c r="AE937" t="s">
        <v>18155</v>
      </c>
      <c r="AF937" t="s">
        <v>74</v>
      </c>
      <c r="AG937">
        <v>58</v>
      </c>
      <c r="AH937">
        <v>27</v>
      </c>
      <c r="AI937">
        <v>29</v>
      </c>
      <c r="AJ937">
        <v>2</v>
      </c>
      <c r="AK937">
        <v>45</v>
      </c>
      <c r="AL937" t="s">
        <v>1973</v>
      </c>
      <c r="AM937" t="s">
        <v>1797</v>
      </c>
      <c r="AN937" t="s">
        <v>5588</v>
      </c>
      <c r="AO937" t="s">
        <v>18156</v>
      </c>
      <c r="AP937" t="s">
        <v>18157</v>
      </c>
      <c r="AQ937" t="s">
        <v>74</v>
      </c>
      <c r="AR937" t="s">
        <v>18158</v>
      </c>
      <c r="AS937" t="s">
        <v>18159</v>
      </c>
      <c r="AT937" t="s">
        <v>16784</v>
      </c>
      <c r="AU937">
        <v>2017</v>
      </c>
      <c r="AV937">
        <v>91</v>
      </c>
      <c r="AW937">
        <v>11</v>
      </c>
      <c r="AX937" t="s">
        <v>74</v>
      </c>
      <c r="AY937" t="s">
        <v>74</v>
      </c>
      <c r="AZ937" t="s">
        <v>74</v>
      </c>
      <c r="BA937" t="s">
        <v>74</v>
      </c>
      <c r="BB937">
        <v>1283</v>
      </c>
      <c r="BC937">
        <v>1298</v>
      </c>
      <c r="BD937" t="s">
        <v>74</v>
      </c>
      <c r="BE937" t="s">
        <v>18160</v>
      </c>
      <c r="BF937" t="str">
        <f>HYPERLINK("http://dx.doi.org/10.1007/s00190-017-1025-y","http://dx.doi.org/10.1007/s00190-017-1025-y")</f>
        <v>http://dx.doi.org/10.1007/s00190-017-1025-y</v>
      </c>
      <c r="BG937" t="s">
        <v>74</v>
      </c>
      <c r="BH937" t="s">
        <v>74</v>
      </c>
      <c r="BI937">
        <v>16</v>
      </c>
      <c r="BJ937" t="s">
        <v>18161</v>
      </c>
      <c r="BK937" t="s">
        <v>101</v>
      </c>
      <c r="BL937" t="s">
        <v>18161</v>
      </c>
      <c r="BM937" t="s">
        <v>18162</v>
      </c>
      <c r="BN937" t="s">
        <v>74</v>
      </c>
      <c r="BO937" t="s">
        <v>389</v>
      </c>
      <c r="BP937" t="s">
        <v>74</v>
      </c>
      <c r="BQ937" t="s">
        <v>74</v>
      </c>
      <c r="BR937" t="s">
        <v>105</v>
      </c>
      <c r="BS937" t="s">
        <v>18163</v>
      </c>
      <c r="BT937" t="str">
        <f>HYPERLINK("https%3A%2F%2Fwww.webofscience.com%2Fwos%2Fwoscc%2Ffull-record%2FWOS:000413029900001","View Full Record in Web of Science")</f>
        <v>View Full Record in Web of Science</v>
      </c>
    </row>
    <row r="938" spans="1:72" x14ac:dyDescent="0.15">
      <c r="A938" t="s">
        <v>72</v>
      </c>
      <c r="B938" t="s">
        <v>18164</v>
      </c>
      <c r="C938" t="s">
        <v>74</v>
      </c>
      <c r="D938" t="s">
        <v>74</v>
      </c>
      <c r="E938" t="s">
        <v>74</v>
      </c>
      <c r="F938" t="s">
        <v>18165</v>
      </c>
      <c r="G938" t="s">
        <v>74</v>
      </c>
      <c r="H938" t="s">
        <v>74</v>
      </c>
      <c r="I938" t="s">
        <v>18166</v>
      </c>
      <c r="J938" t="s">
        <v>18167</v>
      </c>
      <c r="K938" t="s">
        <v>74</v>
      </c>
      <c r="L938" t="s">
        <v>74</v>
      </c>
      <c r="M938" t="s">
        <v>78</v>
      </c>
      <c r="N938" t="s">
        <v>79</v>
      </c>
      <c r="O938" t="s">
        <v>74</v>
      </c>
      <c r="P938" t="s">
        <v>74</v>
      </c>
      <c r="Q938" t="s">
        <v>74</v>
      </c>
      <c r="R938" t="s">
        <v>74</v>
      </c>
      <c r="S938" t="s">
        <v>74</v>
      </c>
      <c r="T938" t="s">
        <v>18168</v>
      </c>
      <c r="U938" t="s">
        <v>18169</v>
      </c>
      <c r="V938" t="s">
        <v>18170</v>
      </c>
      <c r="W938" t="s">
        <v>18171</v>
      </c>
      <c r="X938" t="s">
        <v>18172</v>
      </c>
      <c r="Y938" t="s">
        <v>18173</v>
      </c>
      <c r="Z938" t="s">
        <v>18174</v>
      </c>
      <c r="AA938" t="s">
        <v>18175</v>
      </c>
      <c r="AB938" t="s">
        <v>18176</v>
      </c>
      <c r="AC938" t="s">
        <v>18177</v>
      </c>
      <c r="AD938" t="s">
        <v>18178</v>
      </c>
      <c r="AE938" t="s">
        <v>18179</v>
      </c>
      <c r="AF938" t="s">
        <v>74</v>
      </c>
      <c r="AG938">
        <v>105</v>
      </c>
      <c r="AH938">
        <v>44</v>
      </c>
      <c r="AI938">
        <v>45</v>
      </c>
      <c r="AJ938">
        <v>0</v>
      </c>
      <c r="AK938">
        <v>3</v>
      </c>
      <c r="AL938" t="s">
        <v>1424</v>
      </c>
      <c r="AM938" t="s">
        <v>1425</v>
      </c>
      <c r="AN938" t="s">
        <v>1426</v>
      </c>
      <c r="AO938" t="s">
        <v>18180</v>
      </c>
      <c r="AP938" t="s">
        <v>74</v>
      </c>
      <c r="AQ938" t="s">
        <v>74</v>
      </c>
      <c r="AR938" t="s">
        <v>18181</v>
      </c>
      <c r="AS938" t="s">
        <v>18182</v>
      </c>
      <c r="AT938" t="s">
        <v>18183</v>
      </c>
      <c r="AU938">
        <v>2017</v>
      </c>
      <c r="AV938">
        <v>7</v>
      </c>
      <c r="AW938" t="s">
        <v>74</v>
      </c>
      <c r="AX938" t="s">
        <v>74</v>
      </c>
      <c r="AY938" t="s">
        <v>74</v>
      </c>
      <c r="AZ938" t="s">
        <v>74</v>
      </c>
      <c r="BA938" t="s">
        <v>74</v>
      </c>
      <c r="BB938" t="s">
        <v>74</v>
      </c>
      <c r="BC938" t="s">
        <v>74</v>
      </c>
      <c r="BD938" t="s">
        <v>18184</v>
      </c>
      <c r="BE938" t="s">
        <v>18185</v>
      </c>
      <c r="BF938" t="str">
        <f>HYPERLINK("http://dx.doi.org/10.1051/swsc/2017026","http://dx.doi.org/10.1051/swsc/2017026")</f>
        <v>http://dx.doi.org/10.1051/swsc/2017026</v>
      </c>
      <c r="BG938" t="s">
        <v>74</v>
      </c>
      <c r="BH938" t="s">
        <v>74</v>
      </c>
      <c r="BI938">
        <v>17</v>
      </c>
      <c r="BJ938" t="s">
        <v>8576</v>
      </c>
      <c r="BK938" t="s">
        <v>101</v>
      </c>
      <c r="BL938" t="s">
        <v>8576</v>
      </c>
      <c r="BM938" t="s">
        <v>18186</v>
      </c>
      <c r="BN938" t="s">
        <v>74</v>
      </c>
      <c r="BO938" t="s">
        <v>494</v>
      </c>
      <c r="BP938" t="s">
        <v>74</v>
      </c>
      <c r="BQ938" t="s">
        <v>74</v>
      </c>
      <c r="BR938" t="s">
        <v>105</v>
      </c>
      <c r="BS938" t="s">
        <v>18187</v>
      </c>
      <c r="BT938" t="str">
        <f>HYPERLINK("https%3A%2F%2Fwww.webofscience.com%2Fwos%2Fwoscc%2Ffull-record%2FWOS:000414207200002","View Full Record in Web of Science")</f>
        <v>View Full Record in Web of Science</v>
      </c>
    </row>
    <row r="939" spans="1:72" x14ac:dyDescent="0.15">
      <c r="A939" t="s">
        <v>72</v>
      </c>
      <c r="B939" t="s">
        <v>18188</v>
      </c>
      <c r="C939" t="s">
        <v>74</v>
      </c>
      <c r="D939" t="s">
        <v>74</v>
      </c>
      <c r="E939" t="s">
        <v>74</v>
      </c>
      <c r="F939" t="s">
        <v>18189</v>
      </c>
      <c r="G939" t="s">
        <v>74</v>
      </c>
      <c r="H939" t="s">
        <v>74</v>
      </c>
      <c r="I939" t="s">
        <v>18190</v>
      </c>
      <c r="J939" t="s">
        <v>18191</v>
      </c>
      <c r="K939" t="s">
        <v>74</v>
      </c>
      <c r="L939" t="s">
        <v>74</v>
      </c>
      <c r="M939" t="s">
        <v>78</v>
      </c>
      <c r="N939" t="s">
        <v>79</v>
      </c>
      <c r="O939" t="s">
        <v>74</v>
      </c>
      <c r="P939" t="s">
        <v>74</v>
      </c>
      <c r="Q939" t="s">
        <v>74</v>
      </c>
      <c r="R939" t="s">
        <v>74</v>
      </c>
      <c r="S939" t="s">
        <v>74</v>
      </c>
      <c r="T939" t="s">
        <v>18192</v>
      </c>
      <c r="U939" t="s">
        <v>18193</v>
      </c>
      <c r="V939" t="s">
        <v>18194</v>
      </c>
      <c r="W939" t="s">
        <v>18195</v>
      </c>
      <c r="X939" t="s">
        <v>18196</v>
      </c>
      <c r="Y939" t="s">
        <v>18197</v>
      </c>
      <c r="Z939" t="s">
        <v>18198</v>
      </c>
      <c r="AA939" t="s">
        <v>18199</v>
      </c>
      <c r="AB939" t="s">
        <v>18200</v>
      </c>
      <c r="AC939" t="s">
        <v>18201</v>
      </c>
      <c r="AD939" t="s">
        <v>18202</v>
      </c>
      <c r="AE939" t="s">
        <v>18203</v>
      </c>
      <c r="AF939" t="s">
        <v>74</v>
      </c>
      <c r="AG939">
        <v>40</v>
      </c>
      <c r="AH939">
        <v>8</v>
      </c>
      <c r="AI939">
        <v>8</v>
      </c>
      <c r="AJ939">
        <v>0</v>
      </c>
      <c r="AK939">
        <v>8</v>
      </c>
      <c r="AL939" t="s">
        <v>18204</v>
      </c>
      <c r="AM939" t="s">
        <v>698</v>
      </c>
      <c r="AN939" t="s">
        <v>18205</v>
      </c>
      <c r="AO939" t="s">
        <v>18206</v>
      </c>
      <c r="AP939" t="s">
        <v>18207</v>
      </c>
      <c r="AQ939" t="s">
        <v>74</v>
      </c>
      <c r="AR939" t="s">
        <v>18191</v>
      </c>
      <c r="AS939" t="s">
        <v>18208</v>
      </c>
      <c r="AT939" t="s">
        <v>16784</v>
      </c>
      <c r="AU939">
        <v>2017</v>
      </c>
      <c r="AV939">
        <v>81</v>
      </c>
      <c r="AW939">
        <v>6</v>
      </c>
      <c r="AX939" t="s">
        <v>74</v>
      </c>
      <c r="AY939" t="s">
        <v>74</v>
      </c>
      <c r="AZ939" t="s">
        <v>74</v>
      </c>
      <c r="BA939" t="s">
        <v>74</v>
      </c>
      <c r="BB939">
        <v>615</v>
      </c>
      <c r="BC939">
        <v>619</v>
      </c>
      <c r="BD939" t="s">
        <v>74</v>
      </c>
      <c r="BE939" t="s">
        <v>18209</v>
      </c>
      <c r="BF939" t="str">
        <f>HYPERLINK("http://dx.doi.org/10.1515/mammalia-2016-0086","http://dx.doi.org/10.1515/mammalia-2016-0086")</f>
        <v>http://dx.doi.org/10.1515/mammalia-2016-0086</v>
      </c>
      <c r="BG939" t="s">
        <v>74</v>
      </c>
      <c r="BH939" t="s">
        <v>74</v>
      </c>
      <c r="BI939">
        <v>5</v>
      </c>
      <c r="BJ939" t="s">
        <v>655</v>
      </c>
      <c r="BK939" t="s">
        <v>101</v>
      </c>
      <c r="BL939" t="s">
        <v>655</v>
      </c>
      <c r="BM939" t="s">
        <v>18210</v>
      </c>
      <c r="BN939" t="s">
        <v>74</v>
      </c>
      <c r="BO939" t="s">
        <v>74</v>
      </c>
      <c r="BP939" t="s">
        <v>74</v>
      </c>
      <c r="BQ939" t="s">
        <v>74</v>
      </c>
      <c r="BR939" t="s">
        <v>105</v>
      </c>
      <c r="BS939" t="s">
        <v>18211</v>
      </c>
      <c r="BT939" t="str">
        <f>HYPERLINK("https%3A%2F%2Fwww.webofscience.com%2Fwos%2Fwoscc%2Ffull-record%2FWOS:000413973000010","View Full Record in Web of Science")</f>
        <v>View Full Record in Web of Science</v>
      </c>
    </row>
    <row r="940" spans="1:72" x14ac:dyDescent="0.15">
      <c r="A940" t="s">
        <v>72</v>
      </c>
      <c r="B940" t="s">
        <v>18212</v>
      </c>
      <c r="C940" t="s">
        <v>74</v>
      </c>
      <c r="D940" t="s">
        <v>74</v>
      </c>
      <c r="E940" t="s">
        <v>74</v>
      </c>
      <c r="F940" t="s">
        <v>18213</v>
      </c>
      <c r="G940" t="s">
        <v>74</v>
      </c>
      <c r="H940" t="s">
        <v>74</v>
      </c>
      <c r="I940" t="s">
        <v>18214</v>
      </c>
      <c r="J940" t="s">
        <v>14570</v>
      </c>
      <c r="K940" t="s">
        <v>74</v>
      </c>
      <c r="L940" t="s">
        <v>74</v>
      </c>
      <c r="M940" t="s">
        <v>78</v>
      </c>
      <c r="N940" t="s">
        <v>79</v>
      </c>
      <c r="O940" t="s">
        <v>74</v>
      </c>
      <c r="P940" t="s">
        <v>74</v>
      </c>
      <c r="Q940" t="s">
        <v>74</v>
      </c>
      <c r="R940" t="s">
        <v>74</v>
      </c>
      <c r="S940" t="s">
        <v>74</v>
      </c>
      <c r="T940" t="s">
        <v>74</v>
      </c>
      <c r="U940" t="s">
        <v>18215</v>
      </c>
      <c r="V940" t="s">
        <v>18216</v>
      </c>
      <c r="W940" t="s">
        <v>18217</v>
      </c>
      <c r="X940" t="s">
        <v>18218</v>
      </c>
      <c r="Y940" t="s">
        <v>18219</v>
      </c>
      <c r="Z940" t="s">
        <v>18220</v>
      </c>
      <c r="AA940" t="s">
        <v>18221</v>
      </c>
      <c r="AB940" t="s">
        <v>18222</v>
      </c>
      <c r="AC940" t="s">
        <v>18223</v>
      </c>
      <c r="AD940" t="s">
        <v>18224</v>
      </c>
      <c r="AE940" t="s">
        <v>18225</v>
      </c>
      <c r="AF940" t="s">
        <v>74</v>
      </c>
      <c r="AG940">
        <v>31</v>
      </c>
      <c r="AH940">
        <v>36</v>
      </c>
      <c r="AI940">
        <v>38</v>
      </c>
      <c r="AJ940">
        <v>1</v>
      </c>
      <c r="AK940">
        <v>48</v>
      </c>
      <c r="AL940" t="s">
        <v>673</v>
      </c>
      <c r="AM940" t="s">
        <v>1797</v>
      </c>
      <c r="AN940" t="s">
        <v>2511</v>
      </c>
      <c r="AO940" t="s">
        <v>14582</v>
      </c>
      <c r="AP940" t="s">
        <v>14583</v>
      </c>
      <c r="AQ940" t="s">
        <v>74</v>
      </c>
      <c r="AR940" t="s">
        <v>14584</v>
      </c>
      <c r="AS940" t="s">
        <v>14585</v>
      </c>
      <c r="AT940" t="s">
        <v>16784</v>
      </c>
      <c r="AU940">
        <v>2017</v>
      </c>
      <c r="AV940">
        <v>10</v>
      </c>
      <c r="AW940">
        <v>11</v>
      </c>
      <c r="AX940" t="s">
        <v>74</v>
      </c>
      <c r="AY940" t="s">
        <v>74</v>
      </c>
      <c r="AZ940" t="s">
        <v>74</v>
      </c>
      <c r="BA940" t="s">
        <v>74</v>
      </c>
      <c r="BB940">
        <v>840</v>
      </c>
      <c r="BC940" t="s">
        <v>1565</v>
      </c>
      <c r="BD940" t="s">
        <v>74</v>
      </c>
      <c r="BE940" t="s">
        <v>18226</v>
      </c>
      <c r="BF940" t="str">
        <f>HYPERLINK("http://dx.doi.org/10.1038/NGEO3053","http://dx.doi.org/10.1038/NGEO3053")</f>
        <v>http://dx.doi.org/10.1038/NGEO3053</v>
      </c>
      <c r="BG940" t="s">
        <v>74</v>
      </c>
      <c r="BH940" t="s">
        <v>74</v>
      </c>
      <c r="BI940">
        <v>7</v>
      </c>
      <c r="BJ940" t="s">
        <v>280</v>
      </c>
      <c r="BK940" t="s">
        <v>101</v>
      </c>
      <c r="BL940" t="s">
        <v>281</v>
      </c>
      <c r="BM940" t="s">
        <v>18227</v>
      </c>
      <c r="BN940" t="s">
        <v>74</v>
      </c>
      <c r="BO940" t="s">
        <v>389</v>
      </c>
      <c r="BP940" t="s">
        <v>74</v>
      </c>
      <c r="BQ940" t="s">
        <v>74</v>
      </c>
      <c r="BR940" t="s">
        <v>105</v>
      </c>
      <c r="BS940" t="s">
        <v>18228</v>
      </c>
      <c r="BT940" t="str">
        <f>HYPERLINK("https%3A%2F%2Fwww.webofscience.com%2Fwos%2Fwoscc%2Ffull-record%2FWOS:000414031600014","View Full Record in Web of Science")</f>
        <v>View Full Record in Web of Science</v>
      </c>
    </row>
    <row r="941" spans="1:72" x14ac:dyDescent="0.15">
      <c r="A941" t="s">
        <v>72</v>
      </c>
      <c r="B941" t="s">
        <v>18229</v>
      </c>
      <c r="C941" t="s">
        <v>74</v>
      </c>
      <c r="D941" t="s">
        <v>74</v>
      </c>
      <c r="E941" t="s">
        <v>74</v>
      </c>
      <c r="F941" t="s">
        <v>18230</v>
      </c>
      <c r="G941" t="s">
        <v>74</v>
      </c>
      <c r="H941" t="s">
        <v>74</v>
      </c>
      <c r="I941" t="s">
        <v>18231</v>
      </c>
      <c r="J941" t="s">
        <v>11642</v>
      </c>
      <c r="K941" t="s">
        <v>74</v>
      </c>
      <c r="L941" t="s">
        <v>74</v>
      </c>
      <c r="M941" t="s">
        <v>78</v>
      </c>
      <c r="N941" t="s">
        <v>79</v>
      </c>
      <c r="O941" t="s">
        <v>74</v>
      </c>
      <c r="P941" t="s">
        <v>74</v>
      </c>
      <c r="Q941" t="s">
        <v>74</v>
      </c>
      <c r="R941" t="s">
        <v>74</v>
      </c>
      <c r="S941" t="s">
        <v>74</v>
      </c>
      <c r="T941" t="s">
        <v>74</v>
      </c>
      <c r="U941" t="s">
        <v>18232</v>
      </c>
      <c r="V941" t="s">
        <v>18233</v>
      </c>
      <c r="W941" t="s">
        <v>18234</v>
      </c>
      <c r="X941" t="s">
        <v>18235</v>
      </c>
      <c r="Y941" t="s">
        <v>18236</v>
      </c>
      <c r="Z941" t="s">
        <v>18237</v>
      </c>
      <c r="AA941" t="s">
        <v>18238</v>
      </c>
      <c r="AB941" t="s">
        <v>18239</v>
      </c>
      <c r="AC941" t="s">
        <v>18240</v>
      </c>
      <c r="AD941" t="s">
        <v>18241</v>
      </c>
      <c r="AE941" t="s">
        <v>18242</v>
      </c>
      <c r="AF941" t="s">
        <v>74</v>
      </c>
      <c r="AG941">
        <v>73</v>
      </c>
      <c r="AH941">
        <v>20</v>
      </c>
      <c r="AI941">
        <v>31</v>
      </c>
      <c r="AJ941">
        <v>4</v>
      </c>
      <c r="AK941">
        <v>43</v>
      </c>
      <c r="AL941" t="s">
        <v>892</v>
      </c>
      <c r="AM941" t="s">
        <v>698</v>
      </c>
      <c r="AN941" t="s">
        <v>699</v>
      </c>
      <c r="AO941" t="s">
        <v>11654</v>
      </c>
      <c r="AP941" t="s">
        <v>74</v>
      </c>
      <c r="AQ941" t="s">
        <v>74</v>
      </c>
      <c r="AR941" t="s">
        <v>11655</v>
      </c>
      <c r="AS941" t="s">
        <v>11656</v>
      </c>
      <c r="AT941" t="s">
        <v>18183</v>
      </c>
      <c r="AU941">
        <v>2017</v>
      </c>
      <c r="AV941">
        <v>7</v>
      </c>
      <c r="AW941" t="s">
        <v>74</v>
      </c>
      <c r="AX941" t="s">
        <v>74</v>
      </c>
      <c r="AY941" t="s">
        <v>74</v>
      </c>
      <c r="AZ941" t="s">
        <v>74</v>
      </c>
      <c r="BA941" t="s">
        <v>74</v>
      </c>
      <c r="BB941" t="s">
        <v>74</v>
      </c>
      <c r="BC941" t="s">
        <v>74</v>
      </c>
      <c r="BD941">
        <v>14845</v>
      </c>
      <c r="BE941" t="s">
        <v>18243</v>
      </c>
      <c r="BF941" t="str">
        <f>HYPERLINK("http://dx.doi.org/10.1038/s41598-017-14109-1","http://dx.doi.org/10.1038/s41598-017-14109-1")</f>
        <v>http://dx.doi.org/10.1038/s41598-017-14109-1</v>
      </c>
      <c r="BG941" t="s">
        <v>74</v>
      </c>
      <c r="BH941" t="s">
        <v>74</v>
      </c>
      <c r="BI941">
        <v>11</v>
      </c>
      <c r="BJ941" t="s">
        <v>129</v>
      </c>
      <c r="BK941" t="s">
        <v>101</v>
      </c>
      <c r="BL941" t="s">
        <v>130</v>
      </c>
      <c r="BM941" t="s">
        <v>18244</v>
      </c>
      <c r="BN941">
        <v>29093494</v>
      </c>
      <c r="BO941" t="s">
        <v>630</v>
      </c>
      <c r="BP941" t="s">
        <v>74</v>
      </c>
      <c r="BQ941" t="s">
        <v>74</v>
      </c>
      <c r="BR941" t="s">
        <v>105</v>
      </c>
      <c r="BS941" t="s">
        <v>18245</v>
      </c>
      <c r="BT941" t="str">
        <f>HYPERLINK("https%3A%2F%2Fwww.webofscience.com%2Fwos%2Fwoscc%2Ffull-record%2FWOS:000414233700065","View Full Record in Web of Science")</f>
        <v>View Full Record in Web of Science</v>
      </c>
    </row>
    <row r="942" spans="1:72" x14ac:dyDescent="0.15">
      <c r="A942" t="s">
        <v>72</v>
      </c>
      <c r="B942" t="s">
        <v>18246</v>
      </c>
      <c r="C942" t="s">
        <v>74</v>
      </c>
      <c r="D942" t="s">
        <v>74</v>
      </c>
      <c r="E942" t="s">
        <v>74</v>
      </c>
      <c r="F942" t="s">
        <v>18247</v>
      </c>
      <c r="G942" t="s">
        <v>74</v>
      </c>
      <c r="H942" t="s">
        <v>74</v>
      </c>
      <c r="I942" t="s">
        <v>18248</v>
      </c>
      <c r="J942" t="s">
        <v>18249</v>
      </c>
      <c r="K942" t="s">
        <v>74</v>
      </c>
      <c r="L942" t="s">
        <v>74</v>
      </c>
      <c r="M942" t="s">
        <v>78</v>
      </c>
      <c r="N942" t="s">
        <v>79</v>
      </c>
      <c r="O942" t="s">
        <v>74</v>
      </c>
      <c r="P942" t="s">
        <v>74</v>
      </c>
      <c r="Q942" t="s">
        <v>74</v>
      </c>
      <c r="R942" t="s">
        <v>74</v>
      </c>
      <c r="S942" t="s">
        <v>74</v>
      </c>
      <c r="T942" t="s">
        <v>18250</v>
      </c>
      <c r="U942" t="s">
        <v>74</v>
      </c>
      <c r="V942" t="s">
        <v>18251</v>
      </c>
      <c r="W942" t="s">
        <v>18252</v>
      </c>
      <c r="X942" t="s">
        <v>18253</v>
      </c>
      <c r="Y942" t="s">
        <v>18254</v>
      </c>
      <c r="Z942" t="s">
        <v>18255</v>
      </c>
      <c r="AA942" t="s">
        <v>74</v>
      </c>
      <c r="AB942" t="s">
        <v>18256</v>
      </c>
      <c r="AC942" t="s">
        <v>18257</v>
      </c>
      <c r="AD942" t="s">
        <v>18258</v>
      </c>
      <c r="AE942" t="s">
        <v>18259</v>
      </c>
      <c r="AF942" t="s">
        <v>74</v>
      </c>
      <c r="AG942">
        <v>18</v>
      </c>
      <c r="AH942">
        <v>3</v>
      </c>
      <c r="AI942">
        <v>3</v>
      </c>
      <c r="AJ942">
        <v>0</v>
      </c>
      <c r="AK942">
        <v>6</v>
      </c>
      <c r="AL942" t="s">
        <v>18260</v>
      </c>
      <c r="AM942" t="s">
        <v>4769</v>
      </c>
      <c r="AN942" t="s">
        <v>18261</v>
      </c>
      <c r="AO942" t="s">
        <v>18262</v>
      </c>
      <c r="AP942" t="s">
        <v>74</v>
      </c>
      <c r="AQ942" t="s">
        <v>74</v>
      </c>
      <c r="AR942" t="s">
        <v>18263</v>
      </c>
      <c r="AS942" t="s">
        <v>18264</v>
      </c>
      <c r="AT942" t="s">
        <v>18183</v>
      </c>
      <c r="AU942">
        <v>2017</v>
      </c>
      <c r="AV942">
        <v>93</v>
      </c>
      <c r="AW942">
        <v>2</v>
      </c>
      <c r="AX942" t="s">
        <v>74</v>
      </c>
      <c r="AY942" t="s">
        <v>74</v>
      </c>
      <c r="AZ942" t="s">
        <v>74</v>
      </c>
      <c r="BA942" t="s">
        <v>74</v>
      </c>
      <c r="BB942">
        <v>343</v>
      </c>
      <c r="BC942">
        <v>352</v>
      </c>
      <c r="BD942" t="s">
        <v>74</v>
      </c>
      <c r="BE942" t="s">
        <v>18265</v>
      </c>
      <c r="BF942" t="str">
        <f>HYPERLINK("http://dx.doi.org/10.3897/zse.92.20482","http://dx.doi.org/10.3897/zse.92.20482")</f>
        <v>http://dx.doi.org/10.3897/zse.92.20482</v>
      </c>
      <c r="BG942" t="s">
        <v>74</v>
      </c>
      <c r="BH942" t="s">
        <v>74</v>
      </c>
      <c r="BI942">
        <v>10</v>
      </c>
      <c r="BJ942" t="s">
        <v>655</v>
      </c>
      <c r="BK942" t="s">
        <v>101</v>
      </c>
      <c r="BL942" t="s">
        <v>655</v>
      </c>
      <c r="BM942" t="s">
        <v>18266</v>
      </c>
      <c r="BN942" t="s">
        <v>74</v>
      </c>
      <c r="BO942" t="s">
        <v>3808</v>
      </c>
      <c r="BP942" t="s">
        <v>74</v>
      </c>
      <c r="BQ942" t="s">
        <v>74</v>
      </c>
      <c r="BR942" t="s">
        <v>105</v>
      </c>
      <c r="BS942" t="s">
        <v>18267</v>
      </c>
      <c r="BT942" t="str">
        <f>HYPERLINK("https%3A%2F%2Fwww.webofscience.com%2Fwos%2Fwoscc%2Ffull-record%2FWOS:000414129000001","View Full Record in Web of Science")</f>
        <v>View Full Record in Web of Science</v>
      </c>
    </row>
    <row r="943" spans="1:72" x14ac:dyDescent="0.15">
      <c r="A943" t="s">
        <v>72</v>
      </c>
      <c r="B943" t="s">
        <v>18268</v>
      </c>
      <c r="C943" t="s">
        <v>74</v>
      </c>
      <c r="D943" t="s">
        <v>74</v>
      </c>
      <c r="E943" t="s">
        <v>74</v>
      </c>
      <c r="F943" t="s">
        <v>18269</v>
      </c>
      <c r="G943" t="s">
        <v>74</v>
      </c>
      <c r="H943" t="s">
        <v>74</v>
      </c>
      <c r="I943" t="s">
        <v>18270</v>
      </c>
      <c r="J943" t="s">
        <v>10010</v>
      </c>
      <c r="K943" t="s">
        <v>74</v>
      </c>
      <c r="L943" t="s">
        <v>74</v>
      </c>
      <c r="M943" t="s">
        <v>78</v>
      </c>
      <c r="N943" t="s">
        <v>79</v>
      </c>
      <c r="O943" t="s">
        <v>74</v>
      </c>
      <c r="P943" t="s">
        <v>74</v>
      </c>
      <c r="Q943" t="s">
        <v>74</v>
      </c>
      <c r="R943" t="s">
        <v>74</v>
      </c>
      <c r="S943" t="s">
        <v>74</v>
      </c>
      <c r="T943" t="s">
        <v>18271</v>
      </c>
      <c r="U943" t="s">
        <v>18272</v>
      </c>
      <c r="V943" t="s">
        <v>18273</v>
      </c>
      <c r="W943" t="s">
        <v>18274</v>
      </c>
      <c r="X943" t="s">
        <v>18275</v>
      </c>
      <c r="Y943" t="s">
        <v>18276</v>
      </c>
      <c r="Z943" t="s">
        <v>18277</v>
      </c>
      <c r="AA943" t="s">
        <v>18278</v>
      </c>
      <c r="AB943" t="s">
        <v>18279</v>
      </c>
      <c r="AC943" t="s">
        <v>18280</v>
      </c>
      <c r="AD943" t="s">
        <v>18281</v>
      </c>
      <c r="AE943" t="s">
        <v>18282</v>
      </c>
      <c r="AF943" t="s">
        <v>74</v>
      </c>
      <c r="AG943">
        <v>71</v>
      </c>
      <c r="AH943">
        <v>11</v>
      </c>
      <c r="AI943">
        <v>12</v>
      </c>
      <c r="AJ943">
        <v>3</v>
      </c>
      <c r="AK943">
        <v>51</v>
      </c>
      <c r="AL943" t="s">
        <v>2072</v>
      </c>
      <c r="AM943" t="s">
        <v>2073</v>
      </c>
      <c r="AN943" t="s">
        <v>2074</v>
      </c>
      <c r="AO943" t="s">
        <v>10018</v>
      </c>
      <c r="AP943" t="s">
        <v>10019</v>
      </c>
      <c r="AQ943" t="s">
        <v>74</v>
      </c>
      <c r="AR943" t="s">
        <v>10020</v>
      </c>
      <c r="AS943" t="s">
        <v>10021</v>
      </c>
      <c r="AT943" t="s">
        <v>16784</v>
      </c>
      <c r="AU943">
        <v>2017</v>
      </c>
      <c r="AV943">
        <v>34</v>
      </c>
      <c r="AW943">
        <v>11</v>
      </c>
      <c r="AX943" t="s">
        <v>74</v>
      </c>
      <c r="AY943" t="s">
        <v>74</v>
      </c>
      <c r="AZ943" t="s">
        <v>74</v>
      </c>
      <c r="BA943" t="s">
        <v>74</v>
      </c>
      <c r="BB943">
        <v>1358</v>
      </c>
      <c r="BC943">
        <v>1379</v>
      </c>
      <c r="BD943" t="s">
        <v>74</v>
      </c>
      <c r="BE943" t="s">
        <v>18283</v>
      </c>
      <c r="BF943" t="str">
        <f>HYPERLINK("http://dx.doi.org/10.1007/s00376-017-6339-4","http://dx.doi.org/10.1007/s00376-017-6339-4")</f>
        <v>http://dx.doi.org/10.1007/s00376-017-6339-4</v>
      </c>
      <c r="BG943" t="s">
        <v>74</v>
      </c>
      <c r="BH943" t="s">
        <v>74</v>
      </c>
      <c r="BI943">
        <v>22</v>
      </c>
      <c r="BJ943" t="s">
        <v>430</v>
      </c>
      <c r="BK943" t="s">
        <v>101</v>
      </c>
      <c r="BL943" t="s">
        <v>430</v>
      </c>
      <c r="BM943" t="s">
        <v>18284</v>
      </c>
      <c r="BN943" t="s">
        <v>74</v>
      </c>
      <c r="BO943" t="s">
        <v>74</v>
      </c>
      <c r="BP943" t="s">
        <v>74</v>
      </c>
      <c r="BQ943" t="s">
        <v>74</v>
      </c>
      <c r="BR943" t="s">
        <v>105</v>
      </c>
      <c r="BS943" t="s">
        <v>18285</v>
      </c>
      <c r="BT943" t="str">
        <f>HYPERLINK("https%3A%2F%2Fwww.webofscience.com%2Fwos%2Fwoscc%2Ffull-record%2FWOS:000410778500009","View Full Record in Web of Science")</f>
        <v>View Full Record in Web of Science</v>
      </c>
    </row>
    <row r="944" spans="1:72" x14ac:dyDescent="0.15">
      <c r="A944" t="s">
        <v>72</v>
      </c>
      <c r="B944" t="s">
        <v>18286</v>
      </c>
      <c r="C944" t="s">
        <v>74</v>
      </c>
      <c r="D944" t="s">
        <v>74</v>
      </c>
      <c r="E944" t="s">
        <v>74</v>
      </c>
      <c r="F944" t="s">
        <v>18287</v>
      </c>
      <c r="G944" t="s">
        <v>74</v>
      </c>
      <c r="H944" t="s">
        <v>74</v>
      </c>
      <c r="I944" t="s">
        <v>18288</v>
      </c>
      <c r="J944" t="s">
        <v>18289</v>
      </c>
      <c r="K944" t="s">
        <v>74</v>
      </c>
      <c r="L944" t="s">
        <v>74</v>
      </c>
      <c r="M944" t="s">
        <v>78</v>
      </c>
      <c r="N944" t="s">
        <v>289</v>
      </c>
      <c r="O944" t="s">
        <v>74</v>
      </c>
      <c r="P944" t="s">
        <v>74</v>
      </c>
      <c r="Q944" t="s">
        <v>74</v>
      </c>
      <c r="R944" t="s">
        <v>74</v>
      </c>
      <c r="S944" t="s">
        <v>74</v>
      </c>
      <c r="T944" t="s">
        <v>18290</v>
      </c>
      <c r="U944" t="s">
        <v>18291</v>
      </c>
      <c r="V944" t="s">
        <v>18292</v>
      </c>
      <c r="W944" t="s">
        <v>18293</v>
      </c>
      <c r="X944" t="s">
        <v>18294</v>
      </c>
      <c r="Y944" t="s">
        <v>18295</v>
      </c>
      <c r="Z944" t="s">
        <v>18296</v>
      </c>
      <c r="AA944" t="s">
        <v>74</v>
      </c>
      <c r="AB944" t="s">
        <v>74</v>
      </c>
      <c r="AC944" t="s">
        <v>74</v>
      </c>
      <c r="AD944" t="s">
        <v>74</v>
      </c>
      <c r="AE944" t="s">
        <v>74</v>
      </c>
      <c r="AF944" t="s">
        <v>74</v>
      </c>
      <c r="AG944">
        <v>46</v>
      </c>
      <c r="AH944">
        <v>17</v>
      </c>
      <c r="AI944">
        <v>18</v>
      </c>
      <c r="AJ944">
        <v>2</v>
      </c>
      <c r="AK944">
        <v>25</v>
      </c>
      <c r="AL944" t="s">
        <v>18297</v>
      </c>
      <c r="AM944" t="s">
        <v>18298</v>
      </c>
      <c r="AN944" t="s">
        <v>18299</v>
      </c>
      <c r="AO944" t="s">
        <v>18300</v>
      </c>
      <c r="AP944" t="s">
        <v>18301</v>
      </c>
      <c r="AQ944" t="s">
        <v>74</v>
      </c>
      <c r="AR944" t="s">
        <v>18302</v>
      </c>
      <c r="AS944" t="s">
        <v>18303</v>
      </c>
      <c r="AT944" t="s">
        <v>16784</v>
      </c>
      <c r="AU944">
        <v>2017</v>
      </c>
      <c r="AV944">
        <v>88</v>
      </c>
      <c r="AW944">
        <v>11</v>
      </c>
      <c r="AX944" t="s">
        <v>74</v>
      </c>
      <c r="AY944" t="s">
        <v>74</v>
      </c>
      <c r="AZ944" t="s">
        <v>74</v>
      </c>
      <c r="BA944" t="s">
        <v>74</v>
      </c>
      <c r="BB944">
        <v>1024</v>
      </c>
      <c r="BC944">
        <v>1033</v>
      </c>
      <c r="BD944" t="s">
        <v>74</v>
      </c>
      <c r="BE944" t="s">
        <v>18304</v>
      </c>
      <c r="BF944" t="str">
        <f>HYPERLINK("http://dx.doi.org/10.3357/AMHP.4901.2017","http://dx.doi.org/10.3357/AMHP.4901.2017")</f>
        <v>http://dx.doi.org/10.3357/AMHP.4901.2017</v>
      </c>
      <c r="BG944" t="s">
        <v>74</v>
      </c>
      <c r="BH944" t="s">
        <v>74</v>
      </c>
      <c r="BI944">
        <v>10</v>
      </c>
      <c r="BJ944" t="s">
        <v>18305</v>
      </c>
      <c r="BK944" t="s">
        <v>2471</v>
      </c>
      <c r="BL944" t="s">
        <v>18306</v>
      </c>
      <c r="BM944" t="s">
        <v>18307</v>
      </c>
      <c r="BN944">
        <v>29046178</v>
      </c>
      <c r="BO944" t="s">
        <v>74</v>
      </c>
      <c r="BP944" t="s">
        <v>74</v>
      </c>
      <c r="BQ944" t="s">
        <v>74</v>
      </c>
      <c r="BR944" t="s">
        <v>105</v>
      </c>
      <c r="BS944" t="s">
        <v>18308</v>
      </c>
      <c r="BT944" t="str">
        <f>HYPERLINK("https%3A%2F%2Fwww.webofscience.com%2Fwos%2Fwoscc%2Ffull-record%2FWOS:000413767300007","View Full Record in Web of Science")</f>
        <v>View Full Record in Web of Science</v>
      </c>
    </row>
    <row r="945" spans="1:72" x14ac:dyDescent="0.15">
      <c r="A945" t="s">
        <v>72</v>
      </c>
      <c r="B945" t="s">
        <v>18309</v>
      </c>
      <c r="C945" t="s">
        <v>74</v>
      </c>
      <c r="D945" t="s">
        <v>74</v>
      </c>
      <c r="E945" t="s">
        <v>74</v>
      </c>
      <c r="F945" t="s">
        <v>18310</v>
      </c>
      <c r="G945" t="s">
        <v>74</v>
      </c>
      <c r="H945" t="s">
        <v>74</v>
      </c>
      <c r="I945" t="s">
        <v>18311</v>
      </c>
      <c r="J945" t="s">
        <v>17283</v>
      </c>
      <c r="K945" t="s">
        <v>74</v>
      </c>
      <c r="L945" t="s">
        <v>74</v>
      </c>
      <c r="M945" t="s">
        <v>78</v>
      </c>
      <c r="N945" t="s">
        <v>79</v>
      </c>
      <c r="O945" t="s">
        <v>74</v>
      </c>
      <c r="P945" t="s">
        <v>74</v>
      </c>
      <c r="Q945" t="s">
        <v>74</v>
      </c>
      <c r="R945" t="s">
        <v>74</v>
      </c>
      <c r="S945" t="s">
        <v>74</v>
      </c>
      <c r="T945" t="s">
        <v>18312</v>
      </c>
      <c r="U945" t="s">
        <v>18313</v>
      </c>
      <c r="V945" t="s">
        <v>18314</v>
      </c>
      <c r="W945" t="s">
        <v>18315</v>
      </c>
      <c r="X945" t="s">
        <v>18316</v>
      </c>
      <c r="Y945" t="s">
        <v>18317</v>
      </c>
      <c r="Z945" t="s">
        <v>18318</v>
      </c>
      <c r="AA945" t="s">
        <v>18319</v>
      </c>
      <c r="AB945" t="s">
        <v>18320</v>
      </c>
      <c r="AC945" t="s">
        <v>18321</v>
      </c>
      <c r="AD945" t="s">
        <v>18322</v>
      </c>
      <c r="AE945" t="s">
        <v>18323</v>
      </c>
      <c r="AF945" t="s">
        <v>74</v>
      </c>
      <c r="AG945">
        <v>253</v>
      </c>
      <c r="AH945">
        <v>20</v>
      </c>
      <c r="AI945">
        <v>21</v>
      </c>
      <c r="AJ945">
        <v>1</v>
      </c>
      <c r="AK945">
        <v>37</v>
      </c>
      <c r="AL945" t="s">
        <v>4270</v>
      </c>
      <c r="AM945" t="s">
        <v>4271</v>
      </c>
      <c r="AN945" t="s">
        <v>4272</v>
      </c>
      <c r="AO945" t="s">
        <v>17299</v>
      </c>
      <c r="AP945" t="s">
        <v>17300</v>
      </c>
      <c r="AQ945" t="s">
        <v>74</v>
      </c>
      <c r="AR945" t="s">
        <v>17301</v>
      </c>
      <c r="AS945" t="s">
        <v>17302</v>
      </c>
      <c r="AT945" t="s">
        <v>16784</v>
      </c>
      <c r="AU945">
        <v>2017</v>
      </c>
      <c r="AV945">
        <v>104</v>
      </c>
      <c r="AW945">
        <v>11</v>
      </c>
      <c r="AX945" t="s">
        <v>74</v>
      </c>
      <c r="AY945" t="s">
        <v>74</v>
      </c>
      <c r="AZ945" t="s">
        <v>74</v>
      </c>
      <c r="BA945" t="s">
        <v>74</v>
      </c>
      <c r="BB945">
        <v>1660</v>
      </c>
      <c r="BC945">
        <v>1674</v>
      </c>
      <c r="BD945" t="s">
        <v>74</v>
      </c>
      <c r="BE945" t="s">
        <v>18324</v>
      </c>
      <c r="BF945" t="str">
        <f>HYPERLINK("http://dx.doi.org/10.3732/ajb.1700182","http://dx.doi.org/10.3732/ajb.1700182")</f>
        <v>http://dx.doi.org/10.3732/ajb.1700182</v>
      </c>
      <c r="BG945" t="s">
        <v>74</v>
      </c>
      <c r="BH945" t="s">
        <v>74</v>
      </c>
      <c r="BI945">
        <v>15</v>
      </c>
      <c r="BJ945" t="s">
        <v>492</v>
      </c>
      <c r="BK945" t="s">
        <v>101</v>
      </c>
      <c r="BL945" t="s">
        <v>492</v>
      </c>
      <c r="BM945" t="s">
        <v>17304</v>
      </c>
      <c r="BN945" t="s">
        <v>74</v>
      </c>
      <c r="BO945" t="s">
        <v>306</v>
      </c>
      <c r="BP945" t="s">
        <v>74</v>
      </c>
      <c r="BQ945" t="s">
        <v>74</v>
      </c>
      <c r="BR945" t="s">
        <v>105</v>
      </c>
      <c r="BS945" t="s">
        <v>18325</v>
      </c>
      <c r="BT945" t="str">
        <f>HYPERLINK("https%3A%2F%2Fwww.webofscience.com%2Fwos%2Fwoscc%2Ffull-record%2FWOS:000416302800004","View Full Record in Web of Science")</f>
        <v>View Full Record in Web of Science</v>
      </c>
    </row>
    <row r="946" spans="1:72" x14ac:dyDescent="0.15">
      <c r="A946" t="s">
        <v>72</v>
      </c>
      <c r="B946" t="s">
        <v>18326</v>
      </c>
      <c r="C946" t="s">
        <v>74</v>
      </c>
      <c r="D946" t="s">
        <v>74</v>
      </c>
      <c r="E946" t="s">
        <v>74</v>
      </c>
      <c r="F946" t="s">
        <v>18327</v>
      </c>
      <c r="G946" t="s">
        <v>74</v>
      </c>
      <c r="H946" t="s">
        <v>74</v>
      </c>
      <c r="I946" t="s">
        <v>18328</v>
      </c>
      <c r="J946" t="s">
        <v>1643</v>
      </c>
      <c r="K946" t="s">
        <v>74</v>
      </c>
      <c r="L946" t="s">
        <v>74</v>
      </c>
      <c r="M946" t="s">
        <v>78</v>
      </c>
      <c r="N946" t="s">
        <v>79</v>
      </c>
      <c r="O946" t="s">
        <v>74</v>
      </c>
      <c r="P946" t="s">
        <v>74</v>
      </c>
      <c r="Q946" t="s">
        <v>74</v>
      </c>
      <c r="R946" t="s">
        <v>74</v>
      </c>
      <c r="S946" t="s">
        <v>74</v>
      </c>
      <c r="T946" t="s">
        <v>74</v>
      </c>
      <c r="U946" t="s">
        <v>18329</v>
      </c>
      <c r="V946" t="s">
        <v>18330</v>
      </c>
      <c r="W946" t="s">
        <v>18331</v>
      </c>
      <c r="X946" t="s">
        <v>4474</v>
      </c>
      <c r="Y946" t="s">
        <v>18332</v>
      </c>
      <c r="Z946" t="s">
        <v>18333</v>
      </c>
      <c r="AA946" t="s">
        <v>74</v>
      </c>
      <c r="AB946" t="s">
        <v>18334</v>
      </c>
      <c r="AC946" t="s">
        <v>74</v>
      </c>
      <c r="AD946" t="s">
        <v>74</v>
      </c>
      <c r="AE946" t="s">
        <v>74</v>
      </c>
      <c r="AF946" t="s">
        <v>74</v>
      </c>
      <c r="AG946">
        <v>54</v>
      </c>
      <c r="AH946">
        <v>10</v>
      </c>
      <c r="AI946">
        <v>10</v>
      </c>
      <c r="AJ946">
        <v>0</v>
      </c>
      <c r="AK946">
        <v>16</v>
      </c>
      <c r="AL946" t="s">
        <v>1700</v>
      </c>
      <c r="AM946" t="s">
        <v>1701</v>
      </c>
      <c r="AN946" t="s">
        <v>1702</v>
      </c>
      <c r="AO946" t="s">
        <v>1651</v>
      </c>
      <c r="AP946" t="s">
        <v>1652</v>
      </c>
      <c r="AQ946" t="s">
        <v>74</v>
      </c>
      <c r="AR946" t="s">
        <v>1653</v>
      </c>
      <c r="AS946" t="s">
        <v>1654</v>
      </c>
      <c r="AT946" t="s">
        <v>16784</v>
      </c>
      <c r="AU946">
        <v>2017</v>
      </c>
      <c r="AV946">
        <v>49</v>
      </c>
      <c r="AW946">
        <v>4</v>
      </c>
      <c r="AX946" t="s">
        <v>74</v>
      </c>
      <c r="AY946" t="s">
        <v>74</v>
      </c>
      <c r="AZ946" t="s">
        <v>74</v>
      </c>
      <c r="BA946" t="s">
        <v>74</v>
      </c>
      <c r="BB946">
        <v>521</v>
      </c>
      <c r="BC946">
        <v>535</v>
      </c>
      <c r="BD946" t="s">
        <v>74</v>
      </c>
      <c r="BE946" t="s">
        <v>18335</v>
      </c>
      <c r="BF946" t="str">
        <f>HYPERLINK("http://dx.doi.org/10.1657/AAAR0016-054","http://dx.doi.org/10.1657/AAAR0016-054")</f>
        <v>http://dx.doi.org/10.1657/AAAR0016-054</v>
      </c>
      <c r="BG946" t="s">
        <v>74</v>
      </c>
      <c r="BH946" t="s">
        <v>74</v>
      </c>
      <c r="BI946">
        <v>15</v>
      </c>
      <c r="BJ946" t="s">
        <v>1657</v>
      </c>
      <c r="BK946" t="s">
        <v>101</v>
      </c>
      <c r="BL946" t="s">
        <v>1658</v>
      </c>
      <c r="BM946" t="s">
        <v>17936</v>
      </c>
      <c r="BN946" t="s">
        <v>74</v>
      </c>
      <c r="BO946" t="s">
        <v>789</v>
      </c>
      <c r="BP946" t="s">
        <v>74</v>
      </c>
      <c r="BQ946" t="s">
        <v>74</v>
      </c>
      <c r="BR946" t="s">
        <v>105</v>
      </c>
      <c r="BS946" t="s">
        <v>18336</v>
      </c>
      <c r="BT946" t="str">
        <f>HYPERLINK("https%3A%2F%2Fwww.webofscience.com%2Fwos%2Fwoscc%2Ffull-record%2FWOS:000413931200002","View Full Record in Web of Science")</f>
        <v>View Full Record in Web of Science</v>
      </c>
    </row>
    <row r="947" spans="1:72" x14ac:dyDescent="0.15">
      <c r="A947" t="s">
        <v>72</v>
      </c>
      <c r="B947" t="s">
        <v>18337</v>
      </c>
      <c r="C947" t="s">
        <v>74</v>
      </c>
      <c r="D947" t="s">
        <v>74</v>
      </c>
      <c r="E947" t="s">
        <v>74</v>
      </c>
      <c r="F947" t="s">
        <v>18338</v>
      </c>
      <c r="G947" t="s">
        <v>74</v>
      </c>
      <c r="H947" t="s">
        <v>74</v>
      </c>
      <c r="I947" t="s">
        <v>18339</v>
      </c>
      <c r="J947" t="s">
        <v>1643</v>
      </c>
      <c r="K947" t="s">
        <v>74</v>
      </c>
      <c r="L947" t="s">
        <v>74</v>
      </c>
      <c r="M947" t="s">
        <v>78</v>
      </c>
      <c r="N947" t="s">
        <v>79</v>
      </c>
      <c r="O947" t="s">
        <v>74</v>
      </c>
      <c r="P947" t="s">
        <v>74</v>
      </c>
      <c r="Q947" t="s">
        <v>74</v>
      </c>
      <c r="R947" t="s">
        <v>74</v>
      </c>
      <c r="S947" t="s">
        <v>74</v>
      </c>
      <c r="T947" t="s">
        <v>74</v>
      </c>
      <c r="U947" t="s">
        <v>18340</v>
      </c>
      <c r="V947" t="s">
        <v>18341</v>
      </c>
      <c r="W947" t="s">
        <v>18342</v>
      </c>
      <c r="X947" t="s">
        <v>18343</v>
      </c>
      <c r="Y947" t="s">
        <v>18344</v>
      </c>
      <c r="Z947" t="s">
        <v>18345</v>
      </c>
      <c r="AA947" t="s">
        <v>74</v>
      </c>
      <c r="AB947" t="s">
        <v>74</v>
      </c>
      <c r="AC947" t="s">
        <v>18346</v>
      </c>
      <c r="AD947" t="s">
        <v>18347</v>
      </c>
      <c r="AE947" t="s">
        <v>18348</v>
      </c>
      <c r="AF947" t="s">
        <v>74</v>
      </c>
      <c r="AG947">
        <v>59</v>
      </c>
      <c r="AH947">
        <v>12</v>
      </c>
      <c r="AI947">
        <v>15</v>
      </c>
      <c r="AJ947">
        <v>1</v>
      </c>
      <c r="AK947">
        <v>27</v>
      </c>
      <c r="AL947" t="s">
        <v>1648</v>
      </c>
      <c r="AM947" t="s">
        <v>1649</v>
      </c>
      <c r="AN947" t="s">
        <v>1650</v>
      </c>
      <c r="AO947" t="s">
        <v>1651</v>
      </c>
      <c r="AP947" t="s">
        <v>1652</v>
      </c>
      <c r="AQ947" t="s">
        <v>74</v>
      </c>
      <c r="AR947" t="s">
        <v>1653</v>
      </c>
      <c r="AS947" t="s">
        <v>1654</v>
      </c>
      <c r="AT947" t="s">
        <v>16784</v>
      </c>
      <c r="AU947">
        <v>2017</v>
      </c>
      <c r="AV947">
        <v>49</v>
      </c>
      <c r="AW947">
        <v>4</v>
      </c>
      <c r="AX947" t="s">
        <v>74</v>
      </c>
      <c r="AY947" t="s">
        <v>74</v>
      </c>
      <c r="AZ947" t="s">
        <v>74</v>
      </c>
      <c r="BA947" t="s">
        <v>74</v>
      </c>
      <c r="BB947">
        <v>551</v>
      </c>
      <c r="BC947">
        <v>568</v>
      </c>
      <c r="BD947" t="s">
        <v>74</v>
      </c>
      <c r="BE947" t="s">
        <v>18349</v>
      </c>
      <c r="BF947" t="str">
        <f>HYPERLINK("http://dx.doi.org/10.1657/AAAR0016-065","http://dx.doi.org/10.1657/AAAR0016-065")</f>
        <v>http://dx.doi.org/10.1657/AAAR0016-065</v>
      </c>
      <c r="BG947" t="s">
        <v>74</v>
      </c>
      <c r="BH947" t="s">
        <v>74</v>
      </c>
      <c r="BI947">
        <v>18</v>
      </c>
      <c r="BJ947" t="s">
        <v>1657</v>
      </c>
      <c r="BK947" t="s">
        <v>101</v>
      </c>
      <c r="BL947" t="s">
        <v>1658</v>
      </c>
      <c r="BM947" t="s">
        <v>17936</v>
      </c>
      <c r="BN947" t="s">
        <v>74</v>
      </c>
      <c r="BO947" t="s">
        <v>789</v>
      </c>
      <c r="BP947" t="s">
        <v>74</v>
      </c>
      <c r="BQ947" t="s">
        <v>74</v>
      </c>
      <c r="BR947" t="s">
        <v>105</v>
      </c>
      <c r="BS947" t="s">
        <v>18350</v>
      </c>
      <c r="BT947" t="str">
        <f>HYPERLINK("https%3A%2F%2Fwww.webofscience.com%2Fwos%2Fwoscc%2Ffull-record%2FWOS:000413931200004","View Full Record in Web of Science")</f>
        <v>View Full Record in Web of Science</v>
      </c>
    </row>
    <row r="948" spans="1:72" x14ac:dyDescent="0.15">
      <c r="A948" t="s">
        <v>72</v>
      </c>
      <c r="B948" t="s">
        <v>18351</v>
      </c>
      <c r="C948" t="s">
        <v>74</v>
      </c>
      <c r="D948" t="s">
        <v>74</v>
      </c>
      <c r="E948" t="s">
        <v>74</v>
      </c>
      <c r="F948" t="s">
        <v>18352</v>
      </c>
      <c r="G948" t="s">
        <v>74</v>
      </c>
      <c r="H948" t="s">
        <v>74</v>
      </c>
      <c r="I948" t="s">
        <v>18353</v>
      </c>
      <c r="J948" t="s">
        <v>1643</v>
      </c>
      <c r="K948" t="s">
        <v>74</v>
      </c>
      <c r="L948" t="s">
        <v>74</v>
      </c>
      <c r="M948" t="s">
        <v>78</v>
      </c>
      <c r="N948" t="s">
        <v>79</v>
      </c>
      <c r="O948" t="s">
        <v>74</v>
      </c>
      <c r="P948" t="s">
        <v>74</v>
      </c>
      <c r="Q948" t="s">
        <v>74</v>
      </c>
      <c r="R948" t="s">
        <v>74</v>
      </c>
      <c r="S948" t="s">
        <v>74</v>
      </c>
      <c r="T948" t="s">
        <v>74</v>
      </c>
      <c r="U948" t="s">
        <v>18354</v>
      </c>
      <c r="V948" t="s">
        <v>18355</v>
      </c>
      <c r="W948" t="s">
        <v>18356</v>
      </c>
      <c r="X948" t="s">
        <v>18357</v>
      </c>
      <c r="Y948" t="s">
        <v>18358</v>
      </c>
      <c r="Z948" t="s">
        <v>18359</v>
      </c>
      <c r="AA948" t="s">
        <v>18360</v>
      </c>
      <c r="AB948" t="s">
        <v>18361</v>
      </c>
      <c r="AC948" t="s">
        <v>18362</v>
      </c>
      <c r="AD948" t="s">
        <v>18363</v>
      </c>
      <c r="AE948" t="s">
        <v>18364</v>
      </c>
      <c r="AF948" t="s">
        <v>74</v>
      </c>
      <c r="AG948">
        <v>87</v>
      </c>
      <c r="AH948">
        <v>21</v>
      </c>
      <c r="AI948">
        <v>26</v>
      </c>
      <c r="AJ948">
        <v>1</v>
      </c>
      <c r="AK948">
        <v>39</v>
      </c>
      <c r="AL948" t="s">
        <v>1648</v>
      </c>
      <c r="AM948" t="s">
        <v>1649</v>
      </c>
      <c r="AN948" t="s">
        <v>1650</v>
      </c>
      <c r="AO948" t="s">
        <v>1651</v>
      </c>
      <c r="AP948" t="s">
        <v>1652</v>
      </c>
      <c r="AQ948" t="s">
        <v>74</v>
      </c>
      <c r="AR948" t="s">
        <v>1653</v>
      </c>
      <c r="AS948" t="s">
        <v>1654</v>
      </c>
      <c r="AT948" t="s">
        <v>16784</v>
      </c>
      <c r="AU948">
        <v>2017</v>
      </c>
      <c r="AV948">
        <v>49</v>
      </c>
      <c r="AW948">
        <v>4</v>
      </c>
      <c r="AX948" t="s">
        <v>74</v>
      </c>
      <c r="AY948" t="s">
        <v>74</v>
      </c>
      <c r="AZ948" t="s">
        <v>74</v>
      </c>
      <c r="BA948" t="s">
        <v>74</v>
      </c>
      <c r="BB948">
        <v>601</v>
      </c>
      <c r="BC948">
        <v>619</v>
      </c>
      <c r="BD948" t="s">
        <v>74</v>
      </c>
      <c r="BE948" t="s">
        <v>18365</v>
      </c>
      <c r="BF948" t="str">
        <f>HYPERLINK("http://dx.doi.org/10.1657/AAAR0016-075","http://dx.doi.org/10.1657/AAAR0016-075")</f>
        <v>http://dx.doi.org/10.1657/AAAR0016-075</v>
      </c>
      <c r="BG948" t="s">
        <v>74</v>
      </c>
      <c r="BH948" t="s">
        <v>74</v>
      </c>
      <c r="BI948">
        <v>19</v>
      </c>
      <c r="BJ948" t="s">
        <v>1657</v>
      </c>
      <c r="BK948" t="s">
        <v>101</v>
      </c>
      <c r="BL948" t="s">
        <v>1658</v>
      </c>
      <c r="BM948" t="s">
        <v>17936</v>
      </c>
      <c r="BN948" t="s">
        <v>74</v>
      </c>
      <c r="BO948" t="s">
        <v>104</v>
      </c>
      <c r="BP948" t="s">
        <v>74</v>
      </c>
      <c r="BQ948" t="s">
        <v>74</v>
      </c>
      <c r="BR948" t="s">
        <v>105</v>
      </c>
      <c r="BS948" t="s">
        <v>18366</v>
      </c>
      <c r="BT948" t="str">
        <f>HYPERLINK("https%3A%2F%2Fwww.webofscience.com%2Fwos%2Fwoscc%2Ffull-record%2FWOS:000413931200007","View Full Record in Web of Science")</f>
        <v>View Full Record in Web of Science</v>
      </c>
    </row>
    <row r="949" spans="1:72" x14ac:dyDescent="0.15">
      <c r="A949" t="s">
        <v>72</v>
      </c>
      <c r="B949" t="s">
        <v>18367</v>
      </c>
      <c r="C949" t="s">
        <v>74</v>
      </c>
      <c r="D949" t="s">
        <v>74</v>
      </c>
      <c r="E949" t="s">
        <v>74</v>
      </c>
      <c r="F949" t="s">
        <v>18368</v>
      </c>
      <c r="G949" t="s">
        <v>74</v>
      </c>
      <c r="H949" t="s">
        <v>74</v>
      </c>
      <c r="I949" t="s">
        <v>18369</v>
      </c>
      <c r="J949" t="s">
        <v>1643</v>
      </c>
      <c r="K949" t="s">
        <v>74</v>
      </c>
      <c r="L949" t="s">
        <v>74</v>
      </c>
      <c r="M949" t="s">
        <v>78</v>
      </c>
      <c r="N949" t="s">
        <v>79</v>
      </c>
      <c r="O949" t="s">
        <v>74</v>
      </c>
      <c r="P949" t="s">
        <v>74</v>
      </c>
      <c r="Q949" t="s">
        <v>74</v>
      </c>
      <c r="R949" t="s">
        <v>74</v>
      </c>
      <c r="S949" t="s">
        <v>74</v>
      </c>
      <c r="T949" t="s">
        <v>74</v>
      </c>
      <c r="U949" t="s">
        <v>18370</v>
      </c>
      <c r="V949" t="s">
        <v>18371</v>
      </c>
      <c r="W949" t="s">
        <v>18372</v>
      </c>
      <c r="X949" t="s">
        <v>18373</v>
      </c>
      <c r="Y949" t="s">
        <v>18374</v>
      </c>
      <c r="Z949" t="s">
        <v>18375</v>
      </c>
      <c r="AA949" t="s">
        <v>18376</v>
      </c>
      <c r="AB949" t="s">
        <v>18377</v>
      </c>
      <c r="AC949" t="s">
        <v>74</v>
      </c>
      <c r="AD949" t="s">
        <v>74</v>
      </c>
      <c r="AE949" t="s">
        <v>74</v>
      </c>
      <c r="AF949" t="s">
        <v>74</v>
      </c>
      <c r="AG949">
        <v>120</v>
      </c>
      <c r="AH949">
        <v>35</v>
      </c>
      <c r="AI949">
        <v>35</v>
      </c>
      <c r="AJ949">
        <v>2</v>
      </c>
      <c r="AK949">
        <v>28</v>
      </c>
      <c r="AL949" t="s">
        <v>1700</v>
      </c>
      <c r="AM949" t="s">
        <v>1701</v>
      </c>
      <c r="AN949" t="s">
        <v>1702</v>
      </c>
      <c r="AO949" t="s">
        <v>1651</v>
      </c>
      <c r="AP949" t="s">
        <v>1652</v>
      </c>
      <c r="AQ949" t="s">
        <v>74</v>
      </c>
      <c r="AR949" t="s">
        <v>1653</v>
      </c>
      <c r="AS949" t="s">
        <v>1654</v>
      </c>
      <c r="AT949" t="s">
        <v>16784</v>
      </c>
      <c r="AU949">
        <v>2017</v>
      </c>
      <c r="AV949">
        <v>49</v>
      </c>
      <c r="AW949">
        <v>4</v>
      </c>
      <c r="AX949" t="s">
        <v>74</v>
      </c>
      <c r="AY949" t="s">
        <v>74</v>
      </c>
      <c r="AZ949" t="s">
        <v>74</v>
      </c>
      <c r="BA949" t="s">
        <v>74</v>
      </c>
      <c r="BB949">
        <v>621</v>
      </c>
      <c r="BC949">
        <v>647</v>
      </c>
      <c r="BD949" t="s">
        <v>74</v>
      </c>
      <c r="BE949" t="s">
        <v>18378</v>
      </c>
      <c r="BF949" t="str">
        <f>HYPERLINK("http://dx.doi.org/10.1657/AAAR0015-070","http://dx.doi.org/10.1657/AAAR0015-070")</f>
        <v>http://dx.doi.org/10.1657/AAAR0015-070</v>
      </c>
      <c r="BG949" t="s">
        <v>74</v>
      </c>
      <c r="BH949" t="s">
        <v>74</v>
      </c>
      <c r="BI949">
        <v>27</v>
      </c>
      <c r="BJ949" t="s">
        <v>1657</v>
      </c>
      <c r="BK949" t="s">
        <v>101</v>
      </c>
      <c r="BL949" t="s">
        <v>1658</v>
      </c>
      <c r="BM949" t="s">
        <v>17936</v>
      </c>
      <c r="BN949" t="s">
        <v>74</v>
      </c>
      <c r="BO949" t="s">
        <v>789</v>
      </c>
      <c r="BP949" t="s">
        <v>74</v>
      </c>
      <c r="BQ949" t="s">
        <v>74</v>
      </c>
      <c r="BR949" t="s">
        <v>105</v>
      </c>
      <c r="BS949" t="s">
        <v>18379</v>
      </c>
      <c r="BT949" t="str">
        <f>HYPERLINK("https%3A%2F%2Fwww.webofscience.com%2Fwos%2Fwoscc%2Ffull-record%2FWOS:000413931200008","View Full Record in Web of Science")</f>
        <v>View Full Record in Web of Science</v>
      </c>
    </row>
    <row r="950" spans="1:72" x14ac:dyDescent="0.15">
      <c r="A950" t="s">
        <v>72</v>
      </c>
      <c r="B950" t="s">
        <v>18380</v>
      </c>
      <c r="C950" t="s">
        <v>74</v>
      </c>
      <c r="D950" t="s">
        <v>74</v>
      </c>
      <c r="E950" t="s">
        <v>74</v>
      </c>
      <c r="F950" t="s">
        <v>18381</v>
      </c>
      <c r="G950" t="s">
        <v>74</v>
      </c>
      <c r="H950" t="s">
        <v>74</v>
      </c>
      <c r="I950" t="s">
        <v>18382</v>
      </c>
      <c r="J950" t="s">
        <v>165</v>
      </c>
      <c r="K950" t="s">
        <v>74</v>
      </c>
      <c r="L950" t="s">
        <v>74</v>
      </c>
      <c r="M950" t="s">
        <v>78</v>
      </c>
      <c r="N950" t="s">
        <v>79</v>
      </c>
      <c r="O950" t="s">
        <v>74</v>
      </c>
      <c r="P950" t="s">
        <v>74</v>
      </c>
      <c r="Q950" t="s">
        <v>74</v>
      </c>
      <c r="R950" t="s">
        <v>74</v>
      </c>
      <c r="S950" t="s">
        <v>74</v>
      </c>
      <c r="T950" t="s">
        <v>74</v>
      </c>
      <c r="U950" t="s">
        <v>18383</v>
      </c>
      <c r="V950" t="s">
        <v>18384</v>
      </c>
      <c r="W950" t="s">
        <v>18385</v>
      </c>
      <c r="X950" t="s">
        <v>18386</v>
      </c>
      <c r="Y950" t="s">
        <v>18387</v>
      </c>
      <c r="Z950" t="s">
        <v>18388</v>
      </c>
      <c r="AA950" t="s">
        <v>18389</v>
      </c>
      <c r="AB950" t="s">
        <v>18390</v>
      </c>
      <c r="AC950" t="s">
        <v>18391</v>
      </c>
      <c r="AD950" t="s">
        <v>18392</v>
      </c>
      <c r="AE950" t="s">
        <v>18393</v>
      </c>
      <c r="AF950" t="s">
        <v>74</v>
      </c>
      <c r="AG950">
        <v>74</v>
      </c>
      <c r="AH950">
        <v>34</v>
      </c>
      <c r="AI950">
        <v>38</v>
      </c>
      <c r="AJ950">
        <v>0</v>
      </c>
      <c r="AK950">
        <v>15</v>
      </c>
      <c r="AL950" t="s">
        <v>149</v>
      </c>
      <c r="AM950" t="s">
        <v>150</v>
      </c>
      <c r="AN950" t="s">
        <v>151</v>
      </c>
      <c r="AO950" t="s">
        <v>177</v>
      </c>
      <c r="AP950" t="s">
        <v>178</v>
      </c>
      <c r="AQ950" t="s">
        <v>74</v>
      </c>
      <c r="AR950" t="s">
        <v>179</v>
      </c>
      <c r="AS950" t="s">
        <v>180</v>
      </c>
      <c r="AT950" t="s">
        <v>18183</v>
      </c>
      <c r="AU950">
        <v>2017</v>
      </c>
      <c r="AV950">
        <v>17</v>
      </c>
      <c r="AW950">
        <v>21</v>
      </c>
      <c r="AX950" t="s">
        <v>74</v>
      </c>
      <c r="AY950" t="s">
        <v>74</v>
      </c>
      <c r="AZ950" t="s">
        <v>74</v>
      </c>
      <c r="BA950" t="s">
        <v>74</v>
      </c>
      <c r="BB950">
        <v>12893</v>
      </c>
      <c r="BC950">
        <v>12910</v>
      </c>
      <c r="BD950" t="s">
        <v>74</v>
      </c>
      <c r="BE950" t="s">
        <v>18394</v>
      </c>
      <c r="BF950" t="str">
        <f>HYPERLINK("http://dx.doi.org/10.5194/acp-17-12893-2017","http://dx.doi.org/10.5194/acp-17-12893-2017")</f>
        <v>http://dx.doi.org/10.5194/acp-17-12893-2017</v>
      </c>
      <c r="BG950" t="s">
        <v>74</v>
      </c>
      <c r="BH950" t="s">
        <v>74</v>
      </c>
      <c r="BI950">
        <v>18</v>
      </c>
      <c r="BJ950" t="s">
        <v>183</v>
      </c>
      <c r="BK950" t="s">
        <v>101</v>
      </c>
      <c r="BL950" t="s">
        <v>184</v>
      </c>
      <c r="BM950" t="s">
        <v>18395</v>
      </c>
      <c r="BN950" t="s">
        <v>74</v>
      </c>
      <c r="BO950" t="s">
        <v>494</v>
      </c>
      <c r="BP950" t="s">
        <v>74</v>
      </c>
      <c r="BQ950" t="s">
        <v>74</v>
      </c>
      <c r="BR950" t="s">
        <v>105</v>
      </c>
      <c r="BS950" t="s">
        <v>18396</v>
      </c>
      <c r="BT950" t="str">
        <f>HYPERLINK("https%3A%2F%2Fwww.webofscience.com%2Fwos%2Fwoscc%2Ffull-record%2FWOS:000414199500001","View Full Record in Web of Science")</f>
        <v>View Full Record in Web of Science</v>
      </c>
    </row>
    <row r="951" spans="1:72" x14ac:dyDescent="0.15">
      <c r="A951" t="s">
        <v>72</v>
      </c>
      <c r="B951" t="s">
        <v>18397</v>
      </c>
      <c r="C951" t="s">
        <v>74</v>
      </c>
      <c r="D951" t="s">
        <v>74</v>
      </c>
      <c r="E951" t="s">
        <v>74</v>
      </c>
      <c r="F951" t="s">
        <v>18398</v>
      </c>
      <c r="G951" t="s">
        <v>74</v>
      </c>
      <c r="H951" t="s">
        <v>74</v>
      </c>
      <c r="I951" t="s">
        <v>18399</v>
      </c>
      <c r="J951" t="s">
        <v>15990</v>
      </c>
      <c r="K951" t="s">
        <v>74</v>
      </c>
      <c r="L951" t="s">
        <v>74</v>
      </c>
      <c r="M951" t="s">
        <v>78</v>
      </c>
      <c r="N951" t="s">
        <v>79</v>
      </c>
      <c r="O951" t="s">
        <v>74</v>
      </c>
      <c r="P951" t="s">
        <v>74</v>
      </c>
      <c r="Q951" t="s">
        <v>74</v>
      </c>
      <c r="R951" t="s">
        <v>74</v>
      </c>
      <c r="S951" t="s">
        <v>74</v>
      </c>
      <c r="T951" t="s">
        <v>18400</v>
      </c>
      <c r="U951" t="s">
        <v>18401</v>
      </c>
      <c r="V951" t="s">
        <v>18402</v>
      </c>
      <c r="W951" t="s">
        <v>18403</v>
      </c>
      <c r="X951" t="s">
        <v>18404</v>
      </c>
      <c r="Y951" t="s">
        <v>18405</v>
      </c>
      <c r="Z951" t="s">
        <v>18406</v>
      </c>
      <c r="AA951" t="s">
        <v>18407</v>
      </c>
      <c r="AB951" t="s">
        <v>18408</v>
      </c>
      <c r="AC951" t="s">
        <v>18409</v>
      </c>
      <c r="AD951" t="s">
        <v>18410</v>
      </c>
      <c r="AE951" t="s">
        <v>18411</v>
      </c>
      <c r="AF951" t="s">
        <v>74</v>
      </c>
      <c r="AG951">
        <v>76</v>
      </c>
      <c r="AH951">
        <v>50</v>
      </c>
      <c r="AI951">
        <v>50</v>
      </c>
      <c r="AJ951">
        <v>1</v>
      </c>
      <c r="AK951">
        <v>19</v>
      </c>
      <c r="AL951" t="s">
        <v>9836</v>
      </c>
      <c r="AM951" t="s">
        <v>1797</v>
      </c>
      <c r="AN951" t="s">
        <v>9837</v>
      </c>
      <c r="AO951" t="s">
        <v>16003</v>
      </c>
      <c r="AP951" t="s">
        <v>16004</v>
      </c>
      <c r="AQ951" t="s">
        <v>74</v>
      </c>
      <c r="AR951" t="s">
        <v>16005</v>
      </c>
      <c r="AS951" t="s">
        <v>16006</v>
      </c>
      <c r="AT951" t="s">
        <v>18183</v>
      </c>
      <c r="AU951">
        <v>2017</v>
      </c>
      <c r="AV951">
        <v>196</v>
      </c>
      <c r="AW951" t="s">
        <v>74</v>
      </c>
      <c r="AX951" t="s">
        <v>74</v>
      </c>
      <c r="AY951" t="s">
        <v>74</v>
      </c>
      <c r="AZ951" t="s">
        <v>74</v>
      </c>
      <c r="BA951" t="s">
        <v>74</v>
      </c>
      <c r="BB951">
        <v>211</v>
      </c>
      <c r="BC951">
        <v>223</v>
      </c>
      <c r="BD951" t="s">
        <v>74</v>
      </c>
      <c r="BE951" t="s">
        <v>18412</v>
      </c>
      <c r="BF951" t="str">
        <f>HYPERLINK("http://dx.doi.org/10.1016/j.atmosres.2017.06.001","http://dx.doi.org/10.1016/j.atmosres.2017.06.001")</f>
        <v>http://dx.doi.org/10.1016/j.atmosres.2017.06.001</v>
      </c>
      <c r="BG951" t="s">
        <v>74</v>
      </c>
      <c r="BH951" t="s">
        <v>74</v>
      </c>
      <c r="BI951">
        <v>13</v>
      </c>
      <c r="BJ951" t="s">
        <v>430</v>
      </c>
      <c r="BK951" t="s">
        <v>101</v>
      </c>
      <c r="BL951" t="s">
        <v>430</v>
      </c>
      <c r="BM951" t="s">
        <v>18413</v>
      </c>
      <c r="BN951" t="s">
        <v>74</v>
      </c>
      <c r="BO951" t="s">
        <v>8531</v>
      </c>
      <c r="BP951" t="s">
        <v>74</v>
      </c>
      <c r="BQ951" t="s">
        <v>74</v>
      </c>
      <c r="BR951" t="s">
        <v>105</v>
      </c>
      <c r="BS951" t="s">
        <v>18414</v>
      </c>
      <c r="BT951" t="str">
        <f>HYPERLINK("https%3A%2F%2Fwww.webofscience.com%2Fwos%2Fwoscc%2Ffull-record%2FWOS:000409290200018","View Full Record in Web of Science")</f>
        <v>View Full Record in Web of Science</v>
      </c>
    </row>
    <row r="952" spans="1:72" x14ac:dyDescent="0.15">
      <c r="A952" t="s">
        <v>72</v>
      </c>
      <c r="B952" t="s">
        <v>18415</v>
      </c>
      <c r="C952" t="s">
        <v>74</v>
      </c>
      <c r="D952" t="s">
        <v>74</v>
      </c>
      <c r="E952" t="s">
        <v>74</v>
      </c>
      <c r="F952" t="s">
        <v>18416</v>
      </c>
      <c r="G952" t="s">
        <v>74</v>
      </c>
      <c r="H952" t="s">
        <v>74</v>
      </c>
      <c r="I952" t="s">
        <v>18417</v>
      </c>
      <c r="J952" t="s">
        <v>18418</v>
      </c>
      <c r="K952" t="s">
        <v>74</v>
      </c>
      <c r="L952" t="s">
        <v>74</v>
      </c>
      <c r="M952" t="s">
        <v>78</v>
      </c>
      <c r="N952" t="s">
        <v>289</v>
      </c>
      <c r="O952" t="s">
        <v>74</v>
      </c>
      <c r="P952" t="s">
        <v>74</v>
      </c>
      <c r="Q952" t="s">
        <v>74</v>
      </c>
      <c r="R952" t="s">
        <v>74</v>
      </c>
      <c r="S952" t="s">
        <v>74</v>
      </c>
      <c r="T952" t="s">
        <v>18419</v>
      </c>
      <c r="U952" t="s">
        <v>18420</v>
      </c>
      <c r="V952" t="s">
        <v>18421</v>
      </c>
      <c r="W952" t="s">
        <v>18422</v>
      </c>
      <c r="X952" t="s">
        <v>18423</v>
      </c>
      <c r="Y952" t="s">
        <v>18424</v>
      </c>
      <c r="Z952" t="s">
        <v>18425</v>
      </c>
      <c r="AA952" t="s">
        <v>18426</v>
      </c>
      <c r="AB952" t="s">
        <v>18427</v>
      </c>
      <c r="AC952" t="s">
        <v>18428</v>
      </c>
      <c r="AD952" t="s">
        <v>18429</v>
      </c>
      <c r="AE952" t="s">
        <v>18430</v>
      </c>
      <c r="AF952" t="s">
        <v>74</v>
      </c>
      <c r="AG952">
        <v>275</v>
      </c>
      <c r="AH952">
        <v>51</v>
      </c>
      <c r="AI952">
        <v>51</v>
      </c>
      <c r="AJ952">
        <v>1</v>
      </c>
      <c r="AK952">
        <v>72</v>
      </c>
      <c r="AL952" t="s">
        <v>4270</v>
      </c>
      <c r="AM952" t="s">
        <v>4271</v>
      </c>
      <c r="AN952" t="s">
        <v>4272</v>
      </c>
      <c r="AO952" t="s">
        <v>18431</v>
      </c>
      <c r="AP952" t="s">
        <v>18432</v>
      </c>
      <c r="AQ952" t="s">
        <v>74</v>
      </c>
      <c r="AR952" t="s">
        <v>18433</v>
      </c>
      <c r="AS952" t="s">
        <v>18434</v>
      </c>
      <c r="AT952" t="s">
        <v>16784</v>
      </c>
      <c r="AU952">
        <v>2017</v>
      </c>
      <c r="AV952">
        <v>92</v>
      </c>
      <c r="AW952">
        <v>4</v>
      </c>
      <c r="AX952" t="s">
        <v>74</v>
      </c>
      <c r="AY952" t="s">
        <v>74</v>
      </c>
      <c r="AZ952" t="s">
        <v>74</v>
      </c>
      <c r="BA952" t="s">
        <v>74</v>
      </c>
      <c r="BB952">
        <v>2164</v>
      </c>
      <c r="BC952">
        <v>2181</v>
      </c>
      <c r="BD952" t="s">
        <v>74</v>
      </c>
      <c r="BE952" t="s">
        <v>18435</v>
      </c>
      <c r="BF952" t="str">
        <f>HYPERLINK("http://dx.doi.org/10.1111/brv.12327","http://dx.doi.org/10.1111/brv.12327")</f>
        <v>http://dx.doi.org/10.1111/brv.12327</v>
      </c>
      <c r="BG952" t="s">
        <v>74</v>
      </c>
      <c r="BH952" t="s">
        <v>74</v>
      </c>
      <c r="BI952">
        <v>18</v>
      </c>
      <c r="BJ952" t="s">
        <v>8182</v>
      </c>
      <c r="BK952" t="s">
        <v>101</v>
      </c>
      <c r="BL952" t="s">
        <v>8183</v>
      </c>
      <c r="BM952" t="s">
        <v>18436</v>
      </c>
      <c r="BN952">
        <v>28371192</v>
      </c>
      <c r="BO952" t="s">
        <v>74</v>
      </c>
      <c r="BP952" t="s">
        <v>74</v>
      </c>
      <c r="BQ952" t="s">
        <v>74</v>
      </c>
      <c r="BR952" t="s">
        <v>105</v>
      </c>
      <c r="BS952" t="s">
        <v>18437</v>
      </c>
      <c r="BT952" t="str">
        <f>HYPERLINK("https%3A%2F%2Fwww.webofscience.com%2Fwos%2Fwoscc%2Ffull-record%2FWOS:000412314400017","View Full Record in Web of Science")</f>
        <v>View Full Record in Web of Science</v>
      </c>
    </row>
    <row r="953" spans="1:72" x14ac:dyDescent="0.15">
      <c r="A953" t="s">
        <v>72</v>
      </c>
      <c r="B953" t="s">
        <v>18438</v>
      </c>
      <c r="C953" t="s">
        <v>74</v>
      </c>
      <c r="D953" t="s">
        <v>74</v>
      </c>
      <c r="E953" t="s">
        <v>74</v>
      </c>
      <c r="F953" t="s">
        <v>18439</v>
      </c>
      <c r="G953" t="s">
        <v>74</v>
      </c>
      <c r="H953" t="s">
        <v>74</v>
      </c>
      <c r="I953" t="s">
        <v>18440</v>
      </c>
      <c r="J953" t="s">
        <v>18441</v>
      </c>
      <c r="K953" t="s">
        <v>74</v>
      </c>
      <c r="L953" t="s">
        <v>74</v>
      </c>
      <c r="M953" t="s">
        <v>78</v>
      </c>
      <c r="N953" t="s">
        <v>79</v>
      </c>
      <c r="O953" t="s">
        <v>74</v>
      </c>
      <c r="P953" t="s">
        <v>74</v>
      </c>
      <c r="Q953" t="s">
        <v>74</v>
      </c>
      <c r="R953" t="s">
        <v>74</v>
      </c>
      <c r="S953" t="s">
        <v>74</v>
      </c>
      <c r="T953" t="s">
        <v>18442</v>
      </c>
      <c r="U953" t="s">
        <v>18443</v>
      </c>
      <c r="V953" t="s">
        <v>18444</v>
      </c>
      <c r="W953" t="s">
        <v>18445</v>
      </c>
      <c r="X953" t="s">
        <v>8831</v>
      </c>
      <c r="Y953" t="s">
        <v>18446</v>
      </c>
      <c r="Z953" t="s">
        <v>18447</v>
      </c>
      <c r="AA953" t="s">
        <v>18448</v>
      </c>
      <c r="AB953" t="s">
        <v>16272</v>
      </c>
      <c r="AC953" t="s">
        <v>74</v>
      </c>
      <c r="AD953" t="s">
        <v>74</v>
      </c>
      <c r="AE953" t="s">
        <v>74</v>
      </c>
      <c r="AF953" t="s">
        <v>74</v>
      </c>
      <c r="AG953">
        <v>59</v>
      </c>
      <c r="AH953">
        <v>22</v>
      </c>
      <c r="AI953">
        <v>24</v>
      </c>
      <c r="AJ953">
        <v>1</v>
      </c>
      <c r="AK953">
        <v>17</v>
      </c>
      <c r="AL953" t="s">
        <v>9836</v>
      </c>
      <c r="AM953" t="s">
        <v>1797</v>
      </c>
      <c r="AN953" t="s">
        <v>9837</v>
      </c>
      <c r="AO953" t="s">
        <v>18449</v>
      </c>
      <c r="AP953" t="s">
        <v>18450</v>
      </c>
      <c r="AQ953" t="s">
        <v>74</v>
      </c>
      <c r="AR953" t="s">
        <v>18451</v>
      </c>
      <c r="AS953" t="s">
        <v>18452</v>
      </c>
      <c r="AT953" t="s">
        <v>16784</v>
      </c>
      <c r="AU953">
        <v>2017</v>
      </c>
      <c r="AV953">
        <v>213</v>
      </c>
      <c r="AW953" t="s">
        <v>74</v>
      </c>
      <c r="AX953" t="s">
        <v>74</v>
      </c>
      <c r="AY953" t="s">
        <v>74</v>
      </c>
      <c r="AZ953" t="s">
        <v>74</v>
      </c>
      <c r="BA953" t="s">
        <v>74</v>
      </c>
      <c r="BB953">
        <v>28</v>
      </c>
      <c r="BC953">
        <v>35</v>
      </c>
      <c r="BD953" t="s">
        <v>74</v>
      </c>
      <c r="BE953" t="s">
        <v>18453</v>
      </c>
      <c r="BF953" t="str">
        <f>HYPERLINK("http://dx.doi.org/10.1016/j.cbpa.2017.08.011","http://dx.doi.org/10.1016/j.cbpa.2017.08.011")</f>
        <v>http://dx.doi.org/10.1016/j.cbpa.2017.08.011</v>
      </c>
      <c r="BG953" t="s">
        <v>74</v>
      </c>
      <c r="BH953" t="s">
        <v>74</v>
      </c>
      <c r="BI953">
        <v>8</v>
      </c>
      <c r="BJ953" t="s">
        <v>18454</v>
      </c>
      <c r="BK953" t="s">
        <v>101</v>
      </c>
      <c r="BL953" t="s">
        <v>18454</v>
      </c>
      <c r="BM953" t="s">
        <v>18455</v>
      </c>
      <c r="BN953">
        <v>28864081</v>
      </c>
      <c r="BO953" t="s">
        <v>74</v>
      </c>
      <c r="BP953" t="s">
        <v>74</v>
      </c>
      <c r="BQ953" t="s">
        <v>74</v>
      </c>
      <c r="BR953" t="s">
        <v>105</v>
      </c>
      <c r="BS953" t="s">
        <v>18456</v>
      </c>
      <c r="BT953" t="str">
        <f>HYPERLINK("https%3A%2F%2Fwww.webofscience.com%2Fwos%2Fwoscc%2Ffull-record%2FWOS:000412255500004","View Full Record in Web of Science")</f>
        <v>View Full Record in Web of Science</v>
      </c>
    </row>
    <row r="954" spans="1:72" x14ac:dyDescent="0.15">
      <c r="A954" t="s">
        <v>72</v>
      </c>
      <c r="B954" t="s">
        <v>18457</v>
      </c>
      <c r="C954" t="s">
        <v>74</v>
      </c>
      <c r="D954" t="s">
        <v>74</v>
      </c>
      <c r="E954" t="s">
        <v>74</v>
      </c>
      <c r="F954" t="s">
        <v>18458</v>
      </c>
      <c r="G954" t="s">
        <v>74</v>
      </c>
      <c r="H954" t="s">
        <v>74</v>
      </c>
      <c r="I954" t="s">
        <v>18459</v>
      </c>
      <c r="J954" t="s">
        <v>18460</v>
      </c>
      <c r="K954" t="s">
        <v>74</v>
      </c>
      <c r="L954" t="s">
        <v>74</v>
      </c>
      <c r="M954" t="s">
        <v>78</v>
      </c>
      <c r="N954" t="s">
        <v>289</v>
      </c>
      <c r="O954" t="s">
        <v>74</v>
      </c>
      <c r="P954" t="s">
        <v>74</v>
      </c>
      <c r="Q954" t="s">
        <v>74</v>
      </c>
      <c r="R954" t="s">
        <v>74</v>
      </c>
      <c r="S954" t="s">
        <v>74</v>
      </c>
      <c r="T954" t="s">
        <v>18461</v>
      </c>
      <c r="U954" t="s">
        <v>18462</v>
      </c>
      <c r="V954" t="s">
        <v>18463</v>
      </c>
      <c r="W954" t="s">
        <v>18464</v>
      </c>
      <c r="X954" t="s">
        <v>18465</v>
      </c>
      <c r="Y954" t="s">
        <v>18466</v>
      </c>
      <c r="Z954" t="s">
        <v>18467</v>
      </c>
      <c r="AA954" t="s">
        <v>18468</v>
      </c>
      <c r="AB954" t="s">
        <v>18469</v>
      </c>
      <c r="AC954" t="s">
        <v>18470</v>
      </c>
      <c r="AD954" t="s">
        <v>18471</v>
      </c>
      <c r="AE954" t="s">
        <v>18472</v>
      </c>
      <c r="AF954" t="s">
        <v>74</v>
      </c>
      <c r="AG954">
        <v>77</v>
      </c>
      <c r="AH954">
        <v>35</v>
      </c>
      <c r="AI954">
        <v>39</v>
      </c>
      <c r="AJ954">
        <v>1</v>
      </c>
      <c r="AK954">
        <v>22</v>
      </c>
      <c r="AL954" t="s">
        <v>4270</v>
      </c>
      <c r="AM954" t="s">
        <v>4271</v>
      </c>
      <c r="AN954" t="s">
        <v>4272</v>
      </c>
      <c r="AO954" t="s">
        <v>18473</v>
      </c>
      <c r="AP954" t="s">
        <v>74</v>
      </c>
      <c r="AQ954" t="s">
        <v>74</v>
      </c>
      <c r="AR954" t="s">
        <v>18474</v>
      </c>
      <c r="AS954" t="s">
        <v>18475</v>
      </c>
      <c r="AT954" t="s">
        <v>17419</v>
      </c>
      <c r="AU954">
        <v>2017</v>
      </c>
      <c r="AV954">
        <v>10</v>
      </c>
      <c r="AW954">
        <v>6</v>
      </c>
      <c r="AX954" t="s">
        <v>74</v>
      </c>
      <c r="AY954" t="s">
        <v>74</v>
      </c>
      <c r="AZ954" t="s">
        <v>74</v>
      </c>
      <c r="BA954" t="s">
        <v>74</v>
      </c>
      <c r="BB954">
        <v>670</v>
      </c>
      <c r="BC954">
        <v>680</v>
      </c>
      <c r="BD954" t="s">
        <v>74</v>
      </c>
      <c r="BE954" t="s">
        <v>18476</v>
      </c>
      <c r="BF954" t="str">
        <f>HYPERLINK("http://dx.doi.org/10.1111/conl.12342","http://dx.doi.org/10.1111/conl.12342")</f>
        <v>http://dx.doi.org/10.1111/conl.12342</v>
      </c>
      <c r="BG954" t="s">
        <v>74</v>
      </c>
      <c r="BH954" t="s">
        <v>74</v>
      </c>
      <c r="BI954">
        <v>11</v>
      </c>
      <c r="BJ954" t="s">
        <v>3471</v>
      </c>
      <c r="BK954" t="s">
        <v>101</v>
      </c>
      <c r="BL954" t="s">
        <v>3472</v>
      </c>
      <c r="BM954" t="s">
        <v>18477</v>
      </c>
      <c r="BN954" t="s">
        <v>74</v>
      </c>
      <c r="BO954" t="s">
        <v>11521</v>
      </c>
      <c r="BP954" t="s">
        <v>74</v>
      </c>
      <c r="BQ954" t="s">
        <v>74</v>
      </c>
      <c r="BR954" t="s">
        <v>105</v>
      </c>
      <c r="BS954" t="s">
        <v>18478</v>
      </c>
      <c r="BT954" t="str">
        <f>HYPERLINK("https%3A%2F%2Fwww.webofscience.com%2Fwos%2Fwoscc%2Ffull-record%2FWOS:000417917800003","View Full Record in Web of Science")</f>
        <v>View Full Record in Web of Science</v>
      </c>
    </row>
    <row r="955" spans="1:72" x14ac:dyDescent="0.15">
      <c r="A955" t="s">
        <v>72</v>
      </c>
      <c r="B955" t="s">
        <v>18479</v>
      </c>
      <c r="C955" t="s">
        <v>74</v>
      </c>
      <c r="D955" t="s">
        <v>74</v>
      </c>
      <c r="E955" t="s">
        <v>74</v>
      </c>
      <c r="F955" t="s">
        <v>18480</v>
      </c>
      <c r="G955" t="s">
        <v>74</v>
      </c>
      <c r="H955" t="s">
        <v>74</v>
      </c>
      <c r="I955" t="s">
        <v>18481</v>
      </c>
      <c r="J955" t="s">
        <v>217</v>
      </c>
      <c r="K955" t="s">
        <v>74</v>
      </c>
      <c r="L955" t="s">
        <v>74</v>
      </c>
      <c r="M955" t="s">
        <v>78</v>
      </c>
      <c r="N955" t="s">
        <v>79</v>
      </c>
      <c r="O955" t="s">
        <v>74</v>
      </c>
      <c r="P955" t="s">
        <v>74</v>
      </c>
      <c r="Q955" t="s">
        <v>74</v>
      </c>
      <c r="R955" t="s">
        <v>74</v>
      </c>
      <c r="S955" t="s">
        <v>74</v>
      </c>
      <c r="T955" t="s">
        <v>74</v>
      </c>
      <c r="U955" t="s">
        <v>18482</v>
      </c>
      <c r="V955" t="s">
        <v>18483</v>
      </c>
      <c r="W955" t="s">
        <v>18484</v>
      </c>
      <c r="X955" t="s">
        <v>18485</v>
      </c>
      <c r="Y955" t="s">
        <v>18486</v>
      </c>
      <c r="Z955" t="s">
        <v>18487</v>
      </c>
      <c r="AA955" t="s">
        <v>18488</v>
      </c>
      <c r="AB955" t="s">
        <v>18489</v>
      </c>
      <c r="AC955" t="s">
        <v>18490</v>
      </c>
      <c r="AD955" t="s">
        <v>18491</v>
      </c>
      <c r="AE955" t="s">
        <v>18492</v>
      </c>
      <c r="AF955" t="s">
        <v>74</v>
      </c>
      <c r="AG955">
        <v>58</v>
      </c>
      <c r="AH955">
        <v>16</v>
      </c>
      <c r="AI955">
        <v>18</v>
      </c>
      <c r="AJ955">
        <v>2</v>
      </c>
      <c r="AK955">
        <v>8</v>
      </c>
      <c r="AL955" t="s">
        <v>149</v>
      </c>
      <c r="AM955" t="s">
        <v>150</v>
      </c>
      <c r="AN955" t="s">
        <v>151</v>
      </c>
      <c r="AO955" t="s">
        <v>229</v>
      </c>
      <c r="AP955" t="s">
        <v>230</v>
      </c>
      <c r="AQ955" t="s">
        <v>74</v>
      </c>
      <c r="AR955" t="s">
        <v>217</v>
      </c>
      <c r="AS955" t="s">
        <v>231</v>
      </c>
      <c r="AT955" t="s">
        <v>18183</v>
      </c>
      <c r="AU955">
        <v>2017</v>
      </c>
      <c r="AV955">
        <v>11</v>
      </c>
      <c r="AW955">
        <v>6</v>
      </c>
      <c r="AX955" t="s">
        <v>74</v>
      </c>
      <c r="AY955" t="s">
        <v>74</v>
      </c>
      <c r="AZ955" t="s">
        <v>74</v>
      </c>
      <c r="BA955" t="s">
        <v>74</v>
      </c>
      <c r="BB955">
        <v>2411</v>
      </c>
      <c r="BC955">
        <v>2426</v>
      </c>
      <c r="BD955" t="s">
        <v>74</v>
      </c>
      <c r="BE955" t="s">
        <v>18493</v>
      </c>
      <c r="BF955" t="str">
        <f>HYPERLINK("http://dx.doi.org/10.5194/tc-11-2411-2017","http://dx.doi.org/10.5194/tc-11-2411-2017")</f>
        <v>http://dx.doi.org/10.5194/tc-11-2411-2017</v>
      </c>
      <c r="BG955" t="s">
        <v>74</v>
      </c>
      <c r="BH955" t="s">
        <v>74</v>
      </c>
      <c r="BI955">
        <v>16</v>
      </c>
      <c r="BJ955" t="s">
        <v>233</v>
      </c>
      <c r="BK955" t="s">
        <v>101</v>
      </c>
      <c r="BL955" t="s">
        <v>234</v>
      </c>
      <c r="BM955" t="s">
        <v>18494</v>
      </c>
      <c r="BN955" t="s">
        <v>74</v>
      </c>
      <c r="BO955" t="s">
        <v>876</v>
      </c>
      <c r="BP955" t="s">
        <v>74</v>
      </c>
      <c r="BQ955" t="s">
        <v>74</v>
      </c>
      <c r="BR955" t="s">
        <v>105</v>
      </c>
      <c r="BS955" t="s">
        <v>18495</v>
      </c>
      <c r="BT955" t="str">
        <f>HYPERLINK("https%3A%2F%2Fwww.webofscience.com%2Fwos%2Fwoscc%2Ffull-record%2FWOS:000414199900001","View Full Record in Web of Science")</f>
        <v>View Full Record in Web of Science</v>
      </c>
    </row>
    <row r="956" spans="1:72" x14ac:dyDescent="0.15">
      <c r="A956" t="s">
        <v>72</v>
      </c>
      <c r="B956" t="s">
        <v>18496</v>
      </c>
      <c r="C956" t="s">
        <v>74</v>
      </c>
      <c r="D956" t="s">
        <v>74</v>
      </c>
      <c r="E956" t="s">
        <v>74</v>
      </c>
      <c r="F956" t="s">
        <v>18497</v>
      </c>
      <c r="G956" t="s">
        <v>74</v>
      </c>
      <c r="H956" t="s">
        <v>74</v>
      </c>
      <c r="I956" t="s">
        <v>18498</v>
      </c>
      <c r="J956" t="s">
        <v>18499</v>
      </c>
      <c r="K956" t="s">
        <v>74</v>
      </c>
      <c r="L956" t="s">
        <v>74</v>
      </c>
      <c r="M956" t="s">
        <v>78</v>
      </c>
      <c r="N956" t="s">
        <v>79</v>
      </c>
      <c r="O956" t="s">
        <v>74</v>
      </c>
      <c r="P956" t="s">
        <v>74</v>
      </c>
      <c r="Q956" t="s">
        <v>74</v>
      </c>
      <c r="R956" t="s">
        <v>74</v>
      </c>
      <c r="S956" t="s">
        <v>74</v>
      </c>
      <c r="T956" t="s">
        <v>18500</v>
      </c>
      <c r="U956" t="s">
        <v>18501</v>
      </c>
      <c r="V956" t="s">
        <v>18502</v>
      </c>
      <c r="W956" t="s">
        <v>18503</v>
      </c>
      <c r="X956" t="s">
        <v>18504</v>
      </c>
      <c r="Y956" t="s">
        <v>18505</v>
      </c>
      <c r="Z956" t="s">
        <v>18506</v>
      </c>
      <c r="AA956" t="s">
        <v>18507</v>
      </c>
      <c r="AB956" t="s">
        <v>18508</v>
      </c>
      <c r="AC956" t="s">
        <v>74</v>
      </c>
      <c r="AD956" t="s">
        <v>74</v>
      </c>
      <c r="AE956" t="s">
        <v>74</v>
      </c>
      <c r="AF956" t="s">
        <v>74</v>
      </c>
      <c r="AG956">
        <v>73</v>
      </c>
      <c r="AH956">
        <v>12</v>
      </c>
      <c r="AI956">
        <v>12</v>
      </c>
      <c r="AJ956">
        <v>0</v>
      </c>
      <c r="AK956">
        <v>9</v>
      </c>
      <c r="AL956" t="s">
        <v>807</v>
      </c>
      <c r="AM956" t="s">
        <v>808</v>
      </c>
      <c r="AN956" t="s">
        <v>809</v>
      </c>
      <c r="AO956" t="s">
        <v>18509</v>
      </c>
      <c r="AP956" t="s">
        <v>18510</v>
      </c>
      <c r="AQ956" t="s">
        <v>74</v>
      </c>
      <c r="AR956" t="s">
        <v>18511</v>
      </c>
      <c r="AS956" t="s">
        <v>18512</v>
      </c>
      <c r="AT956" t="s">
        <v>16784</v>
      </c>
      <c r="AU956">
        <v>2017</v>
      </c>
      <c r="AV956">
        <v>82</v>
      </c>
      <c r="AW956" t="s">
        <v>74</v>
      </c>
      <c r="AX956" t="s">
        <v>74</v>
      </c>
      <c r="AY956" t="s">
        <v>74</v>
      </c>
      <c r="AZ956" t="s">
        <v>74</v>
      </c>
      <c r="BA956" t="s">
        <v>74</v>
      </c>
      <c r="BB956">
        <v>143</v>
      </c>
      <c r="BC956">
        <v>151</v>
      </c>
      <c r="BD956" t="s">
        <v>74</v>
      </c>
      <c r="BE956" t="s">
        <v>18513</v>
      </c>
      <c r="BF956" t="str">
        <f>HYPERLINK("http://dx.doi.org/10.1016/j.ecolind.2017.06.051","http://dx.doi.org/10.1016/j.ecolind.2017.06.051")</f>
        <v>http://dx.doi.org/10.1016/j.ecolind.2017.06.051</v>
      </c>
      <c r="BG956" t="s">
        <v>74</v>
      </c>
      <c r="BH956" t="s">
        <v>74</v>
      </c>
      <c r="BI956">
        <v>9</v>
      </c>
      <c r="BJ956" t="s">
        <v>18514</v>
      </c>
      <c r="BK956" t="s">
        <v>101</v>
      </c>
      <c r="BL956" t="s">
        <v>4278</v>
      </c>
      <c r="BM956" t="s">
        <v>18515</v>
      </c>
      <c r="BN956" t="s">
        <v>74</v>
      </c>
      <c r="BO956" t="s">
        <v>74</v>
      </c>
      <c r="BP956" t="s">
        <v>74</v>
      </c>
      <c r="BQ956" t="s">
        <v>74</v>
      </c>
      <c r="BR956" t="s">
        <v>105</v>
      </c>
      <c r="BS956" t="s">
        <v>18516</v>
      </c>
      <c r="BT956" t="str">
        <f>HYPERLINK("https%3A%2F%2Fwww.webofscience.com%2Fwos%2Fwoscc%2Ffull-record%2FWOS:000417551700014","View Full Record in Web of Science")</f>
        <v>View Full Record in Web of Science</v>
      </c>
    </row>
    <row r="957" spans="1:72" x14ac:dyDescent="0.15">
      <c r="A957" t="s">
        <v>72</v>
      </c>
      <c r="B957" t="s">
        <v>18517</v>
      </c>
      <c r="C957" t="s">
        <v>74</v>
      </c>
      <c r="D957" t="s">
        <v>74</v>
      </c>
      <c r="E957" t="s">
        <v>74</v>
      </c>
      <c r="F957" t="s">
        <v>18518</v>
      </c>
      <c r="G957" t="s">
        <v>74</v>
      </c>
      <c r="H957" t="s">
        <v>74</v>
      </c>
      <c r="I957" t="s">
        <v>18519</v>
      </c>
      <c r="J957" t="s">
        <v>17111</v>
      </c>
      <c r="K957" t="s">
        <v>74</v>
      </c>
      <c r="L957" t="s">
        <v>74</v>
      </c>
      <c r="M957" t="s">
        <v>78</v>
      </c>
      <c r="N957" t="s">
        <v>79</v>
      </c>
      <c r="O957" t="s">
        <v>74</v>
      </c>
      <c r="P957" t="s">
        <v>74</v>
      </c>
      <c r="Q957" t="s">
        <v>74</v>
      </c>
      <c r="R957" t="s">
        <v>74</v>
      </c>
      <c r="S957" t="s">
        <v>74</v>
      </c>
      <c r="T957" t="s">
        <v>18520</v>
      </c>
      <c r="U957" t="s">
        <v>18521</v>
      </c>
      <c r="V957" t="s">
        <v>18522</v>
      </c>
      <c r="W957" t="s">
        <v>18523</v>
      </c>
      <c r="X957" t="s">
        <v>18524</v>
      </c>
      <c r="Y957" t="s">
        <v>18525</v>
      </c>
      <c r="Z957" t="s">
        <v>18526</v>
      </c>
      <c r="AA957" t="s">
        <v>18527</v>
      </c>
      <c r="AB957" t="s">
        <v>18528</v>
      </c>
      <c r="AC957" t="s">
        <v>18529</v>
      </c>
      <c r="AD957" t="s">
        <v>18530</v>
      </c>
      <c r="AE957" t="s">
        <v>18531</v>
      </c>
      <c r="AF957" t="s">
        <v>74</v>
      </c>
      <c r="AG957">
        <v>54</v>
      </c>
      <c r="AH957">
        <v>16</v>
      </c>
      <c r="AI957">
        <v>16</v>
      </c>
      <c r="AJ957">
        <v>4</v>
      </c>
      <c r="AK957">
        <v>48</v>
      </c>
      <c r="AL957" t="s">
        <v>4270</v>
      </c>
      <c r="AM957" t="s">
        <v>4271</v>
      </c>
      <c r="AN957" t="s">
        <v>4272</v>
      </c>
      <c r="AO957" t="s">
        <v>17124</v>
      </c>
      <c r="AP957" t="s">
        <v>74</v>
      </c>
      <c r="AQ957" t="s">
        <v>74</v>
      </c>
      <c r="AR957" t="s">
        <v>17111</v>
      </c>
      <c r="AS957" t="s">
        <v>17125</v>
      </c>
      <c r="AT957" t="s">
        <v>16784</v>
      </c>
      <c r="AU957">
        <v>2017</v>
      </c>
      <c r="AV957">
        <v>8</v>
      </c>
      <c r="AW957">
        <v>11</v>
      </c>
      <c r="AX957" t="s">
        <v>74</v>
      </c>
      <c r="AY957" t="s">
        <v>74</v>
      </c>
      <c r="AZ957" t="s">
        <v>74</v>
      </c>
      <c r="BA957" t="s">
        <v>74</v>
      </c>
      <c r="BB957" t="s">
        <v>74</v>
      </c>
      <c r="BC957" t="s">
        <v>74</v>
      </c>
      <c r="BD957" t="s">
        <v>18532</v>
      </c>
      <c r="BE957" t="s">
        <v>18533</v>
      </c>
      <c r="BF957" t="str">
        <f>HYPERLINK("http://dx.doi.org/10.1002/ecs2.2017","http://dx.doi.org/10.1002/ecs2.2017")</f>
        <v>http://dx.doi.org/10.1002/ecs2.2017</v>
      </c>
      <c r="BG957" t="s">
        <v>74</v>
      </c>
      <c r="BH957" t="s">
        <v>74</v>
      </c>
      <c r="BI957">
        <v>13</v>
      </c>
      <c r="BJ957" t="s">
        <v>5502</v>
      </c>
      <c r="BK957" t="s">
        <v>101</v>
      </c>
      <c r="BL957" t="s">
        <v>1120</v>
      </c>
      <c r="BM957" t="s">
        <v>17128</v>
      </c>
      <c r="BN957" t="s">
        <v>74</v>
      </c>
      <c r="BO957" t="s">
        <v>703</v>
      </c>
      <c r="BP957" t="s">
        <v>74</v>
      </c>
      <c r="BQ957" t="s">
        <v>74</v>
      </c>
      <c r="BR957" t="s">
        <v>105</v>
      </c>
      <c r="BS957" t="s">
        <v>18534</v>
      </c>
      <c r="BT957" t="str">
        <f>HYPERLINK("https%3A%2F%2Fwww.webofscience.com%2Fwos%2Fwoscc%2Ffull-record%2FWOS:000417330000029","View Full Record in Web of Science")</f>
        <v>View Full Record in Web of Science</v>
      </c>
    </row>
    <row r="958" spans="1:72" x14ac:dyDescent="0.15">
      <c r="A958" t="s">
        <v>72</v>
      </c>
      <c r="B958" t="s">
        <v>18535</v>
      </c>
      <c r="C958" t="s">
        <v>74</v>
      </c>
      <c r="D958" t="s">
        <v>74</v>
      </c>
      <c r="E958" t="s">
        <v>74</v>
      </c>
      <c r="F958" t="s">
        <v>18536</v>
      </c>
      <c r="G958" t="s">
        <v>74</v>
      </c>
      <c r="H958" t="s">
        <v>74</v>
      </c>
      <c r="I958" t="s">
        <v>18537</v>
      </c>
      <c r="J958" t="s">
        <v>18538</v>
      </c>
      <c r="K958" t="s">
        <v>74</v>
      </c>
      <c r="L958" t="s">
        <v>74</v>
      </c>
      <c r="M958" t="s">
        <v>78</v>
      </c>
      <c r="N958" t="s">
        <v>79</v>
      </c>
      <c r="O958" t="s">
        <v>74</v>
      </c>
      <c r="P958" t="s">
        <v>74</v>
      </c>
      <c r="Q958" t="s">
        <v>74</v>
      </c>
      <c r="R958" t="s">
        <v>74</v>
      </c>
      <c r="S958" t="s">
        <v>74</v>
      </c>
      <c r="T958" t="s">
        <v>18539</v>
      </c>
      <c r="U958" t="s">
        <v>18540</v>
      </c>
      <c r="V958" t="s">
        <v>18541</v>
      </c>
      <c r="W958" t="s">
        <v>18542</v>
      </c>
      <c r="X958" t="s">
        <v>18543</v>
      </c>
      <c r="Y958" t="s">
        <v>18544</v>
      </c>
      <c r="Z958" t="s">
        <v>18545</v>
      </c>
      <c r="AA958" t="s">
        <v>18546</v>
      </c>
      <c r="AB958" t="s">
        <v>18547</v>
      </c>
      <c r="AC958" t="s">
        <v>18548</v>
      </c>
      <c r="AD958" t="s">
        <v>18549</v>
      </c>
      <c r="AE958" t="s">
        <v>18550</v>
      </c>
      <c r="AF958" t="s">
        <v>74</v>
      </c>
      <c r="AG958">
        <v>73</v>
      </c>
      <c r="AH958">
        <v>18</v>
      </c>
      <c r="AI958">
        <v>19</v>
      </c>
      <c r="AJ958">
        <v>0</v>
      </c>
      <c r="AK958">
        <v>19</v>
      </c>
      <c r="AL958" t="s">
        <v>1266</v>
      </c>
      <c r="AM958" t="s">
        <v>1267</v>
      </c>
      <c r="AN958" t="s">
        <v>1268</v>
      </c>
      <c r="AO958" t="s">
        <v>18551</v>
      </c>
      <c r="AP958" t="s">
        <v>18552</v>
      </c>
      <c r="AQ958" t="s">
        <v>74</v>
      </c>
      <c r="AR958" t="s">
        <v>18553</v>
      </c>
      <c r="AS958" t="s">
        <v>18554</v>
      </c>
      <c r="AT958" t="s">
        <v>16784</v>
      </c>
      <c r="AU958">
        <v>2017</v>
      </c>
      <c r="AV958">
        <v>145</v>
      </c>
      <c r="AW958" t="s">
        <v>74</v>
      </c>
      <c r="AX958" t="s">
        <v>74</v>
      </c>
      <c r="AY958" t="s">
        <v>74</v>
      </c>
      <c r="AZ958" t="s">
        <v>74</v>
      </c>
      <c r="BA958" t="s">
        <v>74</v>
      </c>
      <c r="BB958">
        <v>511</v>
      </c>
      <c r="BC958">
        <v>517</v>
      </c>
      <c r="BD958" t="s">
        <v>74</v>
      </c>
      <c r="BE958" t="s">
        <v>18555</v>
      </c>
      <c r="BF958" t="str">
        <f>HYPERLINK("http://dx.doi.org/10.1016/j.ecoenv.2017.07.065","http://dx.doi.org/10.1016/j.ecoenv.2017.07.065")</f>
        <v>http://dx.doi.org/10.1016/j.ecoenv.2017.07.065</v>
      </c>
      <c r="BG958" t="s">
        <v>74</v>
      </c>
      <c r="BH958" t="s">
        <v>74</v>
      </c>
      <c r="BI958">
        <v>7</v>
      </c>
      <c r="BJ958" t="s">
        <v>2128</v>
      </c>
      <c r="BK958" t="s">
        <v>101</v>
      </c>
      <c r="BL958" t="s">
        <v>2129</v>
      </c>
      <c r="BM958" t="s">
        <v>18556</v>
      </c>
      <c r="BN958">
        <v>28783601</v>
      </c>
      <c r="BO958" t="s">
        <v>74</v>
      </c>
      <c r="BP958" t="s">
        <v>74</v>
      </c>
      <c r="BQ958" t="s">
        <v>74</v>
      </c>
      <c r="BR958" t="s">
        <v>105</v>
      </c>
      <c r="BS958" t="s">
        <v>18557</v>
      </c>
      <c r="BT958" t="str">
        <f>HYPERLINK("https%3A%2F%2Fwww.webofscience.com%2Fwos%2Fwoscc%2Ffull-record%2FWOS:000411917100063","View Full Record in Web of Science")</f>
        <v>View Full Record in Web of Science</v>
      </c>
    </row>
    <row r="959" spans="1:72" x14ac:dyDescent="0.15">
      <c r="A959" t="s">
        <v>72</v>
      </c>
      <c r="B959" t="s">
        <v>18558</v>
      </c>
      <c r="C959" t="s">
        <v>74</v>
      </c>
      <c r="D959" t="s">
        <v>74</v>
      </c>
      <c r="E959" t="s">
        <v>74</v>
      </c>
      <c r="F959" t="s">
        <v>18559</v>
      </c>
      <c r="G959" t="s">
        <v>74</v>
      </c>
      <c r="H959" t="s">
        <v>74</v>
      </c>
      <c r="I959" t="s">
        <v>18560</v>
      </c>
      <c r="J959" t="s">
        <v>18538</v>
      </c>
      <c r="K959" t="s">
        <v>74</v>
      </c>
      <c r="L959" t="s">
        <v>74</v>
      </c>
      <c r="M959" t="s">
        <v>78</v>
      </c>
      <c r="N959" t="s">
        <v>79</v>
      </c>
      <c r="O959" t="s">
        <v>74</v>
      </c>
      <c r="P959" t="s">
        <v>74</v>
      </c>
      <c r="Q959" t="s">
        <v>74</v>
      </c>
      <c r="R959" t="s">
        <v>74</v>
      </c>
      <c r="S959" t="s">
        <v>74</v>
      </c>
      <c r="T959" t="s">
        <v>18561</v>
      </c>
      <c r="U959" t="s">
        <v>18562</v>
      </c>
      <c r="V959" t="s">
        <v>18563</v>
      </c>
      <c r="W959" t="s">
        <v>18564</v>
      </c>
      <c r="X959" t="s">
        <v>18565</v>
      </c>
      <c r="Y959" t="s">
        <v>18566</v>
      </c>
      <c r="Z959" t="s">
        <v>18567</v>
      </c>
      <c r="AA959" t="s">
        <v>18568</v>
      </c>
      <c r="AB959" t="s">
        <v>18569</v>
      </c>
      <c r="AC959" t="s">
        <v>18570</v>
      </c>
      <c r="AD959" t="s">
        <v>18571</v>
      </c>
      <c r="AE959" t="s">
        <v>18572</v>
      </c>
      <c r="AF959" t="s">
        <v>74</v>
      </c>
      <c r="AG959">
        <v>57</v>
      </c>
      <c r="AH959">
        <v>18</v>
      </c>
      <c r="AI959">
        <v>20</v>
      </c>
      <c r="AJ959">
        <v>0</v>
      </c>
      <c r="AK959">
        <v>41</v>
      </c>
      <c r="AL959" t="s">
        <v>1266</v>
      </c>
      <c r="AM959" t="s">
        <v>1267</v>
      </c>
      <c r="AN959" t="s">
        <v>1268</v>
      </c>
      <c r="AO959" t="s">
        <v>18551</v>
      </c>
      <c r="AP959" t="s">
        <v>18552</v>
      </c>
      <c r="AQ959" t="s">
        <v>74</v>
      </c>
      <c r="AR959" t="s">
        <v>18553</v>
      </c>
      <c r="AS959" t="s">
        <v>18554</v>
      </c>
      <c r="AT959" t="s">
        <v>16784</v>
      </c>
      <c r="AU959">
        <v>2017</v>
      </c>
      <c r="AV959">
        <v>145</v>
      </c>
      <c r="AW959" t="s">
        <v>74</v>
      </c>
      <c r="AX959" t="s">
        <v>74</v>
      </c>
      <c r="AY959" t="s">
        <v>74</v>
      </c>
      <c r="AZ959" t="s">
        <v>74</v>
      </c>
      <c r="BA959" t="s">
        <v>74</v>
      </c>
      <c r="BB959">
        <v>630</v>
      </c>
      <c r="BC959">
        <v>639</v>
      </c>
      <c r="BD959" t="s">
        <v>74</v>
      </c>
      <c r="BE959" t="s">
        <v>18573</v>
      </c>
      <c r="BF959" t="str">
        <f>HYPERLINK("http://dx.doi.org/10.1016/j.ecoenv.2017.08.009","http://dx.doi.org/10.1016/j.ecoenv.2017.08.009")</f>
        <v>http://dx.doi.org/10.1016/j.ecoenv.2017.08.009</v>
      </c>
      <c r="BG959" t="s">
        <v>74</v>
      </c>
      <c r="BH959" t="s">
        <v>74</v>
      </c>
      <c r="BI959">
        <v>10</v>
      </c>
      <c r="BJ959" t="s">
        <v>2128</v>
      </c>
      <c r="BK959" t="s">
        <v>101</v>
      </c>
      <c r="BL959" t="s">
        <v>2129</v>
      </c>
      <c r="BM959" t="s">
        <v>18556</v>
      </c>
      <c r="BN959">
        <v>28806565</v>
      </c>
      <c r="BO959" t="s">
        <v>5571</v>
      </c>
      <c r="BP959" t="s">
        <v>74</v>
      </c>
      <c r="BQ959" t="s">
        <v>74</v>
      </c>
      <c r="BR959" t="s">
        <v>105</v>
      </c>
      <c r="BS959" t="s">
        <v>18574</v>
      </c>
      <c r="BT959" t="str">
        <f>HYPERLINK("https%3A%2F%2Fwww.webofscience.com%2Fwos%2Fwoscc%2Ffull-record%2FWOS:000411917100078","View Full Record in Web of Science")</f>
        <v>View Full Record in Web of Science</v>
      </c>
    </row>
    <row r="960" spans="1:72" x14ac:dyDescent="0.15">
      <c r="A960" t="s">
        <v>72</v>
      </c>
      <c r="B960" t="s">
        <v>18575</v>
      </c>
      <c r="C960" t="s">
        <v>74</v>
      </c>
      <c r="D960" t="s">
        <v>74</v>
      </c>
      <c r="E960" t="s">
        <v>74</v>
      </c>
      <c r="F960" t="s">
        <v>18576</v>
      </c>
      <c r="G960" t="s">
        <v>74</v>
      </c>
      <c r="H960" t="s">
        <v>74</v>
      </c>
      <c r="I960" t="s">
        <v>18577</v>
      </c>
      <c r="J960" t="s">
        <v>16835</v>
      </c>
      <c r="K960" t="s">
        <v>74</v>
      </c>
      <c r="L960" t="s">
        <v>74</v>
      </c>
      <c r="M960" t="s">
        <v>78</v>
      </c>
      <c r="N960" t="s">
        <v>79</v>
      </c>
      <c r="O960" t="s">
        <v>74</v>
      </c>
      <c r="P960" t="s">
        <v>74</v>
      </c>
      <c r="Q960" t="s">
        <v>74</v>
      </c>
      <c r="R960" t="s">
        <v>74</v>
      </c>
      <c r="S960" t="s">
        <v>74</v>
      </c>
      <c r="T960" t="s">
        <v>18578</v>
      </c>
      <c r="U960" t="s">
        <v>18579</v>
      </c>
      <c r="V960" t="s">
        <v>18580</v>
      </c>
      <c r="W960" t="s">
        <v>18581</v>
      </c>
      <c r="X960" t="s">
        <v>18582</v>
      </c>
      <c r="Y960" t="s">
        <v>18583</v>
      </c>
      <c r="Z960" t="s">
        <v>74</v>
      </c>
      <c r="AA960" t="s">
        <v>74</v>
      </c>
      <c r="AB960" t="s">
        <v>74</v>
      </c>
      <c r="AC960" t="s">
        <v>74</v>
      </c>
      <c r="AD960" t="s">
        <v>74</v>
      </c>
      <c r="AE960" t="s">
        <v>74</v>
      </c>
      <c r="AF960" t="s">
        <v>74</v>
      </c>
      <c r="AG960">
        <v>51</v>
      </c>
      <c r="AH960">
        <v>11</v>
      </c>
      <c r="AI960">
        <v>13</v>
      </c>
      <c r="AJ960">
        <v>0</v>
      </c>
      <c r="AK960">
        <v>9</v>
      </c>
      <c r="AL960" t="s">
        <v>16844</v>
      </c>
      <c r="AM960" t="s">
        <v>16845</v>
      </c>
      <c r="AN960" t="s">
        <v>16846</v>
      </c>
      <c r="AO960" t="s">
        <v>16847</v>
      </c>
      <c r="AP960" t="s">
        <v>74</v>
      </c>
      <c r="AQ960" t="s">
        <v>74</v>
      </c>
      <c r="AR960" t="s">
        <v>16848</v>
      </c>
      <c r="AS960" t="s">
        <v>16849</v>
      </c>
      <c r="AT960" t="s">
        <v>16784</v>
      </c>
      <c r="AU960">
        <v>2017</v>
      </c>
      <c r="AV960">
        <v>9</v>
      </c>
      <c r="AW960">
        <v>2</v>
      </c>
      <c r="AX960" t="s">
        <v>74</v>
      </c>
      <c r="AY960" t="s">
        <v>74</v>
      </c>
      <c r="AZ960" t="s">
        <v>74</v>
      </c>
      <c r="BA960" t="s">
        <v>74</v>
      </c>
      <c r="BB960">
        <v>398</v>
      </c>
      <c r="BC960">
        <v>417</v>
      </c>
      <c r="BD960" t="s">
        <v>74</v>
      </c>
      <c r="BE960" t="s">
        <v>18584</v>
      </c>
      <c r="BF960" t="str">
        <f>HYPERLINK("http://dx.doi.org/10.1215/22011919-4215361","http://dx.doi.org/10.1215/22011919-4215361")</f>
        <v>http://dx.doi.org/10.1215/22011919-4215361</v>
      </c>
      <c r="BG960" t="s">
        <v>74</v>
      </c>
      <c r="BH960" t="s">
        <v>74</v>
      </c>
      <c r="BI960">
        <v>20</v>
      </c>
      <c r="BJ960" t="s">
        <v>5027</v>
      </c>
      <c r="BK960" t="s">
        <v>2081</v>
      </c>
      <c r="BL960" t="s">
        <v>5028</v>
      </c>
      <c r="BM960" t="s">
        <v>16851</v>
      </c>
      <c r="BN960" t="s">
        <v>74</v>
      </c>
      <c r="BO960" t="s">
        <v>160</v>
      </c>
      <c r="BP960" t="s">
        <v>74</v>
      </c>
      <c r="BQ960" t="s">
        <v>74</v>
      </c>
      <c r="BR960" t="s">
        <v>105</v>
      </c>
      <c r="BS960" t="s">
        <v>18585</v>
      </c>
      <c r="BT960" t="str">
        <f>HYPERLINK("https%3A%2F%2Fwww.webofscience.com%2Fwos%2Fwoscc%2Ffull-record%2FWOS:000422749800012","View Full Record in Web of Science")</f>
        <v>View Full Record in Web of Science</v>
      </c>
    </row>
    <row r="961" spans="1:72" x14ac:dyDescent="0.15">
      <c r="A961" t="s">
        <v>72</v>
      </c>
      <c r="B961" t="s">
        <v>18586</v>
      </c>
      <c r="C961" t="s">
        <v>74</v>
      </c>
      <c r="D961" t="s">
        <v>74</v>
      </c>
      <c r="E961" t="s">
        <v>74</v>
      </c>
      <c r="F961" t="s">
        <v>18587</v>
      </c>
      <c r="G961" t="s">
        <v>74</v>
      </c>
      <c r="H961" t="s">
        <v>74</v>
      </c>
      <c r="I961" t="s">
        <v>18588</v>
      </c>
      <c r="J961" t="s">
        <v>17788</v>
      </c>
      <c r="K961" t="s">
        <v>74</v>
      </c>
      <c r="L961" t="s">
        <v>74</v>
      </c>
      <c r="M961" t="s">
        <v>78</v>
      </c>
      <c r="N961" t="s">
        <v>79</v>
      </c>
      <c r="O961" t="s">
        <v>74</v>
      </c>
      <c r="P961" t="s">
        <v>74</v>
      </c>
      <c r="Q961" t="s">
        <v>74</v>
      </c>
      <c r="R961" t="s">
        <v>74</v>
      </c>
      <c r="S961" t="s">
        <v>74</v>
      </c>
      <c r="T961" t="s">
        <v>18589</v>
      </c>
      <c r="U961" t="s">
        <v>18590</v>
      </c>
      <c r="V961" t="s">
        <v>18591</v>
      </c>
      <c r="W961" t="s">
        <v>18592</v>
      </c>
      <c r="X961" t="s">
        <v>18593</v>
      </c>
      <c r="Y961" t="s">
        <v>18594</v>
      </c>
      <c r="Z961" t="s">
        <v>18595</v>
      </c>
      <c r="AA961" t="s">
        <v>18596</v>
      </c>
      <c r="AB961" t="s">
        <v>18597</v>
      </c>
      <c r="AC961" t="s">
        <v>18598</v>
      </c>
      <c r="AD961" t="s">
        <v>18599</v>
      </c>
      <c r="AE961" t="s">
        <v>18600</v>
      </c>
      <c r="AF961" t="s">
        <v>74</v>
      </c>
      <c r="AG961">
        <v>36</v>
      </c>
      <c r="AH961">
        <v>34</v>
      </c>
      <c r="AI961">
        <v>34</v>
      </c>
      <c r="AJ961">
        <v>0</v>
      </c>
      <c r="AK961">
        <v>36</v>
      </c>
      <c r="AL961" t="s">
        <v>4978</v>
      </c>
      <c r="AM961" t="s">
        <v>3107</v>
      </c>
      <c r="AN961" t="s">
        <v>17801</v>
      </c>
      <c r="AO961" t="s">
        <v>17802</v>
      </c>
      <c r="AP961" t="s">
        <v>17803</v>
      </c>
      <c r="AQ961" t="s">
        <v>74</v>
      </c>
      <c r="AR961" t="s">
        <v>17788</v>
      </c>
      <c r="AS961" t="s">
        <v>17804</v>
      </c>
      <c r="AT961" t="s">
        <v>16784</v>
      </c>
      <c r="AU961">
        <v>2017</v>
      </c>
      <c r="AV961">
        <v>21</v>
      </c>
      <c r="AW961">
        <v>6</v>
      </c>
      <c r="AX961" t="s">
        <v>74</v>
      </c>
      <c r="AY961" t="s">
        <v>74</v>
      </c>
      <c r="AZ961" t="s">
        <v>74</v>
      </c>
      <c r="BA961" t="s">
        <v>74</v>
      </c>
      <c r="BB961">
        <v>981</v>
      </c>
      <c r="BC961">
        <v>991</v>
      </c>
      <c r="BD961" t="s">
        <v>74</v>
      </c>
      <c r="BE961" t="s">
        <v>18601</v>
      </c>
      <c r="BF961" t="str">
        <f>HYPERLINK("http://dx.doi.org/10.1007/s00792-017-0957-8","http://dx.doi.org/10.1007/s00792-017-0957-8")</f>
        <v>http://dx.doi.org/10.1007/s00792-017-0957-8</v>
      </c>
      <c r="BG961" t="s">
        <v>74</v>
      </c>
      <c r="BH961" t="s">
        <v>74</v>
      </c>
      <c r="BI961">
        <v>11</v>
      </c>
      <c r="BJ961" t="s">
        <v>5239</v>
      </c>
      <c r="BK961" t="s">
        <v>101</v>
      </c>
      <c r="BL961" t="s">
        <v>5239</v>
      </c>
      <c r="BM961" t="s">
        <v>17806</v>
      </c>
      <c r="BN961">
        <v>28856526</v>
      </c>
      <c r="BO961" t="s">
        <v>74</v>
      </c>
      <c r="BP961" t="s">
        <v>74</v>
      </c>
      <c r="BQ961" t="s">
        <v>74</v>
      </c>
      <c r="BR961" t="s">
        <v>105</v>
      </c>
      <c r="BS961" t="s">
        <v>18602</v>
      </c>
      <c r="BT961" t="str">
        <f>HYPERLINK("https%3A%2F%2Fwww.webofscience.com%2Fwos%2Fwoscc%2Ffull-record%2FWOS:000414671300003","View Full Record in Web of Science")</f>
        <v>View Full Record in Web of Science</v>
      </c>
    </row>
    <row r="962" spans="1:72" x14ac:dyDescent="0.15">
      <c r="A962" t="s">
        <v>72</v>
      </c>
      <c r="B962" t="s">
        <v>18603</v>
      </c>
      <c r="C962" t="s">
        <v>74</v>
      </c>
      <c r="D962" t="s">
        <v>74</v>
      </c>
      <c r="E962" t="s">
        <v>74</v>
      </c>
      <c r="F962" t="s">
        <v>18604</v>
      </c>
      <c r="G962" t="s">
        <v>74</v>
      </c>
      <c r="H962" t="s">
        <v>74</v>
      </c>
      <c r="I962" t="s">
        <v>18605</v>
      </c>
      <c r="J962" t="s">
        <v>17788</v>
      </c>
      <c r="K962" t="s">
        <v>74</v>
      </c>
      <c r="L962" t="s">
        <v>74</v>
      </c>
      <c r="M962" t="s">
        <v>78</v>
      </c>
      <c r="N962" t="s">
        <v>79</v>
      </c>
      <c r="O962" t="s">
        <v>74</v>
      </c>
      <c r="P962" t="s">
        <v>74</v>
      </c>
      <c r="Q962" t="s">
        <v>74</v>
      </c>
      <c r="R962" t="s">
        <v>74</v>
      </c>
      <c r="S962" t="s">
        <v>74</v>
      </c>
      <c r="T962" t="s">
        <v>18606</v>
      </c>
      <c r="U962" t="s">
        <v>18607</v>
      </c>
      <c r="V962" t="s">
        <v>18608</v>
      </c>
      <c r="W962" t="s">
        <v>18609</v>
      </c>
      <c r="X962" t="s">
        <v>18610</v>
      </c>
      <c r="Y962" t="s">
        <v>18611</v>
      </c>
      <c r="Z962" t="s">
        <v>13884</v>
      </c>
      <c r="AA962" t="s">
        <v>18612</v>
      </c>
      <c r="AB962" t="s">
        <v>18613</v>
      </c>
      <c r="AC962" t="s">
        <v>18614</v>
      </c>
      <c r="AD962" t="s">
        <v>18615</v>
      </c>
      <c r="AE962" t="s">
        <v>18616</v>
      </c>
      <c r="AF962" t="s">
        <v>74</v>
      </c>
      <c r="AG962">
        <v>78</v>
      </c>
      <c r="AH962">
        <v>23</v>
      </c>
      <c r="AI962">
        <v>23</v>
      </c>
      <c r="AJ962">
        <v>2</v>
      </c>
      <c r="AK962">
        <v>43</v>
      </c>
      <c r="AL962" t="s">
        <v>4978</v>
      </c>
      <c r="AM962" t="s">
        <v>3107</v>
      </c>
      <c r="AN962" t="s">
        <v>4979</v>
      </c>
      <c r="AO962" t="s">
        <v>17802</v>
      </c>
      <c r="AP962" t="s">
        <v>17803</v>
      </c>
      <c r="AQ962" t="s">
        <v>74</v>
      </c>
      <c r="AR962" t="s">
        <v>17788</v>
      </c>
      <c r="AS962" t="s">
        <v>17804</v>
      </c>
      <c r="AT962" t="s">
        <v>16784</v>
      </c>
      <c r="AU962">
        <v>2017</v>
      </c>
      <c r="AV962">
        <v>21</v>
      </c>
      <c r="AW962">
        <v>6</v>
      </c>
      <c r="AX962" t="s">
        <v>74</v>
      </c>
      <c r="AY962" t="s">
        <v>74</v>
      </c>
      <c r="AZ962" t="s">
        <v>74</v>
      </c>
      <c r="BA962" t="s">
        <v>74</v>
      </c>
      <c r="BB962">
        <v>1005</v>
      </c>
      <c r="BC962">
        <v>1015</v>
      </c>
      <c r="BD962" t="s">
        <v>74</v>
      </c>
      <c r="BE962" t="s">
        <v>18617</v>
      </c>
      <c r="BF962" t="str">
        <f>HYPERLINK("http://dx.doi.org/10.1007/s00792-017-0959-6","http://dx.doi.org/10.1007/s00792-017-0959-6")</f>
        <v>http://dx.doi.org/10.1007/s00792-017-0959-6</v>
      </c>
      <c r="BG962" t="s">
        <v>74</v>
      </c>
      <c r="BH962" t="s">
        <v>74</v>
      </c>
      <c r="BI962">
        <v>11</v>
      </c>
      <c r="BJ962" t="s">
        <v>5239</v>
      </c>
      <c r="BK962" t="s">
        <v>101</v>
      </c>
      <c r="BL962" t="s">
        <v>5239</v>
      </c>
      <c r="BM962" t="s">
        <v>17806</v>
      </c>
      <c r="BN962">
        <v>28856503</v>
      </c>
      <c r="BO962" t="s">
        <v>74</v>
      </c>
      <c r="BP962" t="s">
        <v>74</v>
      </c>
      <c r="BQ962" t="s">
        <v>74</v>
      </c>
      <c r="BR962" t="s">
        <v>105</v>
      </c>
      <c r="BS962" t="s">
        <v>18618</v>
      </c>
      <c r="BT962" t="str">
        <f>HYPERLINK("https%3A%2F%2Fwww.webofscience.com%2Fwos%2Fwoscc%2Ffull-record%2FWOS:000414671300005","View Full Record in Web of Science")</f>
        <v>View Full Record in Web of Science</v>
      </c>
    </row>
    <row r="963" spans="1:72" x14ac:dyDescent="0.15">
      <c r="A963" t="s">
        <v>72</v>
      </c>
      <c r="B963" t="s">
        <v>18619</v>
      </c>
      <c r="C963" t="s">
        <v>74</v>
      </c>
      <c r="D963" t="s">
        <v>74</v>
      </c>
      <c r="E963" t="s">
        <v>74</v>
      </c>
      <c r="F963" t="s">
        <v>18620</v>
      </c>
      <c r="G963" t="s">
        <v>74</v>
      </c>
      <c r="H963" t="s">
        <v>74</v>
      </c>
      <c r="I963" t="s">
        <v>18621</v>
      </c>
      <c r="J963" t="s">
        <v>17788</v>
      </c>
      <c r="K963" t="s">
        <v>74</v>
      </c>
      <c r="L963" t="s">
        <v>74</v>
      </c>
      <c r="M963" t="s">
        <v>78</v>
      </c>
      <c r="N963" t="s">
        <v>79</v>
      </c>
      <c r="O963" t="s">
        <v>74</v>
      </c>
      <c r="P963" t="s">
        <v>74</v>
      </c>
      <c r="Q963" t="s">
        <v>74</v>
      </c>
      <c r="R963" t="s">
        <v>74</v>
      </c>
      <c r="S963" t="s">
        <v>74</v>
      </c>
      <c r="T963" t="s">
        <v>18622</v>
      </c>
      <c r="U963" t="s">
        <v>18623</v>
      </c>
      <c r="V963" t="s">
        <v>18624</v>
      </c>
      <c r="W963" t="s">
        <v>18625</v>
      </c>
      <c r="X963" t="s">
        <v>18626</v>
      </c>
      <c r="Y963" t="s">
        <v>18627</v>
      </c>
      <c r="Z963" t="s">
        <v>18628</v>
      </c>
      <c r="AA963" t="s">
        <v>18629</v>
      </c>
      <c r="AB963" t="s">
        <v>18630</v>
      </c>
      <c r="AC963" t="s">
        <v>18631</v>
      </c>
      <c r="AD963" t="s">
        <v>18632</v>
      </c>
      <c r="AE963" t="s">
        <v>18633</v>
      </c>
      <c r="AF963" t="s">
        <v>74</v>
      </c>
      <c r="AG963">
        <v>65</v>
      </c>
      <c r="AH963">
        <v>26</v>
      </c>
      <c r="AI963">
        <v>30</v>
      </c>
      <c r="AJ963">
        <v>1</v>
      </c>
      <c r="AK963">
        <v>25</v>
      </c>
      <c r="AL963" t="s">
        <v>4978</v>
      </c>
      <c r="AM963" t="s">
        <v>3107</v>
      </c>
      <c r="AN963" t="s">
        <v>4979</v>
      </c>
      <c r="AO963" t="s">
        <v>17802</v>
      </c>
      <c r="AP963" t="s">
        <v>17803</v>
      </c>
      <c r="AQ963" t="s">
        <v>74</v>
      </c>
      <c r="AR963" t="s">
        <v>17788</v>
      </c>
      <c r="AS963" t="s">
        <v>17804</v>
      </c>
      <c r="AT963" t="s">
        <v>16784</v>
      </c>
      <c r="AU963">
        <v>2017</v>
      </c>
      <c r="AV963">
        <v>21</v>
      </c>
      <c r="AW963">
        <v>6</v>
      </c>
      <c r="AX963" t="s">
        <v>74</v>
      </c>
      <c r="AY963" t="s">
        <v>74</v>
      </c>
      <c r="AZ963" t="s">
        <v>74</v>
      </c>
      <c r="BA963" t="s">
        <v>74</v>
      </c>
      <c r="BB963">
        <v>1069</v>
      </c>
      <c r="BC963">
        <v>1080</v>
      </c>
      <c r="BD963" t="s">
        <v>74</v>
      </c>
      <c r="BE963" t="s">
        <v>18634</v>
      </c>
      <c r="BF963" t="str">
        <f>HYPERLINK("http://dx.doi.org/10.1007/s00792-017-0967-6","http://dx.doi.org/10.1007/s00792-017-0967-6")</f>
        <v>http://dx.doi.org/10.1007/s00792-017-0967-6</v>
      </c>
      <c r="BG963" t="s">
        <v>74</v>
      </c>
      <c r="BH963" t="s">
        <v>74</v>
      </c>
      <c r="BI963">
        <v>12</v>
      </c>
      <c r="BJ963" t="s">
        <v>5239</v>
      </c>
      <c r="BK963" t="s">
        <v>101</v>
      </c>
      <c r="BL963" t="s">
        <v>5239</v>
      </c>
      <c r="BM963" t="s">
        <v>17806</v>
      </c>
      <c r="BN963">
        <v>28993960</v>
      </c>
      <c r="BO963" t="s">
        <v>74</v>
      </c>
      <c r="BP963" t="s">
        <v>74</v>
      </c>
      <c r="BQ963" t="s">
        <v>74</v>
      </c>
      <c r="BR963" t="s">
        <v>105</v>
      </c>
      <c r="BS963" t="s">
        <v>18635</v>
      </c>
      <c r="BT963" t="str">
        <f>HYPERLINK("https%3A%2F%2Fwww.webofscience.com%2Fwos%2Fwoscc%2Ffull-record%2FWOS:000414671300011","View Full Record in Web of Science")</f>
        <v>View Full Record in Web of Science</v>
      </c>
    </row>
    <row r="964" spans="1:72" x14ac:dyDescent="0.15">
      <c r="A964" t="s">
        <v>72</v>
      </c>
      <c r="B964" t="s">
        <v>18636</v>
      </c>
      <c r="C964" t="s">
        <v>74</v>
      </c>
      <c r="D964" t="s">
        <v>74</v>
      </c>
      <c r="E964" t="s">
        <v>74</v>
      </c>
      <c r="F964" t="s">
        <v>18637</v>
      </c>
      <c r="G964" t="s">
        <v>74</v>
      </c>
      <c r="H964" t="s">
        <v>74</v>
      </c>
      <c r="I964" t="s">
        <v>18638</v>
      </c>
      <c r="J964" t="s">
        <v>10355</v>
      </c>
      <c r="K964" t="s">
        <v>74</v>
      </c>
      <c r="L964" t="s">
        <v>74</v>
      </c>
      <c r="M964" t="s">
        <v>78</v>
      </c>
      <c r="N964" t="s">
        <v>79</v>
      </c>
      <c r="O964" t="s">
        <v>74</v>
      </c>
      <c r="P964" t="s">
        <v>74</v>
      </c>
      <c r="Q964" t="s">
        <v>74</v>
      </c>
      <c r="R964" t="s">
        <v>74</v>
      </c>
      <c r="S964" t="s">
        <v>74</v>
      </c>
      <c r="T964" t="s">
        <v>18639</v>
      </c>
      <c r="U964" t="s">
        <v>18640</v>
      </c>
      <c r="V964" t="s">
        <v>18641</v>
      </c>
      <c r="W964" t="s">
        <v>18642</v>
      </c>
      <c r="X964" t="s">
        <v>18643</v>
      </c>
      <c r="Y964" t="s">
        <v>18644</v>
      </c>
      <c r="Z964" t="s">
        <v>18645</v>
      </c>
      <c r="AA964" t="s">
        <v>18646</v>
      </c>
      <c r="AB964" t="s">
        <v>18647</v>
      </c>
      <c r="AC964" t="s">
        <v>18648</v>
      </c>
      <c r="AD964" t="s">
        <v>18649</v>
      </c>
      <c r="AE964" t="s">
        <v>18648</v>
      </c>
      <c r="AF964" t="s">
        <v>74</v>
      </c>
      <c r="AG964">
        <v>59</v>
      </c>
      <c r="AH964">
        <v>33</v>
      </c>
      <c r="AI964">
        <v>34</v>
      </c>
      <c r="AJ964">
        <v>6</v>
      </c>
      <c r="AK964">
        <v>70</v>
      </c>
      <c r="AL964" t="s">
        <v>4270</v>
      </c>
      <c r="AM964" t="s">
        <v>4271</v>
      </c>
      <c r="AN964" t="s">
        <v>4272</v>
      </c>
      <c r="AO964" t="s">
        <v>10366</v>
      </c>
      <c r="AP964" t="s">
        <v>10367</v>
      </c>
      <c r="AQ964" t="s">
        <v>74</v>
      </c>
      <c r="AR964" t="s">
        <v>10368</v>
      </c>
      <c r="AS964" t="s">
        <v>10369</v>
      </c>
      <c r="AT964" t="s">
        <v>16784</v>
      </c>
      <c r="AU964">
        <v>2017</v>
      </c>
      <c r="AV964">
        <v>18</v>
      </c>
      <c r="AW964">
        <v>6</v>
      </c>
      <c r="AX964" t="s">
        <v>74</v>
      </c>
      <c r="AY964" t="s">
        <v>74</v>
      </c>
      <c r="AZ964" t="s">
        <v>74</v>
      </c>
      <c r="BA964" t="s">
        <v>74</v>
      </c>
      <c r="BB964">
        <v>1026</v>
      </c>
      <c r="BC964">
        <v>1037</v>
      </c>
      <c r="BD964" t="s">
        <v>74</v>
      </c>
      <c r="BE964" t="s">
        <v>18650</v>
      </c>
      <c r="BF964" t="str">
        <f>HYPERLINK("http://dx.doi.org/10.1111/faf.12222","http://dx.doi.org/10.1111/faf.12222")</f>
        <v>http://dx.doi.org/10.1111/faf.12222</v>
      </c>
      <c r="BG964" t="s">
        <v>74</v>
      </c>
      <c r="BH964" t="s">
        <v>74</v>
      </c>
      <c r="BI964">
        <v>12</v>
      </c>
      <c r="BJ964" t="s">
        <v>6350</v>
      </c>
      <c r="BK964" t="s">
        <v>2471</v>
      </c>
      <c r="BL964" t="s">
        <v>6350</v>
      </c>
      <c r="BM964" t="s">
        <v>18651</v>
      </c>
      <c r="BN964" t="s">
        <v>74</v>
      </c>
      <c r="BO964" t="s">
        <v>74</v>
      </c>
      <c r="BP964" t="s">
        <v>74</v>
      </c>
      <c r="BQ964" t="s">
        <v>74</v>
      </c>
      <c r="BR964" t="s">
        <v>105</v>
      </c>
      <c r="BS964" t="s">
        <v>18652</v>
      </c>
      <c r="BT964" t="str">
        <f>HYPERLINK("https%3A%2F%2Fwww.webofscience.com%2Fwos%2Fwoscc%2Ffull-record%2FWOS:000413962500002","View Full Record in Web of Science")</f>
        <v>View Full Record in Web of Science</v>
      </c>
    </row>
    <row r="965" spans="1:72" x14ac:dyDescent="0.15">
      <c r="A965" t="s">
        <v>72</v>
      </c>
      <c r="B965" t="s">
        <v>18653</v>
      </c>
      <c r="C965" t="s">
        <v>74</v>
      </c>
      <c r="D965" t="s">
        <v>74</v>
      </c>
      <c r="E965" t="s">
        <v>74</v>
      </c>
      <c r="F965" t="s">
        <v>18654</v>
      </c>
      <c r="G965" t="s">
        <v>74</v>
      </c>
      <c r="H965" t="s">
        <v>74</v>
      </c>
      <c r="I965" t="s">
        <v>18655</v>
      </c>
      <c r="J965" t="s">
        <v>18656</v>
      </c>
      <c r="K965" t="s">
        <v>74</v>
      </c>
      <c r="L965" t="s">
        <v>74</v>
      </c>
      <c r="M965" t="s">
        <v>78</v>
      </c>
      <c r="N965" t="s">
        <v>79</v>
      </c>
      <c r="O965" t="s">
        <v>74</v>
      </c>
      <c r="P965" t="s">
        <v>74</v>
      </c>
      <c r="Q965" t="s">
        <v>74</v>
      </c>
      <c r="R965" t="s">
        <v>74</v>
      </c>
      <c r="S965" t="s">
        <v>74</v>
      </c>
      <c r="T965" t="s">
        <v>74</v>
      </c>
      <c r="U965" t="s">
        <v>18657</v>
      </c>
      <c r="V965" t="s">
        <v>18658</v>
      </c>
      <c r="W965" t="s">
        <v>18659</v>
      </c>
      <c r="X965" t="s">
        <v>18660</v>
      </c>
      <c r="Y965" t="s">
        <v>18661</v>
      </c>
      <c r="Z965" t="s">
        <v>18662</v>
      </c>
      <c r="AA965" t="s">
        <v>18663</v>
      </c>
      <c r="AB965" t="s">
        <v>18664</v>
      </c>
      <c r="AC965" t="s">
        <v>18665</v>
      </c>
      <c r="AD965" t="s">
        <v>18666</v>
      </c>
      <c r="AE965" t="s">
        <v>18667</v>
      </c>
      <c r="AF965" t="s">
        <v>74</v>
      </c>
      <c r="AG965">
        <v>101</v>
      </c>
      <c r="AH965">
        <v>12</v>
      </c>
      <c r="AI965">
        <v>14</v>
      </c>
      <c r="AJ965">
        <v>0</v>
      </c>
      <c r="AK965">
        <v>18</v>
      </c>
      <c r="AL965" t="s">
        <v>4585</v>
      </c>
      <c r="AM965" t="s">
        <v>1649</v>
      </c>
      <c r="AN965" t="s">
        <v>4586</v>
      </c>
      <c r="AO965" t="s">
        <v>18668</v>
      </c>
      <c r="AP965" t="s">
        <v>18669</v>
      </c>
      <c r="AQ965" t="s">
        <v>74</v>
      </c>
      <c r="AR965" t="s">
        <v>18670</v>
      </c>
      <c r="AS965" t="s">
        <v>18671</v>
      </c>
      <c r="AT965" t="s">
        <v>17419</v>
      </c>
      <c r="AU965">
        <v>2017</v>
      </c>
      <c r="AV965">
        <v>129</v>
      </c>
      <c r="AW965" t="s">
        <v>8012</v>
      </c>
      <c r="AX965" t="s">
        <v>74</v>
      </c>
      <c r="AY965" t="s">
        <v>74</v>
      </c>
      <c r="AZ965" t="s">
        <v>74</v>
      </c>
      <c r="BA965" t="s">
        <v>74</v>
      </c>
      <c r="BB965">
        <v>1568</v>
      </c>
      <c r="BC965">
        <v>1584</v>
      </c>
      <c r="BD965" t="s">
        <v>74</v>
      </c>
      <c r="BE965" t="s">
        <v>18672</v>
      </c>
      <c r="BF965" t="str">
        <f>HYPERLINK("http://dx.doi.org/10.1130/B31686.1","http://dx.doi.org/10.1130/B31686.1")</f>
        <v>http://dx.doi.org/10.1130/B31686.1</v>
      </c>
      <c r="BG965" t="s">
        <v>74</v>
      </c>
      <c r="BH965" t="s">
        <v>74</v>
      </c>
      <c r="BI965">
        <v>17</v>
      </c>
      <c r="BJ965" t="s">
        <v>280</v>
      </c>
      <c r="BK965" t="s">
        <v>101</v>
      </c>
      <c r="BL965" t="s">
        <v>281</v>
      </c>
      <c r="BM965" t="s">
        <v>18673</v>
      </c>
      <c r="BN965" t="s">
        <v>74</v>
      </c>
      <c r="BO965" t="s">
        <v>74</v>
      </c>
      <c r="BP965" t="s">
        <v>74</v>
      </c>
      <c r="BQ965" t="s">
        <v>74</v>
      </c>
      <c r="BR965" t="s">
        <v>105</v>
      </c>
      <c r="BS965" t="s">
        <v>18674</v>
      </c>
      <c r="BT965" t="str">
        <f>HYPERLINK("https%3A%2F%2Fwww.webofscience.com%2Fwos%2Fwoscc%2Ffull-record%2FWOS:000414365400011","View Full Record in Web of Science")</f>
        <v>View Full Record in Web of Science</v>
      </c>
    </row>
    <row r="966" spans="1:72" x14ac:dyDescent="0.15">
      <c r="A966" t="s">
        <v>72</v>
      </c>
      <c r="B966" t="s">
        <v>18675</v>
      </c>
      <c r="C966" t="s">
        <v>74</v>
      </c>
      <c r="D966" t="s">
        <v>74</v>
      </c>
      <c r="E966" t="s">
        <v>74</v>
      </c>
      <c r="F966" t="s">
        <v>18676</v>
      </c>
      <c r="G966" t="s">
        <v>74</v>
      </c>
      <c r="H966" t="s">
        <v>74</v>
      </c>
      <c r="I966" t="s">
        <v>18677</v>
      </c>
      <c r="J966" t="s">
        <v>12485</v>
      </c>
      <c r="K966" t="s">
        <v>74</v>
      </c>
      <c r="L966" t="s">
        <v>74</v>
      </c>
      <c r="M966" t="s">
        <v>78</v>
      </c>
      <c r="N966" t="s">
        <v>79</v>
      </c>
      <c r="O966" t="s">
        <v>74</v>
      </c>
      <c r="P966" t="s">
        <v>74</v>
      </c>
      <c r="Q966" t="s">
        <v>74</v>
      </c>
      <c r="R966" t="s">
        <v>74</v>
      </c>
      <c r="S966" t="s">
        <v>74</v>
      </c>
      <c r="T966" t="s">
        <v>74</v>
      </c>
      <c r="U966" t="s">
        <v>18678</v>
      </c>
      <c r="V966" t="s">
        <v>18679</v>
      </c>
      <c r="W966" t="s">
        <v>18680</v>
      </c>
      <c r="X966" t="s">
        <v>18681</v>
      </c>
      <c r="Y966" t="s">
        <v>18682</v>
      </c>
      <c r="Z966" t="s">
        <v>18683</v>
      </c>
      <c r="AA966" t="s">
        <v>18684</v>
      </c>
      <c r="AB966" t="s">
        <v>18685</v>
      </c>
      <c r="AC966" t="s">
        <v>18686</v>
      </c>
      <c r="AD966" t="s">
        <v>10500</v>
      </c>
      <c r="AE966" t="s">
        <v>18687</v>
      </c>
      <c r="AF966" t="s">
        <v>74</v>
      </c>
      <c r="AG966">
        <v>17</v>
      </c>
      <c r="AH966">
        <v>4</v>
      </c>
      <c r="AI966">
        <v>4</v>
      </c>
      <c r="AJ966">
        <v>0</v>
      </c>
      <c r="AK966">
        <v>2</v>
      </c>
      <c r="AL966" t="s">
        <v>4154</v>
      </c>
      <c r="AM966" t="s">
        <v>1797</v>
      </c>
      <c r="AN966" t="s">
        <v>4155</v>
      </c>
      <c r="AO966" t="s">
        <v>12497</v>
      </c>
      <c r="AP966" t="s">
        <v>12498</v>
      </c>
      <c r="AQ966" t="s">
        <v>74</v>
      </c>
      <c r="AR966" t="s">
        <v>12499</v>
      </c>
      <c r="AS966" t="s">
        <v>12500</v>
      </c>
      <c r="AT966" t="s">
        <v>16784</v>
      </c>
      <c r="AU966">
        <v>2017</v>
      </c>
      <c r="AV966">
        <v>57</v>
      </c>
      <c r="AW966">
        <v>6</v>
      </c>
      <c r="AX966" t="s">
        <v>74</v>
      </c>
      <c r="AY966" t="s">
        <v>74</v>
      </c>
      <c r="AZ966" t="s">
        <v>74</v>
      </c>
      <c r="BA966" t="s">
        <v>74</v>
      </c>
      <c r="BB966">
        <v>698</v>
      </c>
      <c r="BC966">
        <v>705</v>
      </c>
      <c r="BD966" t="s">
        <v>74</v>
      </c>
      <c r="BE966" t="s">
        <v>18688</v>
      </c>
      <c r="BF966" t="str">
        <f>HYPERLINK("http://dx.doi.org/10.1134/S0016793217060068","http://dx.doi.org/10.1134/S0016793217060068")</f>
        <v>http://dx.doi.org/10.1134/S0016793217060068</v>
      </c>
      <c r="BG966" t="s">
        <v>74</v>
      </c>
      <c r="BH966" t="s">
        <v>74</v>
      </c>
      <c r="BI966">
        <v>8</v>
      </c>
      <c r="BJ966" t="s">
        <v>1148</v>
      </c>
      <c r="BK966" t="s">
        <v>101</v>
      </c>
      <c r="BL966" t="s">
        <v>1148</v>
      </c>
      <c r="BM966" t="s">
        <v>18689</v>
      </c>
      <c r="BN966" t="s">
        <v>74</v>
      </c>
      <c r="BO966" t="s">
        <v>74</v>
      </c>
      <c r="BP966" t="s">
        <v>74</v>
      </c>
      <c r="BQ966" t="s">
        <v>74</v>
      </c>
      <c r="BR966" t="s">
        <v>105</v>
      </c>
      <c r="BS966" t="s">
        <v>18690</v>
      </c>
      <c r="BT966" t="str">
        <f>HYPERLINK("https%3A%2F%2Fwww.webofscience.com%2Fwos%2Fwoscc%2Ffull-record%2FWOS:000424019800008","View Full Record in Web of Science")</f>
        <v>View Full Record in Web of Science</v>
      </c>
    </row>
    <row r="967" spans="1:72" x14ac:dyDescent="0.15">
      <c r="A967" t="s">
        <v>72</v>
      </c>
      <c r="B967" t="s">
        <v>18691</v>
      </c>
      <c r="C967" t="s">
        <v>74</v>
      </c>
      <c r="D967" t="s">
        <v>74</v>
      </c>
      <c r="E967" t="s">
        <v>74</v>
      </c>
      <c r="F967" t="s">
        <v>18692</v>
      </c>
      <c r="G967" t="s">
        <v>74</v>
      </c>
      <c r="H967" t="s">
        <v>74</v>
      </c>
      <c r="I967" t="s">
        <v>18693</v>
      </c>
      <c r="J967" t="s">
        <v>18121</v>
      </c>
      <c r="K967" t="s">
        <v>74</v>
      </c>
      <c r="L967" t="s">
        <v>74</v>
      </c>
      <c r="M967" t="s">
        <v>78</v>
      </c>
      <c r="N967" t="s">
        <v>79</v>
      </c>
      <c r="O967" t="s">
        <v>74</v>
      </c>
      <c r="P967" t="s">
        <v>74</v>
      </c>
      <c r="Q967" t="s">
        <v>74</v>
      </c>
      <c r="R967" t="s">
        <v>74</v>
      </c>
      <c r="S967" t="s">
        <v>74</v>
      </c>
      <c r="T967" t="s">
        <v>18694</v>
      </c>
      <c r="U967" t="s">
        <v>18695</v>
      </c>
      <c r="V967" t="s">
        <v>18696</v>
      </c>
      <c r="W967" t="s">
        <v>18697</v>
      </c>
      <c r="X967" t="s">
        <v>18698</v>
      </c>
      <c r="Y967" t="s">
        <v>18699</v>
      </c>
      <c r="Z967" t="s">
        <v>18700</v>
      </c>
      <c r="AA967" t="s">
        <v>74</v>
      </c>
      <c r="AB967" t="s">
        <v>18701</v>
      </c>
      <c r="AC967" t="s">
        <v>18702</v>
      </c>
      <c r="AD967" t="s">
        <v>18703</v>
      </c>
      <c r="AE967" t="s">
        <v>18704</v>
      </c>
      <c r="AF967" t="s">
        <v>74</v>
      </c>
      <c r="AG967">
        <v>161</v>
      </c>
      <c r="AH967">
        <v>108</v>
      </c>
      <c r="AI967">
        <v>115</v>
      </c>
      <c r="AJ967">
        <v>1</v>
      </c>
      <c r="AK967">
        <v>19</v>
      </c>
      <c r="AL967" t="s">
        <v>18131</v>
      </c>
      <c r="AM967" t="s">
        <v>18132</v>
      </c>
      <c r="AN967" t="s">
        <v>18133</v>
      </c>
      <c r="AO967" t="s">
        <v>18134</v>
      </c>
      <c r="AP967" t="s">
        <v>74</v>
      </c>
      <c r="AQ967" t="s">
        <v>74</v>
      </c>
      <c r="AR967" t="s">
        <v>18135</v>
      </c>
      <c r="AS967" t="s">
        <v>18136</v>
      </c>
      <c r="AT967" t="s">
        <v>16784</v>
      </c>
      <c r="AU967">
        <v>2017</v>
      </c>
      <c r="AV967">
        <v>8</v>
      </c>
      <c r="AW967">
        <v>6</v>
      </c>
      <c r="AX967" t="s">
        <v>74</v>
      </c>
      <c r="AY967" t="s">
        <v>74</v>
      </c>
      <c r="AZ967" t="s">
        <v>74</v>
      </c>
      <c r="BA967" t="s">
        <v>74</v>
      </c>
      <c r="BB967">
        <v>1431</v>
      </c>
      <c r="BC967">
        <v>1445</v>
      </c>
      <c r="BD967" t="s">
        <v>74</v>
      </c>
      <c r="BE967" t="s">
        <v>18705</v>
      </c>
      <c r="BF967" t="str">
        <f>HYPERLINK("http://dx.doi.org/10.1016/j.gsf.2017.01.009","http://dx.doi.org/10.1016/j.gsf.2017.01.009")</f>
        <v>http://dx.doi.org/10.1016/j.gsf.2017.01.009</v>
      </c>
      <c r="BG967" t="s">
        <v>74</v>
      </c>
      <c r="BH967" t="s">
        <v>74</v>
      </c>
      <c r="BI967">
        <v>15</v>
      </c>
      <c r="BJ967" t="s">
        <v>280</v>
      </c>
      <c r="BK967" t="s">
        <v>101</v>
      </c>
      <c r="BL967" t="s">
        <v>281</v>
      </c>
      <c r="BM967" t="s">
        <v>18138</v>
      </c>
      <c r="BN967" t="s">
        <v>74</v>
      </c>
      <c r="BO967" t="s">
        <v>681</v>
      </c>
      <c r="BP967" t="s">
        <v>74</v>
      </c>
      <c r="BQ967" t="s">
        <v>74</v>
      </c>
      <c r="BR967" t="s">
        <v>105</v>
      </c>
      <c r="BS967" t="s">
        <v>18706</v>
      </c>
      <c r="BT967" t="str">
        <f>HYPERLINK("https%3A%2F%2Fwww.webofscience.com%2Fwos%2Fwoscc%2Ffull-record%2FWOS:000413237600017","View Full Record in Web of Science")</f>
        <v>View Full Record in Web of Science</v>
      </c>
    </row>
    <row r="968" spans="1:72" x14ac:dyDescent="0.15">
      <c r="A968" t="s">
        <v>72</v>
      </c>
      <c r="B968" t="s">
        <v>18707</v>
      </c>
      <c r="C968" t="s">
        <v>74</v>
      </c>
      <c r="D968" t="s">
        <v>74</v>
      </c>
      <c r="E968" t="s">
        <v>74</v>
      </c>
      <c r="F968" t="s">
        <v>18708</v>
      </c>
      <c r="G968" t="s">
        <v>74</v>
      </c>
      <c r="H968" t="s">
        <v>74</v>
      </c>
      <c r="I968" t="s">
        <v>18709</v>
      </c>
      <c r="J968" t="s">
        <v>8681</v>
      </c>
      <c r="K968" t="s">
        <v>74</v>
      </c>
      <c r="L968" t="s">
        <v>74</v>
      </c>
      <c r="M968" t="s">
        <v>78</v>
      </c>
      <c r="N968" t="s">
        <v>289</v>
      </c>
      <c r="O968" t="s">
        <v>74</v>
      </c>
      <c r="P968" t="s">
        <v>74</v>
      </c>
      <c r="Q968" t="s">
        <v>74</v>
      </c>
      <c r="R968" t="s">
        <v>74</v>
      </c>
      <c r="S968" t="s">
        <v>74</v>
      </c>
      <c r="T968" t="s">
        <v>18710</v>
      </c>
      <c r="U968" t="s">
        <v>18711</v>
      </c>
      <c r="V968" t="s">
        <v>18712</v>
      </c>
      <c r="W968" t="s">
        <v>18713</v>
      </c>
      <c r="X968" t="s">
        <v>18714</v>
      </c>
      <c r="Y968" t="s">
        <v>18715</v>
      </c>
      <c r="Z968" t="s">
        <v>18716</v>
      </c>
      <c r="AA968" t="s">
        <v>18717</v>
      </c>
      <c r="AB968" t="s">
        <v>18718</v>
      </c>
      <c r="AC968" t="s">
        <v>18719</v>
      </c>
      <c r="AD968" t="s">
        <v>18720</v>
      </c>
      <c r="AE968" t="s">
        <v>18721</v>
      </c>
      <c r="AF968" t="s">
        <v>74</v>
      </c>
      <c r="AG968">
        <v>81</v>
      </c>
      <c r="AH968">
        <v>20</v>
      </c>
      <c r="AI968">
        <v>20</v>
      </c>
      <c r="AJ968">
        <v>2</v>
      </c>
      <c r="AK968">
        <v>48</v>
      </c>
      <c r="AL968" t="s">
        <v>8694</v>
      </c>
      <c r="AM968" t="s">
        <v>1140</v>
      </c>
      <c r="AN968" t="s">
        <v>8695</v>
      </c>
      <c r="AO968" t="s">
        <v>8696</v>
      </c>
      <c r="AP968" t="s">
        <v>8697</v>
      </c>
      <c r="AQ968" t="s">
        <v>74</v>
      </c>
      <c r="AR968" t="s">
        <v>8698</v>
      </c>
      <c r="AS968" t="s">
        <v>8699</v>
      </c>
      <c r="AT968" t="s">
        <v>17419</v>
      </c>
      <c r="AU968">
        <v>2017</v>
      </c>
      <c r="AV968">
        <v>74</v>
      </c>
      <c r="AW968">
        <v>9</v>
      </c>
      <c r="AX968" t="s">
        <v>74</v>
      </c>
      <c r="AY968" t="s">
        <v>74</v>
      </c>
      <c r="AZ968" t="s">
        <v>74</v>
      </c>
      <c r="BA968" t="s">
        <v>74</v>
      </c>
      <c r="BB968">
        <v>2298</v>
      </c>
      <c r="BC968">
        <v>2308</v>
      </c>
      <c r="BD968" t="s">
        <v>74</v>
      </c>
      <c r="BE968" t="s">
        <v>18722</v>
      </c>
      <c r="BF968" t="str">
        <f>HYPERLINK("http://dx.doi.org/10.1093/icesjms/fsx078","http://dx.doi.org/10.1093/icesjms/fsx078")</f>
        <v>http://dx.doi.org/10.1093/icesjms/fsx078</v>
      </c>
      <c r="BG968" t="s">
        <v>74</v>
      </c>
      <c r="BH968" t="s">
        <v>74</v>
      </c>
      <c r="BI968">
        <v>11</v>
      </c>
      <c r="BJ968" t="s">
        <v>5119</v>
      </c>
      <c r="BK968" t="s">
        <v>101</v>
      </c>
      <c r="BL968" t="s">
        <v>5119</v>
      </c>
      <c r="BM968" t="s">
        <v>18723</v>
      </c>
      <c r="BN968" t="s">
        <v>74</v>
      </c>
      <c r="BO968" t="s">
        <v>1150</v>
      </c>
      <c r="BP968" t="s">
        <v>74</v>
      </c>
      <c r="BQ968" t="s">
        <v>74</v>
      </c>
      <c r="BR968" t="s">
        <v>105</v>
      </c>
      <c r="BS968" t="s">
        <v>18724</v>
      </c>
      <c r="BT968" t="str">
        <f>HYPERLINK("https%3A%2F%2Fwww.webofscience.com%2Fwos%2Fwoscc%2Ffull-record%2FWOS:000416608700002","View Full Record in Web of Science")</f>
        <v>View Full Record in Web of Science</v>
      </c>
    </row>
    <row r="969" spans="1:72" x14ac:dyDescent="0.15">
      <c r="A969" t="s">
        <v>72</v>
      </c>
      <c r="B969" t="s">
        <v>18725</v>
      </c>
      <c r="C969" t="s">
        <v>74</v>
      </c>
      <c r="D969" t="s">
        <v>74</v>
      </c>
      <c r="E969" t="s">
        <v>74</v>
      </c>
      <c r="F969" t="s">
        <v>18726</v>
      </c>
      <c r="G969" t="s">
        <v>74</v>
      </c>
      <c r="H969" t="s">
        <v>74</v>
      </c>
      <c r="I969" t="s">
        <v>18727</v>
      </c>
      <c r="J969" t="s">
        <v>9485</v>
      </c>
      <c r="K969" t="s">
        <v>74</v>
      </c>
      <c r="L969" t="s">
        <v>74</v>
      </c>
      <c r="M969" t="s">
        <v>78</v>
      </c>
      <c r="N969" t="s">
        <v>79</v>
      </c>
      <c r="O969" t="s">
        <v>74</v>
      </c>
      <c r="P969" t="s">
        <v>74</v>
      </c>
      <c r="Q969" t="s">
        <v>74</v>
      </c>
      <c r="R969" t="s">
        <v>74</v>
      </c>
      <c r="S969" t="s">
        <v>74</v>
      </c>
      <c r="T969" t="s">
        <v>18728</v>
      </c>
      <c r="U969" t="s">
        <v>18729</v>
      </c>
      <c r="V969" t="s">
        <v>18730</v>
      </c>
      <c r="W969" t="s">
        <v>18731</v>
      </c>
      <c r="X969" t="s">
        <v>18732</v>
      </c>
      <c r="Y969" t="s">
        <v>18733</v>
      </c>
      <c r="Z969" t="s">
        <v>18734</v>
      </c>
      <c r="AA969" t="s">
        <v>74</v>
      </c>
      <c r="AB969" t="s">
        <v>18735</v>
      </c>
      <c r="AC969" t="s">
        <v>74</v>
      </c>
      <c r="AD969" t="s">
        <v>74</v>
      </c>
      <c r="AE969" t="s">
        <v>74</v>
      </c>
      <c r="AF969" t="s">
        <v>74</v>
      </c>
      <c r="AG969">
        <v>54</v>
      </c>
      <c r="AH969">
        <v>13</v>
      </c>
      <c r="AI969">
        <v>14</v>
      </c>
      <c r="AJ969">
        <v>1</v>
      </c>
      <c r="AK969">
        <v>55</v>
      </c>
      <c r="AL969" t="s">
        <v>4663</v>
      </c>
      <c r="AM969" t="s">
        <v>4664</v>
      </c>
      <c r="AN969" t="s">
        <v>4665</v>
      </c>
      <c r="AO969" t="s">
        <v>9498</v>
      </c>
      <c r="AP969" t="s">
        <v>9499</v>
      </c>
      <c r="AQ969" t="s">
        <v>74</v>
      </c>
      <c r="AR969" t="s">
        <v>9500</v>
      </c>
      <c r="AS969" t="s">
        <v>9501</v>
      </c>
      <c r="AT969" t="s">
        <v>16784</v>
      </c>
      <c r="AU969">
        <v>2017</v>
      </c>
      <c r="AV969">
        <v>55</v>
      </c>
      <c r="AW969">
        <v>11</v>
      </c>
      <c r="AX969" t="s">
        <v>74</v>
      </c>
      <c r="AY969" t="s">
        <v>74</v>
      </c>
      <c r="AZ969" t="s">
        <v>74</v>
      </c>
      <c r="BA969" t="s">
        <v>74</v>
      </c>
      <c r="BB969">
        <v>6099</v>
      </c>
      <c r="BC969">
        <v>6110</v>
      </c>
      <c r="BD969" t="s">
        <v>74</v>
      </c>
      <c r="BE969" t="s">
        <v>18736</v>
      </c>
      <c r="BF969" t="str">
        <f>HYPERLINK("http://dx.doi.org/10.1109/TGRS.2017.2720618","http://dx.doi.org/10.1109/TGRS.2017.2720618")</f>
        <v>http://dx.doi.org/10.1109/TGRS.2017.2720618</v>
      </c>
      <c r="BG969" t="s">
        <v>74</v>
      </c>
      <c r="BH969" t="s">
        <v>74</v>
      </c>
      <c r="BI969">
        <v>12</v>
      </c>
      <c r="BJ969" t="s">
        <v>9503</v>
      </c>
      <c r="BK969" t="s">
        <v>101</v>
      </c>
      <c r="BL969" t="s">
        <v>9504</v>
      </c>
      <c r="BM969" t="s">
        <v>18737</v>
      </c>
      <c r="BN969" t="s">
        <v>74</v>
      </c>
      <c r="BO969" t="s">
        <v>74</v>
      </c>
      <c r="BP969" t="s">
        <v>74</v>
      </c>
      <c r="BQ969" t="s">
        <v>74</v>
      </c>
      <c r="BR969" t="s">
        <v>105</v>
      </c>
      <c r="BS969" t="s">
        <v>18738</v>
      </c>
      <c r="BT969" t="str">
        <f>HYPERLINK("https%3A%2F%2Fwww.webofscience.com%2Fwos%2Fwoscc%2Ffull-record%2FWOS:000413656900006","View Full Record in Web of Science")</f>
        <v>View Full Record in Web of Science</v>
      </c>
    </row>
    <row r="970" spans="1:72" x14ac:dyDescent="0.15">
      <c r="A970" t="s">
        <v>72</v>
      </c>
      <c r="B970" t="s">
        <v>18739</v>
      </c>
      <c r="C970" t="s">
        <v>74</v>
      </c>
      <c r="D970" t="s">
        <v>74</v>
      </c>
      <c r="E970" t="s">
        <v>74</v>
      </c>
      <c r="F970" t="s">
        <v>18740</v>
      </c>
      <c r="G970" t="s">
        <v>74</v>
      </c>
      <c r="H970" t="s">
        <v>74</v>
      </c>
      <c r="I970" t="s">
        <v>18741</v>
      </c>
      <c r="J970" t="s">
        <v>18742</v>
      </c>
      <c r="K970" t="s">
        <v>74</v>
      </c>
      <c r="L970" t="s">
        <v>74</v>
      </c>
      <c r="M970" t="s">
        <v>78</v>
      </c>
      <c r="N970" t="s">
        <v>79</v>
      </c>
      <c r="O970" t="s">
        <v>74</v>
      </c>
      <c r="P970" t="s">
        <v>74</v>
      </c>
      <c r="Q970" t="s">
        <v>74</v>
      </c>
      <c r="R970" t="s">
        <v>74</v>
      </c>
      <c r="S970" t="s">
        <v>74</v>
      </c>
      <c r="T970" t="s">
        <v>18743</v>
      </c>
      <c r="U970" t="s">
        <v>18744</v>
      </c>
      <c r="V970" t="s">
        <v>18745</v>
      </c>
      <c r="W970" t="s">
        <v>18746</v>
      </c>
      <c r="X970" t="s">
        <v>18747</v>
      </c>
      <c r="Y970" t="s">
        <v>18748</v>
      </c>
      <c r="Z970" t="s">
        <v>18749</v>
      </c>
      <c r="AA970" t="s">
        <v>18750</v>
      </c>
      <c r="AB970" t="s">
        <v>18751</v>
      </c>
      <c r="AC970" t="s">
        <v>18752</v>
      </c>
      <c r="AD970" t="s">
        <v>18753</v>
      </c>
      <c r="AE970" t="s">
        <v>18754</v>
      </c>
      <c r="AF970" t="s">
        <v>74</v>
      </c>
      <c r="AG970">
        <v>39</v>
      </c>
      <c r="AH970">
        <v>2</v>
      </c>
      <c r="AI970">
        <v>2</v>
      </c>
      <c r="AJ970">
        <v>2</v>
      </c>
      <c r="AK970">
        <v>51</v>
      </c>
      <c r="AL970" t="s">
        <v>8752</v>
      </c>
      <c r="AM970" t="s">
        <v>1140</v>
      </c>
      <c r="AN970" t="s">
        <v>8753</v>
      </c>
      <c r="AO970" t="s">
        <v>18755</v>
      </c>
      <c r="AP970" t="s">
        <v>18756</v>
      </c>
      <c r="AQ970" t="s">
        <v>74</v>
      </c>
      <c r="AR970" t="s">
        <v>18757</v>
      </c>
      <c r="AS970" t="s">
        <v>18758</v>
      </c>
      <c r="AT970" t="s">
        <v>16784</v>
      </c>
      <c r="AU970">
        <v>2017</v>
      </c>
      <c r="AV970">
        <v>125</v>
      </c>
      <c r="AW970" t="s">
        <v>74</v>
      </c>
      <c r="AX970" t="s">
        <v>74</v>
      </c>
      <c r="AY970" t="s">
        <v>74</v>
      </c>
      <c r="AZ970" t="s">
        <v>74</v>
      </c>
      <c r="BA970" t="s">
        <v>74</v>
      </c>
      <c r="BB970">
        <v>45</v>
      </c>
      <c r="BC970">
        <v>53</v>
      </c>
      <c r="BD970" t="s">
        <v>74</v>
      </c>
      <c r="BE970" t="s">
        <v>18759</v>
      </c>
      <c r="BF970" t="str">
        <f>HYPERLINK("http://dx.doi.org/10.1016/j.ibiod.2017.08.008","http://dx.doi.org/10.1016/j.ibiod.2017.08.008")</f>
        <v>http://dx.doi.org/10.1016/j.ibiod.2017.08.008</v>
      </c>
      <c r="BG970" t="s">
        <v>74</v>
      </c>
      <c r="BH970" t="s">
        <v>74</v>
      </c>
      <c r="BI970">
        <v>9</v>
      </c>
      <c r="BJ970" t="s">
        <v>18760</v>
      </c>
      <c r="BK970" t="s">
        <v>101</v>
      </c>
      <c r="BL970" t="s">
        <v>18761</v>
      </c>
      <c r="BM970" t="s">
        <v>18762</v>
      </c>
      <c r="BN970" t="s">
        <v>74</v>
      </c>
      <c r="BO970" t="s">
        <v>74</v>
      </c>
      <c r="BP970" t="s">
        <v>74</v>
      </c>
      <c r="BQ970" t="s">
        <v>74</v>
      </c>
      <c r="BR970" t="s">
        <v>105</v>
      </c>
      <c r="BS970" t="s">
        <v>18763</v>
      </c>
      <c r="BT970" t="str">
        <f>HYPERLINK("https%3A%2F%2Fwww.webofscience.com%2Fwos%2Fwoscc%2Ffull-record%2FWOS:000414878300006","View Full Record in Web of Science")</f>
        <v>View Full Record in Web of Science</v>
      </c>
    </row>
    <row r="971" spans="1:72" x14ac:dyDescent="0.15">
      <c r="A971" t="s">
        <v>72</v>
      </c>
      <c r="B971" t="s">
        <v>18764</v>
      </c>
      <c r="C971" t="s">
        <v>74</v>
      </c>
      <c r="D971" t="s">
        <v>74</v>
      </c>
      <c r="E971" t="s">
        <v>74</v>
      </c>
      <c r="F971" t="s">
        <v>18765</v>
      </c>
      <c r="G971" t="s">
        <v>74</v>
      </c>
      <c r="H971" t="s">
        <v>74</v>
      </c>
      <c r="I971" t="s">
        <v>18766</v>
      </c>
      <c r="J971" t="s">
        <v>18742</v>
      </c>
      <c r="K971" t="s">
        <v>74</v>
      </c>
      <c r="L971" t="s">
        <v>74</v>
      </c>
      <c r="M971" t="s">
        <v>78</v>
      </c>
      <c r="N971" t="s">
        <v>79</v>
      </c>
      <c r="O971" t="s">
        <v>74</v>
      </c>
      <c r="P971" t="s">
        <v>74</v>
      </c>
      <c r="Q971" t="s">
        <v>74</v>
      </c>
      <c r="R971" t="s">
        <v>74</v>
      </c>
      <c r="S971" t="s">
        <v>74</v>
      </c>
      <c r="T971" t="s">
        <v>18767</v>
      </c>
      <c r="U971" t="s">
        <v>18768</v>
      </c>
      <c r="V971" t="s">
        <v>18769</v>
      </c>
      <c r="W971" t="s">
        <v>18770</v>
      </c>
      <c r="X971" t="s">
        <v>18771</v>
      </c>
      <c r="Y971" t="s">
        <v>18772</v>
      </c>
      <c r="Z971" t="s">
        <v>18773</v>
      </c>
      <c r="AA971" t="s">
        <v>18774</v>
      </c>
      <c r="AB971" t="s">
        <v>18775</v>
      </c>
      <c r="AC971" t="s">
        <v>74</v>
      </c>
      <c r="AD971" t="s">
        <v>74</v>
      </c>
      <c r="AE971" t="s">
        <v>74</v>
      </c>
      <c r="AF971" t="s">
        <v>74</v>
      </c>
      <c r="AG971">
        <v>72</v>
      </c>
      <c r="AH971">
        <v>4</v>
      </c>
      <c r="AI971">
        <v>4</v>
      </c>
      <c r="AJ971">
        <v>0</v>
      </c>
      <c r="AK971">
        <v>18</v>
      </c>
      <c r="AL971" t="s">
        <v>8752</v>
      </c>
      <c r="AM971" t="s">
        <v>1140</v>
      </c>
      <c r="AN971" t="s">
        <v>8753</v>
      </c>
      <c r="AO971" t="s">
        <v>18755</v>
      </c>
      <c r="AP971" t="s">
        <v>18756</v>
      </c>
      <c r="AQ971" t="s">
        <v>74</v>
      </c>
      <c r="AR971" t="s">
        <v>18757</v>
      </c>
      <c r="AS971" t="s">
        <v>18758</v>
      </c>
      <c r="AT971" t="s">
        <v>16784</v>
      </c>
      <c r="AU971">
        <v>2017</v>
      </c>
      <c r="AV971">
        <v>125</v>
      </c>
      <c r="AW971" t="s">
        <v>74</v>
      </c>
      <c r="AX971" t="s">
        <v>74</v>
      </c>
      <c r="AY971" t="s">
        <v>74</v>
      </c>
      <c r="AZ971" t="s">
        <v>74</v>
      </c>
      <c r="BA971" t="s">
        <v>74</v>
      </c>
      <c r="BB971">
        <v>189</v>
      </c>
      <c r="BC971">
        <v>199</v>
      </c>
      <c r="BD971" t="s">
        <v>74</v>
      </c>
      <c r="BE971" t="s">
        <v>18776</v>
      </c>
      <c r="BF971" t="str">
        <f>HYPERLINK("http://dx.doi.org/10.1016/j.ibiod.2017.09.013","http://dx.doi.org/10.1016/j.ibiod.2017.09.013")</f>
        <v>http://dx.doi.org/10.1016/j.ibiod.2017.09.013</v>
      </c>
      <c r="BG971" t="s">
        <v>74</v>
      </c>
      <c r="BH971" t="s">
        <v>74</v>
      </c>
      <c r="BI971">
        <v>11</v>
      </c>
      <c r="BJ971" t="s">
        <v>18760</v>
      </c>
      <c r="BK971" t="s">
        <v>101</v>
      </c>
      <c r="BL971" t="s">
        <v>18761</v>
      </c>
      <c r="BM971" t="s">
        <v>18762</v>
      </c>
      <c r="BN971" t="s">
        <v>74</v>
      </c>
      <c r="BO971" t="s">
        <v>389</v>
      </c>
      <c r="BP971" t="s">
        <v>74</v>
      </c>
      <c r="BQ971" t="s">
        <v>74</v>
      </c>
      <c r="BR971" t="s">
        <v>105</v>
      </c>
      <c r="BS971" t="s">
        <v>18777</v>
      </c>
      <c r="BT971" t="str">
        <f>HYPERLINK("https%3A%2F%2Fwww.webofscience.com%2Fwos%2Fwoscc%2Ffull-record%2FWOS:000414878300021","View Full Record in Web of Science")</f>
        <v>View Full Record in Web of Science</v>
      </c>
    </row>
    <row r="972" spans="1:72" x14ac:dyDescent="0.15">
      <c r="A972" t="s">
        <v>72</v>
      </c>
      <c r="B972" t="s">
        <v>18778</v>
      </c>
      <c r="C972" t="s">
        <v>74</v>
      </c>
      <c r="D972" t="s">
        <v>74</v>
      </c>
      <c r="E972" t="s">
        <v>74</v>
      </c>
      <c r="F972" t="s">
        <v>18779</v>
      </c>
      <c r="G972" t="s">
        <v>74</v>
      </c>
      <c r="H972" t="s">
        <v>74</v>
      </c>
      <c r="I972" t="s">
        <v>18780</v>
      </c>
      <c r="J972" t="s">
        <v>8493</v>
      </c>
      <c r="K972" t="s">
        <v>74</v>
      </c>
      <c r="L972" t="s">
        <v>74</v>
      </c>
      <c r="M972" t="s">
        <v>78</v>
      </c>
      <c r="N972" t="s">
        <v>79</v>
      </c>
      <c r="O972" t="s">
        <v>74</v>
      </c>
      <c r="P972" t="s">
        <v>74</v>
      </c>
      <c r="Q972" t="s">
        <v>74</v>
      </c>
      <c r="R972" t="s">
        <v>74</v>
      </c>
      <c r="S972" t="s">
        <v>74</v>
      </c>
      <c r="T972" t="s">
        <v>74</v>
      </c>
      <c r="U972" t="s">
        <v>18781</v>
      </c>
      <c r="V972" t="s">
        <v>18782</v>
      </c>
      <c r="W972" t="s">
        <v>18783</v>
      </c>
      <c r="X972" t="s">
        <v>18784</v>
      </c>
      <c r="Y972" t="s">
        <v>18785</v>
      </c>
      <c r="Z972" t="s">
        <v>18786</v>
      </c>
      <c r="AA972" t="s">
        <v>18787</v>
      </c>
      <c r="AB972" t="s">
        <v>18788</v>
      </c>
      <c r="AC972" t="s">
        <v>18789</v>
      </c>
      <c r="AD972" t="s">
        <v>18790</v>
      </c>
      <c r="AE972" t="s">
        <v>18791</v>
      </c>
      <c r="AF972" t="s">
        <v>74</v>
      </c>
      <c r="AG972">
        <v>69</v>
      </c>
      <c r="AH972">
        <v>79</v>
      </c>
      <c r="AI972">
        <v>84</v>
      </c>
      <c r="AJ972">
        <v>2</v>
      </c>
      <c r="AK972">
        <v>23</v>
      </c>
      <c r="AL972" t="s">
        <v>271</v>
      </c>
      <c r="AM972" t="s">
        <v>272</v>
      </c>
      <c r="AN972" t="s">
        <v>273</v>
      </c>
      <c r="AO972" t="s">
        <v>8504</v>
      </c>
      <c r="AP972" t="s">
        <v>74</v>
      </c>
      <c r="AQ972" t="s">
        <v>74</v>
      </c>
      <c r="AR972" t="s">
        <v>8505</v>
      </c>
      <c r="AS972" t="s">
        <v>8506</v>
      </c>
      <c r="AT972" t="s">
        <v>16784</v>
      </c>
      <c r="AU972">
        <v>2017</v>
      </c>
      <c r="AV972">
        <v>9</v>
      </c>
      <c r="AW972">
        <v>7</v>
      </c>
      <c r="AX972" t="s">
        <v>74</v>
      </c>
      <c r="AY972" t="s">
        <v>74</v>
      </c>
      <c r="AZ972" t="s">
        <v>74</v>
      </c>
      <c r="BA972" t="s">
        <v>74</v>
      </c>
      <c r="BB972">
        <v>2583</v>
      </c>
      <c r="BC972">
        <v>2600</v>
      </c>
      <c r="BD972" t="s">
        <v>74</v>
      </c>
      <c r="BE972" t="s">
        <v>18792</v>
      </c>
      <c r="BF972" t="str">
        <f>HYPERLINK("http://dx.doi.org/10.1002/2017MS000988","http://dx.doi.org/10.1002/2017MS000988")</f>
        <v>http://dx.doi.org/10.1002/2017MS000988</v>
      </c>
      <c r="BG972" t="s">
        <v>74</v>
      </c>
      <c r="BH972" t="s">
        <v>74</v>
      </c>
      <c r="BI972">
        <v>18</v>
      </c>
      <c r="BJ972" t="s">
        <v>430</v>
      </c>
      <c r="BK972" t="s">
        <v>101</v>
      </c>
      <c r="BL972" t="s">
        <v>430</v>
      </c>
      <c r="BM972" t="s">
        <v>18793</v>
      </c>
      <c r="BN972" t="s">
        <v>74</v>
      </c>
      <c r="BO972" t="s">
        <v>681</v>
      </c>
      <c r="BP972" t="s">
        <v>74</v>
      </c>
      <c r="BQ972" t="s">
        <v>74</v>
      </c>
      <c r="BR972" t="s">
        <v>105</v>
      </c>
      <c r="BS972" t="s">
        <v>18794</v>
      </c>
      <c r="BT972" t="str">
        <f>HYPERLINK("https%3A%2F%2Fwww.webofscience.com%2Fwos%2Fwoscc%2Ffull-record%2FWOS:000422715200008","View Full Record in Web of Science")</f>
        <v>View Full Record in Web of Science</v>
      </c>
    </row>
    <row r="973" spans="1:72" x14ac:dyDescent="0.15">
      <c r="A973" t="s">
        <v>72</v>
      </c>
      <c r="B973" t="s">
        <v>18795</v>
      </c>
      <c r="C973" t="s">
        <v>74</v>
      </c>
      <c r="D973" t="s">
        <v>74</v>
      </c>
      <c r="E973" t="s">
        <v>74</v>
      </c>
      <c r="F973" t="s">
        <v>18796</v>
      </c>
      <c r="G973" t="s">
        <v>74</v>
      </c>
      <c r="H973" t="s">
        <v>74</v>
      </c>
      <c r="I973" t="s">
        <v>18797</v>
      </c>
      <c r="J973" t="s">
        <v>18798</v>
      </c>
      <c r="K973" t="s">
        <v>74</v>
      </c>
      <c r="L973" t="s">
        <v>74</v>
      </c>
      <c r="M973" t="s">
        <v>78</v>
      </c>
      <c r="N973" t="s">
        <v>79</v>
      </c>
      <c r="O973" t="s">
        <v>74</v>
      </c>
      <c r="P973" t="s">
        <v>74</v>
      </c>
      <c r="Q973" t="s">
        <v>74</v>
      </c>
      <c r="R973" t="s">
        <v>74</v>
      </c>
      <c r="S973" t="s">
        <v>74</v>
      </c>
      <c r="T973" t="s">
        <v>18799</v>
      </c>
      <c r="U973" t="s">
        <v>18800</v>
      </c>
      <c r="V973" t="s">
        <v>18801</v>
      </c>
      <c r="W973" t="s">
        <v>18802</v>
      </c>
      <c r="X973" t="s">
        <v>18803</v>
      </c>
      <c r="Y973" t="s">
        <v>18804</v>
      </c>
      <c r="Z973" t="s">
        <v>18805</v>
      </c>
      <c r="AA973" t="s">
        <v>18806</v>
      </c>
      <c r="AB973" t="s">
        <v>18807</v>
      </c>
      <c r="AC973" t="s">
        <v>18808</v>
      </c>
      <c r="AD973" t="s">
        <v>18809</v>
      </c>
      <c r="AE973" t="s">
        <v>18810</v>
      </c>
      <c r="AF973" t="s">
        <v>74</v>
      </c>
      <c r="AG973">
        <v>32</v>
      </c>
      <c r="AH973">
        <v>6</v>
      </c>
      <c r="AI973">
        <v>6</v>
      </c>
      <c r="AJ973">
        <v>1</v>
      </c>
      <c r="AK973">
        <v>4</v>
      </c>
      <c r="AL973" t="s">
        <v>1139</v>
      </c>
      <c r="AM973" t="s">
        <v>1140</v>
      </c>
      <c r="AN973" t="s">
        <v>1141</v>
      </c>
      <c r="AO973" t="s">
        <v>18811</v>
      </c>
      <c r="AP973" t="s">
        <v>18812</v>
      </c>
      <c r="AQ973" t="s">
        <v>74</v>
      </c>
      <c r="AR973" t="s">
        <v>18813</v>
      </c>
      <c r="AS973" t="s">
        <v>18814</v>
      </c>
      <c r="AT973" t="s">
        <v>16784</v>
      </c>
      <c r="AU973">
        <v>2017</v>
      </c>
      <c r="AV973">
        <v>164</v>
      </c>
      <c r="AW973" t="s">
        <v>74</v>
      </c>
      <c r="AX973" t="s">
        <v>74</v>
      </c>
      <c r="AY973" t="s">
        <v>74</v>
      </c>
      <c r="AZ973" t="s">
        <v>74</v>
      </c>
      <c r="BA973" t="s">
        <v>74</v>
      </c>
      <c r="BB973">
        <v>324</v>
      </c>
      <c r="BC973">
        <v>331</v>
      </c>
      <c r="BD973" t="s">
        <v>74</v>
      </c>
      <c r="BE973" t="s">
        <v>18815</v>
      </c>
      <c r="BF973" t="str">
        <f>HYPERLINK("http://dx.doi.org/10.1016/j.jastp.2017.10.006","http://dx.doi.org/10.1016/j.jastp.2017.10.006")</f>
        <v>http://dx.doi.org/10.1016/j.jastp.2017.10.006</v>
      </c>
      <c r="BG973" t="s">
        <v>74</v>
      </c>
      <c r="BH973" t="s">
        <v>74</v>
      </c>
      <c r="BI973">
        <v>8</v>
      </c>
      <c r="BJ973" t="s">
        <v>13350</v>
      </c>
      <c r="BK973" t="s">
        <v>101</v>
      </c>
      <c r="BL973" t="s">
        <v>13350</v>
      </c>
      <c r="BM973" t="s">
        <v>18816</v>
      </c>
      <c r="BN973" t="s">
        <v>74</v>
      </c>
      <c r="BO973" t="s">
        <v>74</v>
      </c>
      <c r="BP973" t="s">
        <v>74</v>
      </c>
      <c r="BQ973" t="s">
        <v>74</v>
      </c>
      <c r="BR973" t="s">
        <v>105</v>
      </c>
      <c r="BS973" t="s">
        <v>18817</v>
      </c>
      <c r="BT973" t="str">
        <f>HYPERLINK("https%3A%2F%2Fwww.webofscience.com%2Fwos%2Fwoscc%2Ffull-record%2FWOS:000417671000034","View Full Record in Web of Science")</f>
        <v>View Full Record in Web of Science</v>
      </c>
    </row>
    <row r="974" spans="1:72" x14ac:dyDescent="0.15">
      <c r="A974" t="s">
        <v>72</v>
      </c>
      <c r="B974" t="s">
        <v>18818</v>
      </c>
      <c r="C974" t="s">
        <v>74</v>
      </c>
      <c r="D974" t="s">
        <v>74</v>
      </c>
      <c r="E974" t="s">
        <v>74</v>
      </c>
      <c r="F974" t="s">
        <v>18819</v>
      </c>
      <c r="G974" t="s">
        <v>74</v>
      </c>
      <c r="H974" t="s">
        <v>74</v>
      </c>
      <c r="I974" t="s">
        <v>18820</v>
      </c>
      <c r="J974" t="s">
        <v>9802</v>
      </c>
      <c r="K974" t="s">
        <v>74</v>
      </c>
      <c r="L974" t="s">
        <v>74</v>
      </c>
      <c r="M974" t="s">
        <v>78</v>
      </c>
      <c r="N974" t="s">
        <v>79</v>
      </c>
      <c r="O974" t="s">
        <v>74</v>
      </c>
      <c r="P974" t="s">
        <v>74</v>
      </c>
      <c r="Q974" t="s">
        <v>74</v>
      </c>
      <c r="R974" t="s">
        <v>74</v>
      </c>
      <c r="S974" t="s">
        <v>74</v>
      </c>
      <c r="T974" t="s">
        <v>18821</v>
      </c>
      <c r="U974" t="s">
        <v>18822</v>
      </c>
      <c r="V974" t="s">
        <v>18823</v>
      </c>
      <c r="W974" t="s">
        <v>18824</v>
      </c>
      <c r="X974" t="s">
        <v>18825</v>
      </c>
      <c r="Y974" t="s">
        <v>18826</v>
      </c>
      <c r="Z974" t="s">
        <v>18827</v>
      </c>
      <c r="AA974" t="s">
        <v>18828</v>
      </c>
      <c r="AB974" t="s">
        <v>18829</v>
      </c>
      <c r="AC974" t="s">
        <v>18830</v>
      </c>
      <c r="AD974" t="s">
        <v>18831</v>
      </c>
      <c r="AE974" t="s">
        <v>18832</v>
      </c>
      <c r="AF974" t="s">
        <v>74</v>
      </c>
      <c r="AG974">
        <v>120</v>
      </c>
      <c r="AH974">
        <v>21</v>
      </c>
      <c r="AI974">
        <v>24</v>
      </c>
      <c r="AJ974">
        <v>0</v>
      </c>
      <c r="AK974">
        <v>40</v>
      </c>
      <c r="AL974" t="s">
        <v>807</v>
      </c>
      <c r="AM974" t="s">
        <v>808</v>
      </c>
      <c r="AN974" t="s">
        <v>809</v>
      </c>
      <c r="AO974" t="s">
        <v>9814</v>
      </c>
      <c r="AP974" t="s">
        <v>9815</v>
      </c>
      <c r="AQ974" t="s">
        <v>74</v>
      </c>
      <c r="AR974" t="s">
        <v>9816</v>
      </c>
      <c r="AS974" t="s">
        <v>9817</v>
      </c>
      <c r="AT974" t="s">
        <v>16784</v>
      </c>
      <c r="AU974">
        <v>2017</v>
      </c>
      <c r="AV974">
        <v>496</v>
      </c>
      <c r="AW974" t="s">
        <v>74</v>
      </c>
      <c r="AX974" t="s">
        <v>74</v>
      </c>
      <c r="AY974" t="s">
        <v>74</v>
      </c>
      <c r="AZ974" t="s">
        <v>74</v>
      </c>
      <c r="BA974" t="s">
        <v>74</v>
      </c>
      <c r="BB974">
        <v>56</v>
      </c>
      <c r="BC974">
        <v>73</v>
      </c>
      <c r="BD974" t="s">
        <v>74</v>
      </c>
      <c r="BE974" t="s">
        <v>18833</v>
      </c>
      <c r="BF974" t="str">
        <f>HYPERLINK("http://dx.doi.org/10.1016/j.jembe.2017.07.009","http://dx.doi.org/10.1016/j.jembe.2017.07.009")</f>
        <v>http://dx.doi.org/10.1016/j.jembe.2017.07.009</v>
      </c>
      <c r="BG974" t="s">
        <v>74</v>
      </c>
      <c r="BH974" t="s">
        <v>74</v>
      </c>
      <c r="BI974">
        <v>18</v>
      </c>
      <c r="BJ974" t="s">
        <v>5168</v>
      </c>
      <c r="BK974" t="s">
        <v>101</v>
      </c>
      <c r="BL974" t="s">
        <v>610</v>
      </c>
      <c r="BM974" t="s">
        <v>18834</v>
      </c>
      <c r="BN974" t="s">
        <v>74</v>
      </c>
      <c r="BO974" t="s">
        <v>74</v>
      </c>
      <c r="BP974" t="s">
        <v>74</v>
      </c>
      <c r="BQ974" t="s">
        <v>74</v>
      </c>
      <c r="BR974" t="s">
        <v>105</v>
      </c>
      <c r="BS974" t="s">
        <v>18835</v>
      </c>
      <c r="BT974" t="str">
        <f>HYPERLINK("https%3A%2F%2Fwww.webofscience.com%2Fwos%2Fwoscc%2Ffull-record%2FWOS:000412252700008","View Full Record in Web of Science")</f>
        <v>View Full Record in Web of Science</v>
      </c>
    </row>
    <row r="975" spans="1:72" x14ac:dyDescent="0.15">
      <c r="A975" t="s">
        <v>72</v>
      </c>
      <c r="B975" t="s">
        <v>18836</v>
      </c>
      <c r="C975" t="s">
        <v>74</v>
      </c>
      <c r="D975" t="s">
        <v>74</v>
      </c>
      <c r="E975" t="s">
        <v>74</v>
      </c>
      <c r="F975" t="s">
        <v>18837</v>
      </c>
      <c r="G975" t="s">
        <v>74</v>
      </c>
      <c r="H975" t="s">
        <v>74</v>
      </c>
      <c r="I975" t="s">
        <v>18838</v>
      </c>
      <c r="J975" t="s">
        <v>12695</v>
      </c>
      <c r="K975" t="s">
        <v>74</v>
      </c>
      <c r="L975" t="s">
        <v>74</v>
      </c>
      <c r="M975" t="s">
        <v>78</v>
      </c>
      <c r="N975" t="s">
        <v>79</v>
      </c>
      <c r="O975" t="s">
        <v>74</v>
      </c>
      <c r="P975" t="s">
        <v>74</v>
      </c>
      <c r="Q975" t="s">
        <v>74</v>
      </c>
      <c r="R975" t="s">
        <v>74</v>
      </c>
      <c r="S975" t="s">
        <v>74</v>
      </c>
      <c r="T975" t="s">
        <v>18839</v>
      </c>
      <c r="U975" t="s">
        <v>18840</v>
      </c>
      <c r="V975" t="s">
        <v>18841</v>
      </c>
      <c r="W975" t="s">
        <v>18842</v>
      </c>
      <c r="X975" t="s">
        <v>18843</v>
      </c>
      <c r="Y975" t="s">
        <v>18844</v>
      </c>
      <c r="Z975" t="s">
        <v>18845</v>
      </c>
      <c r="AA975" t="s">
        <v>18846</v>
      </c>
      <c r="AB975" t="s">
        <v>18847</v>
      </c>
      <c r="AC975" t="s">
        <v>18848</v>
      </c>
      <c r="AD975" t="s">
        <v>18849</v>
      </c>
      <c r="AE975" t="s">
        <v>18850</v>
      </c>
      <c r="AF975" t="s">
        <v>74</v>
      </c>
      <c r="AG975">
        <v>51</v>
      </c>
      <c r="AH975">
        <v>7</v>
      </c>
      <c r="AI975">
        <v>8</v>
      </c>
      <c r="AJ975">
        <v>0</v>
      </c>
      <c r="AK975">
        <v>11</v>
      </c>
      <c r="AL975" t="s">
        <v>271</v>
      </c>
      <c r="AM975" t="s">
        <v>272</v>
      </c>
      <c r="AN975" t="s">
        <v>273</v>
      </c>
      <c r="AO975" t="s">
        <v>12708</v>
      </c>
      <c r="AP975" t="s">
        <v>12709</v>
      </c>
      <c r="AQ975" t="s">
        <v>74</v>
      </c>
      <c r="AR975" t="s">
        <v>12710</v>
      </c>
      <c r="AS975" t="s">
        <v>12711</v>
      </c>
      <c r="AT975" t="s">
        <v>16784</v>
      </c>
      <c r="AU975">
        <v>2017</v>
      </c>
      <c r="AV975">
        <v>122</v>
      </c>
      <c r="AW975">
        <v>11</v>
      </c>
      <c r="AX975" t="s">
        <v>74</v>
      </c>
      <c r="AY975" t="s">
        <v>74</v>
      </c>
      <c r="AZ975" t="s">
        <v>74</v>
      </c>
      <c r="BA975" t="s">
        <v>74</v>
      </c>
      <c r="BB975">
        <v>2269</v>
      </c>
      <c r="BC975">
        <v>2282</v>
      </c>
      <c r="BD975" t="s">
        <v>74</v>
      </c>
      <c r="BE975" t="s">
        <v>18851</v>
      </c>
      <c r="BF975" t="str">
        <f>HYPERLINK("http://dx.doi.org/10.1002/2017JF004373","http://dx.doi.org/10.1002/2017JF004373")</f>
        <v>http://dx.doi.org/10.1002/2017JF004373</v>
      </c>
      <c r="BG975" t="s">
        <v>74</v>
      </c>
      <c r="BH975" t="s">
        <v>74</v>
      </c>
      <c r="BI975">
        <v>14</v>
      </c>
      <c r="BJ975" t="s">
        <v>280</v>
      </c>
      <c r="BK975" t="s">
        <v>101</v>
      </c>
      <c r="BL975" t="s">
        <v>281</v>
      </c>
      <c r="BM975" t="s">
        <v>17010</v>
      </c>
      <c r="BN975" t="s">
        <v>74</v>
      </c>
      <c r="BO975" t="s">
        <v>5571</v>
      </c>
      <c r="BP975" t="s">
        <v>74</v>
      </c>
      <c r="BQ975" t="s">
        <v>74</v>
      </c>
      <c r="BR975" t="s">
        <v>105</v>
      </c>
      <c r="BS975" t="s">
        <v>18852</v>
      </c>
      <c r="BT975" t="str">
        <f>HYPERLINK("https%3A%2F%2Fwww.webofscience.com%2Fwos%2Fwoscc%2Ffull-record%2FWOS:000418087800012","View Full Record in Web of Science")</f>
        <v>View Full Record in Web of Science</v>
      </c>
    </row>
    <row r="976" spans="1:72" x14ac:dyDescent="0.15">
      <c r="A976" t="s">
        <v>72</v>
      </c>
      <c r="B976" t="s">
        <v>18853</v>
      </c>
      <c r="C976" t="s">
        <v>74</v>
      </c>
      <c r="D976" t="s">
        <v>74</v>
      </c>
      <c r="E976" t="s">
        <v>74</v>
      </c>
      <c r="F976" t="s">
        <v>18854</v>
      </c>
      <c r="G976" t="s">
        <v>74</v>
      </c>
      <c r="H976" t="s">
        <v>74</v>
      </c>
      <c r="I976" t="s">
        <v>18855</v>
      </c>
      <c r="J976" t="s">
        <v>8360</v>
      </c>
      <c r="K976" t="s">
        <v>74</v>
      </c>
      <c r="L976" t="s">
        <v>74</v>
      </c>
      <c r="M976" t="s">
        <v>78</v>
      </c>
      <c r="N976" t="s">
        <v>79</v>
      </c>
      <c r="O976" t="s">
        <v>74</v>
      </c>
      <c r="P976" t="s">
        <v>74</v>
      </c>
      <c r="Q976" t="s">
        <v>74</v>
      </c>
      <c r="R976" t="s">
        <v>74</v>
      </c>
      <c r="S976" t="s">
        <v>74</v>
      </c>
      <c r="T976" t="s">
        <v>18856</v>
      </c>
      <c r="U976" t="s">
        <v>18857</v>
      </c>
      <c r="V976" t="s">
        <v>18858</v>
      </c>
      <c r="W976" t="s">
        <v>18859</v>
      </c>
      <c r="X976" t="s">
        <v>18860</v>
      </c>
      <c r="Y976" t="s">
        <v>18861</v>
      </c>
      <c r="Z976" t="s">
        <v>18862</v>
      </c>
      <c r="AA976" t="s">
        <v>18863</v>
      </c>
      <c r="AB976" t="s">
        <v>18864</v>
      </c>
      <c r="AC976" t="s">
        <v>18865</v>
      </c>
      <c r="AD976" t="s">
        <v>18866</v>
      </c>
      <c r="AE976" t="s">
        <v>18867</v>
      </c>
      <c r="AF976" t="s">
        <v>74</v>
      </c>
      <c r="AG976">
        <v>71</v>
      </c>
      <c r="AH976">
        <v>38</v>
      </c>
      <c r="AI976">
        <v>43</v>
      </c>
      <c r="AJ976">
        <v>2</v>
      </c>
      <c r="AK976">
        <v>30</v>
      </c>
      <c r="AL976" t="s">
        <v>271</v>
      </c>
      <c r="AM976" t="s">
        <v>272</v>
      </c>
      <c r="AN976" t="s">
        <v>273</v>
      </c>
      <c r="AO976" t="s">
        <v>8373</v>
      </c>
      <c r="AP976" t="s">
        <v>8374</v>
      </c>
      <c r="AQ976" t="s">
        <v>74</v>
      </c>
      <c r="AR976" t="s">
        <v>8375</v>
      </c>
      <c r="AS976" t="s">
        <v>8376</v>
      </c>
      <c r="AT976" t="s">
        <v>16784</v>
      </c>
      <c r="AU976">
        <v>2017</v>
      </c>
      <c r="AV976">
        <v>122</v>
      </c>
      <c r="AW976">
        <v>11</v>
      </c>
      <c r="AX976" t="s">
        <v>74</v>
      </c>
      <c r="AY976" t="s">
        <v>74</v>
      </c>
      <c r="AZ976" t="s">
        <v>74</v>
      </c>
      <c r="BA976" t="s">
        <v>74</v>
      </c>
      <c r="BB976">
        <v>8661</v>
      </c>
      <c r="BC976">
        <v>8682</v>
      </c>
      <c r="BD976" t="s">
        <v>74</v>
      </c>
      <c r="BE976" t="s">
        <v>18868</v>
      </c>
      <c r="BF976" t="str">
        <f>HYPERLINK("http://dx.doi.org/10.1002/2017JC012923","http://dx.doi.org/10.1002/2017JC012923")</f>
        <v>http://dx.doi.org/10.1002/2017JC012923</v>
      </c>
      <c r="BG976" t="s">
        <v>74</v>
      </c>
      <c r="BH976" t="s">
        <v>74</v>
      </c>
      <c r="BI976">
        <v>22</v>
      </c>
      <c r="BJ976" t="s">
        <v>1907</v>
      </c>
      <c r="BK976" t="s">
        <v>101</v>
      </c>
      <c r="BL976" t="s">
        <v>1907</v>
      </c>
      <c r="BM976" t="s">
        <v>17026</v>
      </c>
      <c r="BN976" t="s">
        <v>74</v>
      </c>
      <c r="BO976" t="s">
        <v>18869</v>
      </c>
      <c r="BP976" t="s">
        <v>74</v>
      </c>
      <c r="BQ976" t="s">
        <v>74</v>
      </c>
      <c r="BR976" t="s">
        <v>105</v>
      </c>
      <c r="BS976" t="s">
        <v>18870</v>
      </c>
      <c r="BT976" t="str">
        <f>HYPERLINK("https%3A%2F%2Fwww.webofscience.com%2Fwos%2Fwoscc%2Ffull-record%2FWOS:000418089400019","View Full Record in Web of Science")</f>
        <v>View Full Record in Web of Science</v>
      </c>
    </row>
    <row r="977" spans="1:72" x14ac:dyDescent="0.15">
      <c r="A977" t="s">
        <v>72</v>
      </c>
      <c r="B977" t="s">
        <v>18871</v>
      </c>
      <c r="C977" t="s">
        <v>74</v>
      </c>
      <c r="D977" t="s">
        <v>74</v>
      </c>
      <c r="E977" t="s">
        <v>74</v>
      </c>
      <c r="F977" t="s">
        <v>18872</v>
      </c>
      <c r="G977" t="s">
        <v>74</v>
      </c>
      <c r="H977" t="s">
        <v>74</v>
      </c>
      <c r="I977" t="s">
        <v>18873</v>
      </c>
      <c r="J977" t="s">
        <v>18874</v>
      </c>
      <c r="K977" t="s">
        <v>74</v>
      </c>
      <c r="L977" t="s">
        <v>74</v>
      </c>
      <c r="M977" t="s">
        <v>78</v>
      </c>
      <c r="N977" t="s">
        <v>79</v>
      </c>
      <c r="O977" t="s">
        <v>74</v>
      </c>
      <c r="P977" t="s">
        <v>74</v>
      </c>
      <c r="Q977" t="s">
        <v>74</v>
      </c>
      <c r="R977" t="s">
        <v>74</v>
      </c>
      <c r="S977" t="s">
        <v>74</v>
      </c>
      <c r="T977" t="s">
        <v>18875</v>
      </c>
      <c r="U977" t="s">
        <v>18876</v>
      </c>
      <c r="V977" t="s">
        <v>18877</v>
      </c>
      <c r="W977" t="s">
        <v>18878</v>
      </c>
      <c r="X977" t="s">
        <v>18879</v>
      </c>
      <c r="Y977" t="s">
        <v>18880</v>
      </c>
      <c r="Z977" t="s">
        <v>18881</v>
      </c>
      <c r="AA977" t="s">
        <v>18882</v>
      </c>
      <c r="AB977" t="s">
        <v>18883</v>
      </c>
      <c r="AC977" t="s">
        <v>74</v>
      </c>
      <c r="AD977" t="s">
        <v>74</v>
      </c>
      <c r="AE977" t="s">
        <v>74</v>
      </c>
      <c r="AF977" t="s">
        <v>74</v>
      </c>
      <c r="AG977">
        <v>14</v>
      </c>
      <c r="AH977">
        <v>46</v>
      </c>
      <c r="AI977">
        <v>48</v>
      </c>
      <c r="AJ977">
        <v>0</v>
      </c>
      <c r="AK977">
        <v>16</v>
      </c>
      <c r="AL977" t="s">
        <v>18884</v>
      </c>
      <c r="AM977" t="s">
        <v>92</v>
      </c>
      <c r="AN977" t="s">
        <v>18885</v>
      </c>
      <c r="AO977" t="s">
        <v>18886</v>
      </c>
      <c r="AP977" t="s">
        <v>18887</v>
      </c>
      <c r="AQ977" t="s">
        <v>74</v>
      </c>
      <c r="AR977" t="s">
        <v>18888</v>
      </c>
      <c r="AS977" t="s">
        <v>18889</v>
      </c>
      <c r="AT977" t="s">
        <v>17419</v>
      </c>
      <c r="AU977">
        <v>2017</v>
      </c>
      <c r="AV977">
        <v>10</v>
      </c>
      <c r="AW977">
        <v>6</v>
      </c>
      <c r="AX977" t="s">
        <v>74</v>
      </c>
      <c r="AY977" t="s">
        <v>74</v>
      </c>
      <c r="AZ977" t="s">
        <v>74</v>
      </c>
      <c r="BA977" t="s">
        <v>74</v>
      </c>
      <c r="BB977">
        <v>778</v>
      </c>
      <c r="BC977">
        <v>782</v>
      </c>
      <c r="BD977" t="s">
        <v>74</v>
      </c>
      <c r="BE977" t="s">
        <v>18890</v>
      </c>
      <c r="BF977" t="str">
        <f>HYPERLINK("http://dx.doi.org/10.1016/j.jiph.2016.12.001","http://dx.doi.org/10.1016/j.jiph.2016.12.001")</f>
        <v>http://dx.doi.org/10.1016/j.jiph.2016.12.001</v>
      </c>
      <c r="BG977" t="s">
        <v>74</v>
      </c>
      <c r="BH977" t="s">
        <v>74</v>
      </c>
      <c r="BI977">
        <v>5</v>
      </c>
      <c r="BJ977" t="s">
        <v>18891</v>
      </c>
      <c r="BK977" t="s">
        <v>101</v>
      </c>
      <c r="BL977" t="s">
        <v>18891</v>
      </c>
      <c r="BM977" t="s">
        <v>18892</v>
      </c>
      <c r="BN977">
        <v>28188117</v>
      </c>
      <c r="BO977" t="s">
        <v>11521</v>
      </c>
      <c r="BP977" t="s">
        <v>74</v>
      </c>
      <c r="BQ977" t="s">
        <v>74</v>
      </c>
      <c r="BR977" t="s">
        <v>105</v>
      </c>
      <c r="BS977" t="s">
        <v>18893</v>
      </c>
      <c r="BT977" t="str">
        <f>HYPERLINK("https%3A%2F%2Fwww.webofscience.com%2Fwos%2Fwoscc%2Ffull-record%2FWOS:000414231900017","View Full Record in Web of Science")</f>
        <v>View Full Record in Web of Science</v>
      </c>
    </row>
    <row r="978" spans="1:72" x14ac:dyDescent="0.15">
      <c r="A978" t="s">
        <v>72</v>
      </c>
      <c r="B978" t="s">
        <v>18894</v>
      </c>
      <c r="C978" t="s">
        <v>74</v>
      </c>
      <c r="D978" t="s">
        <v>74</v>
      </c>
      <c r="E978" t="s">
        <v>74</v>
      </c>
      <c r="F978" t="s">
        <v>18895</v>
      </c>
      <c r="G978" t="s">
        <v>74</v>
      </c>
      <c r="H978" t="s">
        <v>74</v>
      </c>
      <c r="I978" t="s">
        <v>18896</v>
      </c>
      <c r="J978" t="s">
        <v>13247</v>
      </c>
      <c r="K978" t="s">
        <v>74</v>
      </c>
      <c r="L978" t="s">
        <v>74</v>
      </c>
      <c r="M978" t="s">
        <v>78</v>
      </c>
      <c r="N978" t="s">
        <v>79</v>
      </c>
      <c r="O978" t="s">
        <v>74</v>
      </c>
      <c r="P978" t="s">
        <v>74</v>
      </c>
      <c r="Q978" t="s">
        <v>74</v>
      </c>
      <c r="R978" t="s">
        <v>74</v>
      </c>
      <c r="S978" t="s">
        <v>74</v>
      </c>
      <c r="T978" t="s">
        <v>74</v>
      </c>
      <c r="U978" t="s">
        <v>18897</v>
      </c>
      <c r="V978" t="s">
        <v>18898</v>
      </c>
      <c r="W978" t="s">
        <v>18899</v>
      </c>
      <c r="X978" t="s">
        <v>18900</v>
      </c>
      <c r="Y978" t="s">
        <v>18901</v>
      </c>
      <c r="Z978" t="s">
        <v>18902</v>
      </c>
      <c r="AA978" t="s">
        <v>18903</v>
      </c>
      <c r="AB978" t="s">
        <v>18904</v>
      </c>
      <c r="AC978" t="s">
        <v>18905</v>
      </c>
      <c r="AD978" t="s">
        <v>18906</v>
      </c>
      <c r="AE978" t="s">
        <v>18907</v>
      </c>
      <c r="AF978" t="s">
        <v>74</v>
      </c>
      <c r="AG978">
        <v>73</v>
      </c>
      <c r="AH978">
        <v>11</v>
      </c>
      <c r="AI978">
        <v>11</v>
      </c>
      <c r="AJ978">
        <v>0</v>
      </c>
      <c r="AK978">
        <v>8</v>
      </c>
      <c r="AL978" t="s">
        <v>4022</v>
      </c>
      <c r="AM978" t="s">
        <v>4023</v>
      </c>
      <c r="AN978" t="s">
        <v>4024</v>
      </c>
      <c r="AO978" t="s">
        <v>13258</v>
      </c>
      <c r="AP978" t="s">
        <v>13259</v>
      </c>
      <c r="AQ978" t="s">
        <v>74</v>
      </c>
      <c r="AR978" t="s">
        <v>13260</v>
      </c>
      <c r="AS978" t="s">
        <v>13261</v>
      </c>
      <c r="AT978" t="s">
        <v>16784</v>
      </c>
      <c r="AU978">
        <v>2017</v>
      </c>
      <c r="AV978">
        <v>47</v>
      </c>
      <c r="AW978">
        <v>11</v>
      </c>
      <c r="AX978" t="s">
        <v>74</v>
      </c>
      <c r="AY978" t="s">
        <v>74</v>
      </c>
      <c r="AZ978" t="s">
        <v>74</v>
      </c>
      <c r="BA978" t="s">
        <v>74</v>
      </c>
      <c r="BB978">
        <v>2691</v>
      </c>
      <c r="BC978">
        <v>2710</v>
      </c>
      <c r="BD978" t="s">
        <v>74</v>
      </c>
      <c r="BE978" t="s">
        <v>18908</v>
      </c>
      <c r="BF978" t="str">
        <f>HYPERLINK("http://dx.doi.org/10.1175/JPO-D-17-0038.1","http://dx.doi.org/10.1175/JPO-D-17-0038.1")</f>
        <v>http://dx.doi.org/10.1175/JPO-D-17-0038.1</v>
      </c>
      <c r="BG978" t="s">
        <v>74</v>
      </c>
      <c r="BH978" t="s">
        <v>74</v>
      </c>
      <c r="BI978">
        <v>20</v>
      </c>
      <c r="BJ978" t="s">
        <v>1907</v>
      </c>
      <c r="BK978" t="s">
        <v>101</v>
      </c>
      <c r="BL978" t="s">
        <v>1907</v>
      </c>
      <c r="BM978" t="s">
        <v>17074</v>
      </c>
      <c r="BN978" t="s">
        <v>74</v>
      </c>
      <c r="BO978" t="s">
        <v>7534</v>
      </c>
      <c r="BP978" t="s">
        <v>74</v>
      </c>
      <c r="BQ978" t="s">
        <v>74</v>
      </c>
      <c r="BR978" t="s">
        <v>105</v>
      </c>
      <c r="BS978" t="s">
        <v>18909</v>
      </c>
      <c r="BT978" t="str">
        <f>HYPERLINK("https%3A%2F%2Fwww.webofscience.com%2Fwos%2Fwoscc%2Ffull-record%2FWOS:000417674100003","View Full Record in Web of Science")</f>
        <v>View Full Record in Web of Science</v>
      </c>
    </row>
    <row r="979" spans="1:72" x14ac:dyDescent="0.15">
      <c r="A979" t="s">
        <v>72</v>
      </c>
      <c r="B979" t="s">
        <v>18910</v>
      </c>
      <c r="C979" t="s">
        <v>74</v>
      </c>
      <c r="D979" t="s">
        <v>74</v>
      </c>
      <c r="E979" t="s">
        <v>74</v>
      </c>
      <c r="F979" t="s">
        <v>18911</v>
      </c>
      <c r="G979" t="s">
        <v>74</v>
      </c>
      <c r="H979" t="s">
        <v>74</v>
      </c>
      <c r="I979" t="s">
        <v>18912</v>
      </c>
      <c r="J979" t="s">
        <v>11359</v>
      </c>
      <c r="K979" t="s">
        <v>74</v>
      </c>
      <c r="L979" t="s">
        <v>74</v>
      </c>
      <c r="M979" t="s">
        <v>78</v>
      </c>
      <c r="N979" t="s">
        <v>79</v>
      </c>
      <c r="O979" t="s">
        <v>74</v>
      </c>
      <c r="P979" t="s">
        <v>74</v>
      </c>
      <c r="Q979" t="s">
        <v>74</v>
      </c>
      <c r="R979" t="s">
        <v>74</v>
      </c>
      <c r="S979" t="s">
        <v>74</v>
      </c>
      <c r="T979" t="s">
        <v>18913</v>
      </c>
      <c r="U979" t="s">
        <v>18914</v>
      </c>
      <c r="V979" t="s">
        <v>18915</v>
      </c>
      <c r="W979" t="s">
        <v>18916</v>
      </c>
      <c r="X979" t="s">
        <v>18917</v>
      </c>
      <c r="Y979" t="s">
        <v>18918</v>
      </c>
      <c r="Z979" t="s">
        <v>18919</v>
      </c>
      <c r="AA979" t="s">
        <v>18920</v>
      </c>
      <c r="AB979" t="s">
        <v>18921</v>
      </c>
      <c r="AC979" t="s">
        <v>18922</v>
      </c>
      <c r="AD979" t="s">
        <v>18923</v>
      </c>
      <c r="AE979" t="s">
        <v>18924</v>
      </c>
      <c r="AF979" t="s">
        <v>74</v>
      </c>
      <c r="AG979">
        <v>67</v>
      </c>
      <c r="AH979">
        <v>6</v>
      </c>
      <c r="AI979">
        <v>6</v>
      </c>
      <c r="AJ979">
        <v>1</v>
      </c>
      <c r="AK979">
        <v>22</v>
      </c>
      <c r="AL979" t="s">
        <v>1186</v>
      </c>
      <c r="AM979" t="s">
        <v>808</v>
      </c>
      <c r="AN979" t="s">
        <v>1187</v>
      </c>
      <c r="AO979" t="s">
        <v>11372</v>
      </c>
      <c r="AP979" t="s">
        <v>11373</v>
      </c>
      <c r="AQ979" t="s">
        <v>74</v>
      </c>
      <c r="AR979" t="s">
        <v>11374</v>
      </c>
      <c r="AS979" t="s">
        <v>11375</v>
      </c>
      <c r="AT979" t="s">
        <v>16784</v>
      </c>
      <c r="AU979">
        <v>2017</v>
      </c>
      <c r="AV979">
        <v>129</v>
      </c>
      <c r="AW979" t="s">
        <v>74</v>
      </c>
      <c r="AX979" t="s">
        <v>74</v>
      </c>
      <c r="AY979" t="s">
        <v>74</v>
      </c>
      <c r="AZ979" t="s">
        <v>74</v>
      </c>
      <c r="BA979" t="s">
        <v>74</v>
      </c>
      <c r="BB979">
        <v>42</v>
      </c>
      <c r="BC979">
        <v>52</v>
      </c>
      <c r="BD979" t="s">
        <v>74</v>
      </c>
      <c r="BE979" t="s">
        <v>18925</v>
      </c>
      <c r="BF979" t="str">
        <f>HYPERLINK("http://dx.doi.org/10.1016/j.seares.2017.09.003","http://dx.doi.org/10.1016/j.seares.2017.09.003")</f>
        <v>http://dx.doi.org/10.1016/j.seares.2017.09.003</v>
      </c>
      <c r="BG979" t="s">
        <v>74</v>
      </c>
      <c r="BH979" t="s">
        <v>74</v>
      </c>
      <c r="BI979">
        <v>11</v>
      </c>
      <c r="BJ979" t="s">
        <v>1543</v>
      </c>
      <c r="BK979" t="s">
        <v>101</v>
      </c>
      <c r="BL979" t="s">
        <v>1543</v>
      </c>
      <c r="BM979" t="s">
        <v>18926</v>
      </c>
      <c r="BN979" t="s">
        <v>74</v>
      </c>
      <c r="BO979" t="s">
        <v>74</v>
      </c>
      <c r="BP979" t="s">
        <v>74</v>
      </c>
      <c r="BQ979" t="s">
        <v>74</v>
      </c>
      <c r="BR979" t="s">
        <v>105</v>
      </c>
      <c r="BS979" t="s">
        <v>18927</v>
      </c>
      <c r="BT979" t="str">
        <f>HYPERLINK("https%3A%2F%2Fwww.webofscience.com%2Fwos%2Fwoscc%2Ffull-record%2FWOS:000413607500006","View Full Record in Web of Science")</f>
        <v>View Full Record in Web of Science</v>
      </c>
    </row>
    <row r="980" spans="1:72" x14ac:dyDescent="0.15">
      <c r="A980" t="s">
        <v>72</v>
      </c>
      <c r="B980" t="s">
        <v>18928</v>
      </c>
      <c r="C980" t="s">
        <v>74</v>
      </c>
      <c r="D980" t="s">
        <v>74</v>
      </c>
      <c r="E980" t="s">
        <v>74</v>
      </c>
      <c r="F980" t="s">
        <v>18929</v>
      </c>
      <c r="G980" t="s">
        <v>74</v>
      </c>
      <c r="H980" t="s">
        <v>74</v>
      </c>
      <c r="I980" t="s">
        <v>18930</v>
      </c>
      <c r="J980" t="s">
        <v>5199</v>
      </c>
      <c r="K980" t="s">
        <v>74</v>
      </c>
      <c r="L980" t="s">
        <v>74</v>
      </c>
      <c r="M980" t="s">
        <v>78</v>
      </c>
      <c r="N980" t="s">
        <v>79</v>
      </c>
      <c r="O980" t="s">
        <v>74</v>
      </c>
      <c r="P980" t="s">
        <v>74</v>
      </c>
      <c r="Q980" t="s">
        <v>74</v>
      </c>
      <c r="R980" t="s">
        <v>74</v>
      </c>
      <c r="S980" t="s">
        <v>74</v>
      </c>
      <c r="T980" t="s">
        <v>18931</v>
      </c>
      <c r="U980" t="s">
        <v>18932</v>
      </c>
      <c r="V980" t="s">
        <v>18933</v>
      </c>
      <c r="W980" t="s">
        <v>18934</v>
      </c>
      <c r="X980" t="s">
        <v>18935</v>
      </c>
      <c r="Y980" t="s">
        <v>18936</v>
      </c>
      <c r="Z980" t="s">
        <v>18937</v>
      </c>
      <c r="AA980" t="s">
        <v>18938</v>
      </c>
      <c r="AB980" t="s">
        <v>18939</v>
      </c>
      <c r="AC980" t="s">
        <v>18940</v>
      </c>
      <c r="AD980" t="s">
        <v>18941</v>
      </c>
      <c r="AE980" t="s">
        <v>18942</v>
      </c>
      <c r="AF980" t="s">
        <v>74</v>
      </c>
      <c r="AG980">
        <v>45</v>
      </c>
      <c r="AH980">
        <v>24</v>
      </c>
      <c r="AI980">
        <v>28</v>
      </c>
      <c r="AJ980">
        <v>4</v>
      </c>
      <c r="AK980">
        <v>67</v>
      </c>
      <c r="AL980" t="s">
        <v>1973</v>
      </c>
      <c r="AM980" t="s">
        <v>1797</v>
      </c>
      <c r="AN980" t="s">
        <v>5588</v>
      </c>
      <c r="AO980" t="s">
        <v>5212</v>
      </c>
      <c r="AP980" t="s">
        <v>5213</v>
      </c>
      <c r="AQ980" t="s">
        <v>74</v>
      </c>
      <c r="AR980" t="s">
        <v>5214</v>
      </c>
      <c r="AS980" t="s">
        <v>5215</v>
      </c>
      <c r="AT980" t="s">
        <v>16784</v>
      </c>
      <c r="AU980">
        <v>2017</v>
      </c>
      <c r="AV980">
        <v>74</v>
      </c>
      <c r="AW980">
        <v>4</v>
      </c>
      <c r="AX980" t="s">
        <v>74</v>
      </c>
      <c r="AY980" t="s">
        <v>74</v>
      </c>
      <c r="AZ980" t="s">
        <v>74</v>
      </c>
      <c r="BA980" t="s">
        <v>74</v>
      </c>
      <c r="BB980">
        <v>810</v>
      </c>
      <c r="BC980">
        <v>820</v>
      </c>
      <c r="BD980" t="s">
        <v>74</v>
      </c>
      <c r="BE980" t="s">
        <v>18943</v>
      </c>
      <c r="BF980" t="str">
        <f>HYPERLINK("http://dx.doi.org/10.1007/s00248-017-0973-3","http://dx.doi.org/10.1007/s00248-017-0973-3")</f>
        <v>http://dx.doi.org/10.1007/s00248-017-0973-3</v>
      </c>
      <c r="BG980" t="s">
        <v>74</v>
      </c>
      <c r="BH980" t="s">
        <v>74</v>
      </c>
      <c r="BI980">
        <v>11</v>
      </c>
      <c r="BJ980" t="s">
        <v>5217</v>
      </c>
      <c r="BK980" t="s">
        <v>101</v>
      </c>
      <c r="BL980" t="s">
        <v>5218</v>
      </c>
      <c r="BM980" t="s">
        <v>18944</v>
      </c>
      <c r="BN980">
        <v>28484799</v>
      </c>
      <c r="BO980" t="s">
        <v>74</v>
      </c>
      <c r="BP980" t="s">
        <v>74</v>
      </c>
      <c r="BQ980" t="s">
        <v>74</v>
      </c>
      <c r="BR980" t="s">
        <v>105</v>
      </c>
      <c r="BS980" t="s">
        <v>18945</v>
      </c>
      <c r="BT980" t="str">
        <f>HYPERLINK("https%3A%2F%2Fwww.webofscience.com%2Fwos%2Fwoscc%2Ffull-record%2FWOS:000413625100007","View Full Record in Web of Science")</f>
        <v>View Full Record in Web of Science</v>
      </c>
    </row>
    <row r="981" spans="1:72" x14ac:dyDescent="0.15">
      <c r="A981" t="s">
        <v>72</v>
      </c>
      <c r="B981" t="s">
        <v>18946</v>
      </c>
      <c r="C981" t="s">
        <v>74</v>
      </c>
      <c r="D981" t="s">
        <v>74</v>
      </c>
      <c r="E981" t="s">
        <v>74</v>
      </c>
      <c r="F981" t="s">
        <v>18947</v>
      </c>
      <c r="G981" t="s">
        <v>74</v>
      </c>
      <c r="H981" t="s">
        <v>74</v>
      </c>
      <c r="I981" t="s">
        <v>18948</v>
      </c>
      <c r="J981" t="s">
        <v>18949</v>
      </c>
      <c r="K981" t="s">
        <v>74</v>
      </c>
      <c r="L981" t="s">
        <v>74</v>
      </c>
      <c r="M981" t="s">
        <v>78</v>
      </c>
      <c r="N981" t="s">
        <v>79</v>
      </c>
      <c r="O981" t="s">
        <v>74</v>
      </c>
      <c r="P981" t="s">
        <v>74</v>
      </c>
      <c r="Q981" t="s">
        <v>74</v>
      </c>
      <c r="R981" t="s">
        <v>74</v>
      </c>
      <c r="S981" t="s">
        <v>74</v>
      </c>
      <c r="T981" t="s">
        <v>18950</v>
      </c>
      <c r="U981" t="s">
        <v>18951</v>
      </c>
      <c r="V981" t="s">
        <v>18952</v>
      </c>
      <c r="W981" t="s">
        <v>18953</v>
      </c>
      <c r="X981" t="s">
        <v>18954</v>
      </c>
      <c r="Y981" t="s">
        <v>18955</v>
      </c>
      <c r="Z981" t="s">
        <v>18956</v>
      </c>
      <c r="AA981" t="s">
        <v>74</v>
      </c>
      <c r="AB981" t="s">
        <v>18957</v>
      </c>
      <c r="AC981" t="s">
        <v>18958</v>
      </c>
      <c r="AD981" t="s">
        <v>18959</v>
      </c>
      <c r="AE981" t="s">
        <v>18960</v>
      </c>
      <c r="AF981" t="s">
        <v>74</v>
      </c>
      <c r="AG981">
        <v>27</v>
      </c>
      <c r="AH981">
        <v>24</v>
      </c>
      <c r="AI981">
        <v>30</v>
      </c>
      <c r="AJ981">
        <v>2</v>
      </c>
      <c r="AK981">
        <v>28</v>
      </c>
      <c r="AL981" t="s">
        <v>1973</v>
      </c>
      <c r="AM981" t="s">
        <v>1797</v>
      </c>
      <c r="AN981" t="s">
        <v>5588</v>
      </c>
      <c r="AO981" t="s">
        <v>18961</v>
      </c>
      <c r="AP981" t="s">
        <v>18962</v>
      </c>
      <c r="AQ981" t="s">
        <v>74</v>
      </c>
      <c r="AR981" t="s">
        <v>18949</v>
      </c>
      <c r="AS981" t="s">
        <v>18963</v>
      </c>
      <c r="AT981" t="s">
        <v>16784</v>
      </c>
      <c r="AU981">
        <v>2017</v>
      </c>
      <c r="AV981">
        <v>185</v>
      </c>
      <c r="AW981">
        <v>3</v>
      </c>
      <c r="AX981" t="s">
        <v>74</v>
      </c>
      <c r="AY981" t="s">
        <v>74</v>
      </c>
      <c r="AZ981" t="s">
        <v>74</v>
      </c>
      <c r="BA981" t="s">
        <v>74</v>
      </c>
      <c r="BB981">
        <v>427</v>
      </c>
      <c r="BC981">
        <v>435</v>
      </c>
      <c r="BD981" t="s">
        <v>74</v>
      </c>
      <c r="BE981" t="s">
        <v>18964</v>
      </c>
      <c r="BF981" t="str">
        <f>HYPERLINK("http://dx.doi.org/10.1007/s00442-017-3949-6","http://dx.doi.org/10.1007/s00442-017-3949-6")</f>
        <v>http://dx.doi.org/10.1007/s00442-017-3949-6</v>
      </c>
      <c r="BG981" t="s">
        <v>74</v>
      </c>
      <c r="BH981" t="s">
        <v>74</v>
      </c>
      <c r="BI981">
        <v>9</v>
      </c>
      <c r="BJ981" t="s">
        <v>5502</v>
      </c>
      <c r="BK981" t="s">
        <v>101</v>
      </c>
      <c r="BL981" t="s">
        <v>1120</v>
      </c>
      <c r="BM981" t="s">
        <v>18965</v>
      </c>
      <c r="BN981">
        <v>28914358</v>
      </c>
      <c r="BO981" t="s">
        <v>74</v>
      </c>
      <c r="BP981" t="s">
        <v>74</v>
      </c>
      <c r="BQ981" t="s">
        <v>74</v>
      </c>
      <c r="BR981" t="s">
        <v>105</v>
      </c>
      <c r="BS981" t="s">
        <v>18966</v>
      </c>
      <c r="BT981" t="str">
        <f>HYPERLINK("https%3A%2F%2Fwww.webofscience.com%2Fwos%2Fwoscc%2Ffull-record%2FWOS:000413691100010","View Full Record in Web of Science")</f>
        <v>View Full Record in Web of Science</v>
      </c>
    </row>
    <row r="982" spans="1:72" x14ac:dyDescent="0.15">
      <c r="A982" t="s">
        <v>72</v>
      </c>
      <c r="B982" t="s">
        <v>18967</v>
      </c>
      <c r="C982" t="s">
        <v>74</v>
      </c>
      <c r="D982" t="s">
        <v>74</v>
      </c>
      <c r="E982" t="s">
        <v>74</v>
      </c>
      <c r="F982" t="s">
        <v>18968</v>
      </c>
      <c r="G982" t="s">
        <v>74</v>
      </c>
      <c r="H982" t="s">
        <v>74</v>
      </c>
      <c r="I982" t="s">
        <v>18969</v>
      </c>
      <c r="J982" t="s">
        <v>1173</v>
      </c>
      <c r="K982" t="s">
        <v>74</v>
      </c>
      <c r="L982" t="s">
        <v>74</v>
      </c>
      <c r="M982" t="s">
        <v>78</v>
      </c>
      <c r="N982" t="s">
        <v>79</v>
      </c>
      <c r="O982" t="s">
        <v>74</v>
      </c>
      <c r="P982" t="s">
        <v>74</v>
      </c>
      <c r="Q982" t="s">
        <v>74</v>
      </c>
      <c r="R982" t="s">
        <v>74</v>
      </c>
      <c r="S982" t="s">
        <v>74</v>
      </c>
      <c r="T982" t="s">
        <v>18970</v>
      </c>
      <c r="U982" t="s">
        <v>18971</v>
      </c>
      <c r="V982" t="s">
        <v>18972</v>
      </c>
      <c r="W982" t="s">
        <v>18973</v>
      </c>
      <c r="X982" t="s">
        <v>18974</v>
      </c>
      <c r="Y982" t="s">
        <v>18975</v>
      </c>
      <c r="Z982" t="s">
        <v>18976</v>
      </c>
      <c r="AA982" t="s">
        <v>18977</v>
      </c>
      <c r="AB982" t="s">
        <v>18978</v>
      </c>
      <c r="AC982" t="s">
        <v>18979</v>
      </c>
      <c r="AD982" t="s">
        <v>18980</v>
      </c>
      <c r="AE982" t="s">
        <v>18981</v>
      </c>
      <c r="AF982" t="s">
        <v>74</v>
      </c>
      <c r="AG982">
        <v>71</v>
      </c>
      <c r="AH982">
        <v>23</v>
      </c>
      <c r="AI982">
        <v>24</v>
      </c>
      <c r="AJ982">
        <v>3</v>
      </c>
      <c r="AK982">
        <v>33</v>
      </c>
      <c r="AL982" t="s">
        <v>807</v>
      </c>
      <c r="AM982" t="s">
        <v>808</v>
      </c>
      <c r="AN982" t="s">
        <v>809</v>
      </c>
      <c r="AO982" t="s">
        <v>1188</v>
      </c>
      <c r="AP982" t="s">
        <v>1189</v>
      </c>
      <c r="AQ982" t="s">
        <v>74</v>
      </c>
      <c r="AR982" t="s">
        <v>1190</v>
      </c>
      <c r="AS982" t="s">
        <v>1191</v>
      </c>
      <c r="AT982" t="s">
        <v>18183</v>
      </c>
      <c r="AU982">
        <v>2017</v>
      </c>
      <c r="AV982">
        <v>485</v>
      </c>
      <c r="AW982" t="s">
        <v>74</v>
      </c>
      <c r="AX982" t="s">
        <v>74</v>
      </c>
      <c r="AY982" t="s">
        <v>74</v>
      </c>
      <c r="AZ982" t="s">
        <v>74</v>
      </c>
      <c r="BA982" t="s">
        <v>74</v>
      </c>
      <c r="BB982">
        <v>930</v>
      </c>
      <c r="BC982">
        <v>945</v>
      </c>
      <c r="BD982" t="s">
        <v>74</v>
      </c>
      <c r="BE982" t="s">
        <v>18982</v>
      </c>
      <c r="BF982" t="str">
        <f>HYPERLINK("http://dx.doi.org/10.1016/j.palaeo.2017.08.011","http://dx.doi.org/10.1016/j.palaeo.2017.08.011")</f>
        <v>http://dx.doi.org/10.1016/j.palaeo.2017.08.011</v>
      </c>
      <c r="BG982" t="s">
        <v>74</v>
      </c>
      <c r="BH982" t="s">
        <v>74</v>
      </c>
      <c r="BI982">
        <v>16</v>
      </c>
      <c r="BJ982" t="s">
        <v>1193</v>
      </c>
      <c r="BK982" t="s">
        <v>101</v>
      </c>
      <c r="BL982" t="s">
        <v>1194</v>
      </c>
      <c r="BM982" t="s">
        <v>18983</v>
      </c>
      <c r="BN982" t="s">
        <v>74</v>
      </c>
      <c r="BO982" t="s">
        <v>74</v>
      </c>
      <c r="BP982" t="s">
        <v>74</v>
      </c>
      <c r="BQ982" t="s">
        <v>74</v>
      </c>
      <c r="BR982" t="s">
        <v>105</v>
      </c>
      <c r="BS982" t="s">
        <v>18984</v>
      </c>
      <c r="BT982" t="str">
        <f>HYPERLINK("https%3A%2F%2Fwww.webofscience.com%2Fwos%2Fwoscc%2Ffull-record%2FWOS:000419747400069","View Full Record in Web of Science")</f>
        <v>View Full Record in Web of Science</v>
      </c>
    </row>
    <row r="983" spans="1:72" x14ac:dyDescent="0.15">
      <c r="A983" t="s">
        <v>72</v>
      </c>
      <c r="B983" t="s">
        <v>18985</v>
      </c>
      <c r="C983" t="s">
        <v>74</v>
      </c>
      <c r="D983" t="s">
        <v>74</v>
      </c>
      <c r="E983" t="s">
        <v>74</v>
      </c>
      <c r="F983" t="s">
        <v>18986</v>
      </c>
      <c r="G983" t="s">
        <v>74</v>
      </c>
      <c r="H983" t="s">
        <v>74</v>
      </c>
      <c r="I983" t="s">
        <v>18987</v>
      </c>
      <c r="J983" t="s">
        <v>18988</v>
      </c>
      <c r="K983" t="s">
        <v>74</v>
      </c>
      <c r="L983" t="s">
        <v>74</v>
      </c>
      <c r="M983" t="s">
        <v>78</v>
      </c>
      <c r="N983" t="s">
        <v>79</v>
      </c>
      <c r="O983" t="s">
        <v>74</v>
      </c>
      <c r="P983" t="s">
        <v>74</v>
      </c>
      <c r="Q983" t="s">
        <v>74</v>
      </c>
      <c r="R983" t="s">
        <v>74</v>
      </c>
      <c r="S983" t="s">
        <v>74</v>
      </c>
      <c r="T983" t="s">
        <v>74</v>
      </c>
      <c r="U983" t="s">
        <v>18989</v>
      </c>
      <c r="V983" t="s">
        <v>18990</v>
      </c>
      <c r="W983" t="s">
        <v>18991</v>
      </c>
      <c r="X983" t="s">
        <v>18992</v>
      </c>
      <c r="Y983" t="s">
        <v>18993</v>
      </c>
      <c r="Z983" t="s">
        <v>18994</v>
      </c>
      <c r="AA983" t="s">
        <v>18995</v>
      </c>
      <c r="AB983" t="s">
        <v>18996</v>
      </c>
      <c r="AC983" t="s">
        <v>18997</v>
      </c>
      <c r="AD983" t="s">
        <v>18998</v>
      </c>
      <c r="AE983" t="s">
        <v>18999</v>
      </c>
      <c r="AF983" t="s">
        <v>74</v>
      </c>
      <c r="AG983">
        <v>137</v>
      </c>
      <c r="AH983">
        <v>22</v>
      </c>
      <c r="AI983">
        <v>28</v>
      </c>
      <c r="AJ983">
        <v>0</v>
      </c>
      <c r="AK983">
        <v>17</v>
      </c>
      <c r="AL983" t="s">
        <v>271</v>
      </c>
      <c r="AM983" t="s">
        <v>272</v>
      </c>
      <c r="AN983" t="s">
        <v>273</v>
      </c>
      <c r="AO983" t="s">
        <v>19000</v>
      </c>
      <c r="AP983" t="s">
        <v>19001</v>
      </c>
      <c r="AQ983" t="s">
        <v>74</v>
      </c>
      <c r="AR983" t="s">
        <v>18988</v>
      </c>
      <c r="AS983" t="s">
        <v>19002</v>
      </c>
      <c r="AT983" t="s">
        <v>16784</v>
      </c>
      <c r="AU983">
        <v>2017</v>
      </c>
      <c r="AV983">
        <v>32</v>
      </c>
      <c r="AW983">
        <v>11</v>
      </c>
      <c r="AX983" t="s">
        <v>74</v>
      </c>
      <c r="AY983" t="s">
        <v>74</v>
      </c>
      <c r="AZ983" t="s">
        <v>74</v>
      </c>
      <c r="BA983" t="s">
        <v>74</v>
      </c>
      <c r="BB983">
        <v>1256</v>
      </c>
      <c r="BC983">
        <v>1274</v>
      </c>
      <c r="BD983" t="s">
        <v>74</v>
      </c>
      <c r="BE983" t="s">
        <v>19003</v>
      </c>
      <c r="BF983" t="str">
        <f>HYPERLINK("http://dx.doi.org/10.1002/2017PA003133","http://dx.doi.org/10.1002/2017PA003133")</f>
        <v>http://dx.doi.org/10.1002/2017PA003133</v>
      </c>
      <c r="BG983" t="s">
        <v>74</v>
      </c>
      <c r="BH983" t="s">
        <v>74</v>
      </c>
      <c r="BI983">
        <v>19</v>
      </c>
      <c r="BJ983" t="s">
        <v>5544</v>
      </c>
      <c r="BK983" t="s">
        <v>101</v>
      </c>
      <c r="BL983" t="s">
        <v>5545</v>
      </c>
      <c r="BM983" t="s">
        <v>19004</v>
      </c>
      <c r="BN983" t="s">
        <v>74</v>
      </c>
      <c r="BO983" t="s">
        <v>19005</v>
      </c>
      <c r="BP983" t="s">
        <v>74</v>
      </c>
      <c r="BQ983" t="s">
        <v>74</v>
      </c>
      <c r="BR983" t="s">
        <v>105</v>
      </c>
      <c r="BS983" t="s">
        <v>19006</v>
      </c>
      <c r="BT983" t="str">
        <f>HYPERLINK("https%3A%2F%2Fwww.webofscience.com%2Fwos%2Fwoscc%2Ffull-record%2FWOS:000418169800011","View Full Record in Web of Science")</f>
        <v>View Full Record in Web of Science</v>
      </c>
    </row>
    <row r="984" spans="1:72" x14ac:dyDescent="0.15">
      <c r="A984" t="s">
        <v>72</v>
      </c>
      <c r="B984" t="s">
        <v>19007</v>
      </c>
      <c r="C984" t="s">
        <v>74</v>
      </c>
      <c r="D984" t="s">
        <v>74</v>
      </c>
      <c r="E984" t="s">
        <v>74</v>
      </c>
      <c r="F984" t="s">
        <v>19008</v>
      </c>
      <c r="G984" t="s">
        <v>74</v>
      </c>
      <c r="H984" t="s">
        <v>74</v>
      </c>
      <c r="I984" t="s">
        <v>19009</v>
      </c>
      <c r="J984" t="s">
        <v>19010</v>
      </c>
      <c r="K984" t="s">
        <v>74</v>
      </c>
      <c r="L984" t="s">
        <v>74</v>
      </c>
      <c r="M984" t="s">
        <v>78</v>
      </c>
      <c r="N984" t="s">
        <v>79</v>
      </c>
      <c r="O984" t="s">
        <v>74</v>
      </c>
      <c r="P984" t="s">
        <v>74</v>
      </c>
      <c r="Q984" t="s">
        <v>74</v>
      </c>
      <c r="R984" t="s">
        <v>74</v>
      </c>
      <c r="S984" t="s">
        <v>74</v>
      </c>
      <c r="T984" t="s">
        <v>19011</v>
      </c>
      <c r="U984" t="s">
        <v>19012</v>
      </c>
      <c r="V984" t="s">
        <v>19013</v>
      </c>
      <c r="W984" t="s">
        <v>19014</v>
      </c>
      <c r="X984" t="s">
        <v>19015</v>
      </c>
      <c r="Y984" t="s">
        <v>19016</v>
      </c>
      <c r="Z984" t="s">
        <v>19017</v>
      </c>
      <c r="AA984" t="s">
        <v>19018</v>
      </c>
      <c r="AB984" t="s">
        <v>19019</v>
      </c>
      <c r="AC984" t="s">
        <v>19020</v>
      </c>
      <c r="AD984" t="s">
        <v>19021</v>
      </c>
      <c r="AE984" t="s">
        <v>19022</v>
      </c>
      <c r="AF984" t="s">
        <v>74</v>
      </c>
      <c r="AG984">
        <v>99</v>
      </c>
      <c r="AH984">
        <v>23</v>
      </c>
      <c r="AI984">
        <v>24</v>
      </c>
      <c r="AJ984">
        <v>2</v>
      </c>
      <c r="AK984">
        <v>51</v>
      </c>
      <c r="AL984" t="s">
        <v>1973</v>
      </c>
      <c r="AM984" t="s">
        <v>1797</v>
      </c>
      <c r="AN984" t="s">
        <v>4066</v>
      </c>
      <c r="AO984" t="s">
        <v>19023</v>
      </c>
      <c r="AP984" t="s">
        <v>19024</v>
      </c>
      <c r="AQ984" t="s">
        <v>74</v>
      </c>
      <c r="AR984" t="s">
        <v>19010</v>
      </c>
      <c r="AS984" t="s">
        <v>19025</v>
      </c>
      <c r="AT984" t="s">
        <v>16784</v>
      </c>
      <c r="AU984">
        <v>2017</v>
      </c>
      <c r="AV984">
        <v>246</v>
      </c>
      <c r="AW984">
        <v>5</v>
      </c>
      <c r="AX984" t="s">
        <v>74</v>
      </c>
      <c r="AY984" t="s">
        <v>74</v>
      </c>
      <c r="AZ984" t="s">
        <v>74</v>
      </c>
      <c r="BA984" t="s">
        <v>74</v>
      </c>
      <c r="BB984">
        <v>971</v>
      </c>
      <c r="BC984">
        <v>986</v>
      </c>
      <c r="BD984" t="s">
        <v>74</v>
      </c>
      <c r="BE984" t="s">
        <v>19026</v>
      </c>
      <c r="BF984" t="str">
        <f>HYPERLINK("http://dx.doi.org/10.1007/s00425-017-2741-5","http://dx.doi.org/10.1007/s00425-017-2741-5")</f>
        <v>http://dx.doi.org/10.1007/s00425-017-2741-5</v>
      </c>
      <c r="BG984" t="s">
        <v>74</v>
      </c>
      <c r="BH984" t="s">
        <v>74</v>
      </c>
      <c r="BI984">
        <v>16</v>
      </c>
      <c r="BJ984" t="s">
        <v>492</v>
      </c>
      <c r="BK984" t="s">
        <v>101</v>
      </c>
      <c r="BL984" t="s">
        <v>492</v>
      </c>
      <c r="BM984" t="s">
        <v>19027</v>
      </c>
      <c r="BN984">
        <v>28721563</v>
      </c>
      <c r="BO984" t="s">
        <v>1568</v>
      </c>
      <c r="BP984" t="s">
        <v>74</v>
      </c>
      <c r="BQ984" t="s">
        <v>74</v>
      </c>
      <c r="BR984" t="s">
        <v>105</v>
      </c>
      <c r="BS984" t="s">
        <v>19028</v>
      </c>
      <c r="BT984" t="str">
        <f>HYPERLINK("https%3A%2F%2Fwww.webofscience.com%2Fwos%2Fwoscc%2Ffull-record%2FWOS:000412658200011","View Full Record in Web of Science")</f>
        <v>View Full Record in Web of Science</v>
      </c>
    </row>
    <row r="985" spans="1:72" x14ac:dyDescent="0.15">
      <c r="A985" t="s">
        <v>72</v>
      </c>
      <c r="B985" t="s">
        <v>19029</v>
      </c>
      <c r="C985" t="s">
        <v>74</v>
      </c>
      <c r="D985" t="s">
        <v>74</v>
      </c>
      <c r="E985" t="s">
        <v>74</v>
      </c>
      <c r="F985" t="s">
        <v>19030</v>
      </c>
      <c r="G985" t="s">
        <v>74</v>
      </c>
      <c r="H985" t="s">
        <v>74</v>
      </c>
      <c r="I985" t="s">
        <v>19031</v>
      </c>
      <c r="J985" t="s">
        <v>5552</v>
      </c>
      <c r="K985" t="s">
        <v>74</v>
      </c>
      <c r="L985" t="s">
        <v>74</v>
      </c>
      <c r="M985" t="s">
        <v>78</v>
      </c>
      <c r="N985" t="s">
        <v>79</v>
      </c>
      <c r="O985" t="s">
        <v>74</v>
      </c>
      <c r="P985" t="s">
        <v>74</v>
      </c>
      <c r="Q985" t="s">
        <v>74</v>
      </c>
      <c r="R985" t="s">
        <v>74</v>
      </c>
      <c r="S985" t="s">
        <v>74</v>
      </c>
      <c r="T985" t="s">
        <v>19032</v>
      </c>
      <c r="U985" t="s">
        <v>19033</v>
      </c>
      <c r="V985" t="s">
        <v>19034</v>
      </c>
      <c r="W985" t="s">
        <v>19035</v>
      </c>
      <c r="X985" t="s">
        <v>19036</v>
      </c>
      <c r="Y985" t="s">
        <v>19037</v>
      </c>
      <c r="Z985" t="s">
        <v>19038</v>
      </c>
      <c r="AA985" t="s">
        <v>19039</v>
      </c>
      <c r="AB985" t="s">
        <v>19040</v>
      </c>
      <c r="AC985" t="s">
        <v>19041</v>
      </c>
      <c r="AD985" t="s">
        <v>19041</v>
      </c>
      <c r="AE985" t="s">
        <v>19042</v>
      </c>
      <c r="AF985" t="s">
        <v>74</v>
      </c>
      <c r="AG985">
        <v>80</v>
      </c>
      <c r="AH985">
        <v>15</v>
      </c>
      <c r="AI985">
        <v>15</v>
      </c>
      <c r="AJ985">
        <v>1</v>
      </c>
      <c r="AK985">
        <v>23</v>
      </c>
      <c r="AL985" t="s">
        <v>1973</v>
      </c>
      <c r="AM985" t="s">
        <v>1797</v>
      </c>
      <c r="AN985" t="s">
        <v>5588</v>
      </c>
      <c r="AO985" t="s">
        <v>5565</v>
      </c>
      <c r="AP985" t="s">
        <v>5566</v>
      </c>
      <c r="AQ985" t="s">
        <v>74</v>
      </c>
      <c r="AR985" t="s">
        <v>5567</v>
      </c>
      <c r="AS985" t="s">
        <v>5568</v>
      </c>
      <c r="AT985" t="s">
        <v>16784</v>
      </c>
      <c r="AU985">
        <v>2017</v>
      </c>
      <c r="AV985">
        <v>40</v>
      </c>
      <c r="AW985">
        <v>11</v>
      </c>
      <c r="AX985" t="s">
        <v>74</v>
      </c>
      <c r="AY985" t="s">
        <v>74</v>
      </c>
      <c r="AZ985" t="s">
        <v>74</v>
      </c>
      <c r="BA985" t="s">
        <v>74</v>
      </c>
      <c r="BB985">
        <v>2171</v>
      </c>
      <c r="BC985">
        <v>2185</v>
      </c>
      <c r="BD985" t="s">
        <v>74</v>
      </c>
      <c r="BE985" t="s">
        <v>19043</v>
      </c>
      <c r="BF985" t="str">
        <f>HYPERLINK("http://dx.doi.org/10.1007/s00300-017-2132-1","http://dx.doi.org/10.1007/s00300-017-2132-1")</f>
        <v>http://dx.doi.org/10.1007/s00300-017-2132-1</v>
      </c>
      <c r="BG985" t="s">
        <v>74</v>
      </c>
      <c r="BH985" t="s">
        <v>74</v>
      </c>
      <c r="BI985">
        <v>15</v>
      </c>
      <c r="BJ985" t="s">
        <v>4277</v>
      </c>
      <c r="BK985" t="s">
        <v>101</v>
      </c>
      <c r="BL985" t="s">
        <v>4278</v>
      </c>
      <c r="BM985" t="s">
        <v>17702</v>
      </c>
      <c r="BN985" t="s">
        <v>74</v>
      </c>
      <c r="BO985" t="s">
        <v>74</v>
      </c>
      <c r="BP985" t="s">
        <v>74</v>
      </c>
      <c r="BQ985" t="s">
        <v>74</v>
      </c>
      <c r="BR985" t="s">
        <v>105</v>
      </c>
      <c r="BS985" t="s">
        <v>19044</v>
      </c>
      <c r="BT985" t="str">
        <f>HYPERLINK("https%3A%2F%2Fwww.webofscience.com%2Fwos%2Fwoscc%2Ffull-record%2FWOS:000415258700004","View Full Record in Web of Science")</f>
        <v>View Full Record in Web of Science</v>
      </c>
    </row>
    <row r="986" spans="1:72" x14ac:dyDescent="0.15">
      <c r="A986" t="s">
        <v>72</v>
      </c>
      <c r="B986" t="s">
        <v>19045</v>
      </c>
      <c r="C986" t="s">
        <v>74</v>
      </c>
      <c r="D986" t="s">
        <v>74</v>
      </c>
      <c r="E986" t="s">
        <v>74</v>
      </c>
      <c r="F986" t="s">
        <v>19046</v>
      </c>
      <c r="G986" t="s">
        <v>74</v>
      </c>
      <c r="H986" t="s">
        <v>74</v>
      </c>
      <c r="I986" t="s">
        <v>19047</v>
      </c>
      <c r="J986" t="s">
        <v>5552</v>
      </c>
      <c r="K986" t="s">
        <v>74</v>
      </c>
      <c r="L986" t="s">
        <v>74</v>
      </c>
      <c r="M986" t="s">
        <v>78</v>
      </c>
      <c r="N986" t="s">
        <v>79</v>
      </c>
      <c r="O986" t="s">
        <v>74</v>
      </c>
      <c r="P986" t="s">
        <v>74</v>
      </c>
      <c r="Q986" t="s">
        <v>74</v>
      </c>
      <c r="R986" t="s">
        <v>74</v>
      </c>
      <c r="S986" t="s">
        <v>74</v>
      </c>
      <c r="T986" t="s">
        <v>19048</v>
      </c>
      <c r="U986" t="s">
        <v>19049</v>
      </c>
      <c r="V986" t="s">
        <v>19050</v>
      </c>
      <c r="W986" t="s">
        <v>19051</v>
      </c>
      <c r="X986" t="s">
        <v>19052</v>
      </c>
      <c r="Y986" t="s">
        <v>19053</v>
      </c>
      <c r="Z986" t="s">
        <v>18526</v>
      </c>
      <c r="AA986" t="s">
        <v>19054</v>
      </c>
      <c r="AB986" t="s">
        <v>19055</v>
      </c>
      <c r="AC986" t="s">
        <v>19056</v>
      </c>
      <c r="AD986" t="s">
        <v>19057</v>
      </c>
      <c r="AE986" t="s">
        <v>19058</v>
      </c>
      <c r="AF986" t="s">
        <v>74</v>
      </c>
      <c r="AG986">
        <v>46</v>
      </c>
      <c r="AH986">
        <v>11</v>
      </c>
      <c r="AI986">
        <v>12</v>
      </c>
      <c r="AJ986">
        <v>0</v>
      </c>
      <c r="AK986">
        <v>10</v>
      </c>
      <c r="AL986" t="s">
        <v>1973</v>
      </c>
      <c r="AM986" t="s">
        <v>1797</v>
      </c>
      <c r="AN986" t="s">
        <v>5588</v>
      </c>
      <c r="AO986" t="s">
        <v>5565</v>
      </c>
      <c r="AP986" t="s">
        <v>5566</v>
      </c>
      <c r="AQ986" t="s">
        <v>74</v>
      </c>
      <c r="AR986" t="s">
        <v>5567</v>
      </c>
      <c r="AS986" t="s">
        <v>5568</v>
      </c>
      <c r="AT986" t="s">
        <v>16784</v>
      </c>
      <c r="AU986">
        <v>2017</v>
      </c>
      <c r="AV986">
        <v>40</v>
      </c>
      <c r="AW986">
        <v>11</v>
      </c>
      <c r="AX986" t="s">
        <v>74</v>
      </c>
      <c r="AY986" t="s">
        <v>74</v>
      </c>
      <c r="AZ986" t="s">
        <v>74</v>
      </c>
      <c r="BA986" t="s">
        <v>74</v>
      </c>
      <c r="BB986">
        <v>2313</v>
      </c>
      <c r="BC986">
        <v>2322</v>
      </c>
      <c r="BD986" t="s">
        <v>74</v>
      </c>
      <c r="BE986" t="s">
        <v>19059</v>
      </c>
      <c r="BF986" t="str">
        <f>HYPERLINK("http://dx.doi.org/10.1007/s00300-017-2145-9","http://dx.doi.org/10.1007/s00300-017-2145-9")</f>
        <v>http://dx.doi.org/10.1007/s00300-017-2145-9</v>
      </c>
      <c r="BG986" t="s">
        <v>74</v>
      </c>
      <c r="BH986" t="s">
        <v>74</v>
      </c>
      <c r="BI986">
        <v>10</v>
      </c>
      <c r="BJ986" t="s">
        <v>4277</v>
      </c>
      <c r="BK986" t="s">
        <v>101</v>
      </c>
      <c r="BL986" t="s">
        <v>4278</v>
      </c>
      <c r="BM986" t="s">
        <v>17702</v>
      </c>
      <c r="BN986" t="s">
        <v>74</v>
      </c>
      <c r="BO986" t="s">
        <v>19060</v>
      </c>
      <c r="BP986" t="s">
        <v>74</v>
      </c>
      <c r="BQ986" t="s">
        <v>74</v>
      </c>
      <c r="BR986" t="s">
        <v>105</v>
      </c>
      <c r="BS986" t="s">
        <v>19061</v>
      </c>
      <c r="BT986" t="str">
        <f>HYPERLINK("https%3A%2F%2Fwww.webofscience.com%2Fwos%2Fwoscc%2Ffull-record%2FWOS:000415258700016","View Full Record in Web of Science")</f>
        <v>View Full Record in Web of Science</v>
      </c>
    </row>
    <row r="987" spans="1:72" x14ac:dyDescent="0.15">
      <c r="A987" t="s">
        <v>72</v>
      </c>
      <c r="B987" t="s">
        <v>19062</v>
      </c>
      <c r="C987" t="s">
        <v>74</v>
      </c>
      <c r="D987" t="s">
        <v>74</v>
      </c>
      <c r="E987" t="s">
        <v>74</v>
      </c>
      <c r="F987" t="s">
        <v>19063</v>
      </c>
      <c r="G987" t="s">
        <v>74</v>
      </c>
      <c r="H987" t="s">
        <v>74</v>
      </c>
      <c r="I987" t="s">
        <v>19064</v>
      </c>
      <c r="J987" t="s">
        <v>7370</v>
      </c>
      <c r="K987" t="s">
        <v>74</v>
      </c>
      <c r="L987" t="s">
        <v>74</v>
      </c>
      <c r="M987" t="s">
        <v>78</v>
      </c>
      <c r="N987" t="s">
        <v>1644</v>
      </c>
      <c r="O987" t="s">
        <v>74</v>
      </c>
      <c r="P987" t="s">
        <v>74</v>
      </c>
      <c r="Q987" t="s">
        <v>74</v>
      </c>
      <c r="R987" t="s">
        <v>74</v>
      </c>
      <c r="S987" t="s">
        <v>74</v>
      </c>
      <c r="T987" t="s">
        <v>74</v>
      </c>
      <c r="U987" t="s">
        <v>19065</v>
      </c>
      <c r="V987" t="s">
        <v>74</v>
      </c>
      <c r="W987" t="s">
        <v>19066</v>
      </c>
      <c r="X987" t="s">
        <v>19067</v>
      </c>
      <c r="Y987" t="s">
        <v>19068</v>
      </c>
      <c r="Z987" t="s">
        <v>19069</v>
      </c>
      <c r="AA987" t="s">
        <v>74</v>
      </c>
      <c r="AB987" t="s">
        <v>19070</v>
      </c>
      <c r="AC987" t="s">
        <v>19071</v>
      </c>
      <c r="AD987" t="s">
        <v>19071</v>
      </c>
      <c r="AE987" t="s">
        <v>19072</v>
      </c>
      <c r="AF987" t="s">
        <v>74</v>
      </c>
      <c r="AG987">
        <v>16</v>
      </c>
      <c r="AH987">
        <v>2</v>
      </c>
      <c r="AI987">
        <v>2</v>
      </c>
      <c r="AJ987">
        <v>2</v>
      </c>
      <c r="AK987">
        <v>8</v>
      </c>
      <c r="AL987" t="s">
        <v>3149</v>
      </c>
      <c r="AM987" t="s">
        <v>1797</v>
      </c>
      <c r="AN987" t="s">
        <v>3150</v>
      </c>
      <c r="AO987" t="s">
        <v>7375</v>
      </c>
      <c r="AP987" t="s">
        <v>7376</v>
      </c>
      <c r="AQ987" t="s">
        <v>74</v>
      </c>
      <c r="AR987" t="s">
        <v>7377</v>
      </c>
      <c r="AS987" t="s">
        <v>7378</v>
      </c>
      <c r="AT987" t="s">
        <v>16784</v>
      </c>
      <c r="AU987">
        <v>2017</v>
      </c>
      <c r="AV987">
        <v>53</v>
      </c>
      <c r="AW987">
        <v>6</v>
      </c>
      <c r="AX987" t="s">
        <v>74</v>
      </c>
      <c r="AY987" t="s">
        <v>74</v>
      </c>
      <c r="AZ987" t="s">
        <v>74</v>
      </c>
      <c r="BA987" t="s">
        <v>74</v>
      </c>
      <c r="BB987">
        <v>631</v>
      </c>
      <c r="BC987">
        <v>632</v>
      </c>
      <c r="BD987" t="s">
        <v>74</v>
      </c>
      <c r="BE987" t="s">
        <v>19073</v>
      </c>
      <c r="BF987" t="str">
        <f>HYPERLINK("http://dx.doi.org/10.1017/S0032247417000559","http://dx.doi.org/10.1017/S0032247417000559")</f>
        <v>http://dx.doi.org/10.1017/S0032247417000559</v>
      </c>
      <c r="BG987" t="s">
        <v>74</v>
      </c>
      <c r="BH987" t="s">
        <v>74</v>
      </c>
      <c r="BI987">
        <v>2</v>
      </c>
      <c r="BJ987" t="s">
        <v>7380</v>
      </c>
      <c r="BK987" t="s">
        <v>101</v>
      </c>
      <c r="BL987" t="s">
        <v>1120</v>
      </c>
      <c r="BM987" t="s">
        <v>16786</v>
      </c>
      <c r="BN987" t="s">
        <v>74</v>
      </c>
      <c r="BO987" t="s">
        <v>74</v>
      </c>
      <c r="BP987" t="s">
        <v>74</v>
      </c>
      <c r="BQ987" t="s">
        <v>74</v>
      </c>
      <c r="BR987" t="s">
        <v>105</v>
      </c>
      <c r="BS987" t="s">
        <v>19074</v>
      </c>
      <c r="BT987" t="str">
        <f>HYPERLINK("https%3A%2F%2Fwww.webofscience.com%2Fwos%2Fwoscc%2Ffull-record%2FWOS:000426078800006","View Full Record in Web of Science")</f>
        <v>View Full Record in Web of Science</v>
      </c>
    </row>
    <row r="988" spans="1:72" x14ac:dyDescent="0.15">
      <c r="A988" t="s">
        <v>72</v>
      </c>
      <c r="B988" t="s">
        <v>19075</v>
      </c>
      <c r="C988" t="s">
        <v>74</v>
      </c>
      <c r="D988" t="s">
        <v>74</v>
      </c>
      <c r="E988" t="s">
        <v>74</v>
      </c>
      <c r="F988" t="s">
        <v>19076</v>
      </c>
      <c r="G988" t="s">
        <v>74</v>
      </c>
      <c r="H988" t="s">
        <v>74</v>
      </c>
      <c r="I988" t="s">
        <v>19077</v>
      </c>
      <c r="J988" t="s">
        <v>19078</v>
      </c>
      <c r="K988" t="s">
        <v>74</v>
      </c>
      <c r="L988" t="s">
        <v>74</v>
      </c>
      <c r="M988" t="s">
        <v>78</v>
      </c>
      <c r="N988" t="s">
        <v>79</v>
      </c>
      <c r="O988" t="s">
        <v>74</v>
      </c>
      <c r="P988" t="s">
        <v>74</v>
      </c>
      <c r="Q988" t="s">
        <v>74</v>
      </c>
      <c r="R988" t="s">
        <v>74</v>
      </c>
      <c r="S988" t="s">
        <v>74</v>
      </c>
      <c r="T988" t="s">
        <v>19079</v>
      </c>
      <c r="U988" t="s">
        <v>19080</v>
      </c>
      <c r="V988" t="s">
        <v>19081</v>
      </c>
      <c r="W988" t="s">
        <v>19082</v>
      </c>
      <c r="X988" t="s">
        <v>19083</v>
      </c>
      <c r="Y988" t="s">
        <v>19084</v>
      </c>
      <c r="Z988" t="s">
        <v>19085</v>
      </c>
      <c r="AA988" t="s">
        <v>19086</v>
      </c>
      <c r="AB988" t="s">
        <v>19087</v>
      </c>
      <c r="AC988" t="s">
        <v>19088</v>
      </c>
      <c r="AD988" t="s">
        <v>19089</v>
      </c>
      <c r="AE988" t="s">
        <v>19090</v>
      </c>
      <c r="AF988" t="s">
        <v>74</v>
      </c>
      <c r="AG988">
        <v>114</v>
      </c>
      <c r="AH988">
        <v>10</v>
      </c>
      <c r="AI988">
        <v>10</v>
      </c>
      <c r="AJ988">
        <v>0</v>
      </c>
      <c r="AK988">
        <v>10</v>
      </c>
      <c r="AL988" t="s">
        <v>7232</v>
      </c>
      <c r="AM988" t="s">
        <v>7233</v>
      </c>
      <c r="AN988" t="s">
        <v>7234</v>
      </c>
      <c r="AO988" t="s">
        <v>19091</v>
      </c>
      <c r="AP988" t="s">
        <v>19092</v>
      </c>
      <c r="AQ988" t="s">
        <v>74</v>
      </c>
      <c r="AR988" t="s">
        <v>19078</v>
      </c>
      <c r="AS988" t="s">
        <v>19093</v>
      </c>
      <c r="AT988" t="s">
        <v>16784</v>
      </c>
      <c r="AU988">
        <v>2017</v>
      </c>
      <c r="AV988">
        <v>168</v>
      </c>
      <c r="AW988">
        <v>5</v>
      </c>
      <c r="AX988" t="s">
        <v>74</v>
      </c>
      <c r="AY988" t="s">
        <v>74</v>
      </c>
      <c r="AZ988" t="s">
        <v>74</v>
      </c>
      <c r="BA988" t="s">
        <v>74</v>
      </c>
      <c r="BB988">
        <v>565</v>
      </c>
      <c r="BC988">
        <v>585</v>
      </c>
      <c r="BD988" t="s">
        <v>74</v>
      </c>
      <c r="BE988" t="s">
        <v>19094</v>
      </c>
      <c r="BF988" t="str">
        <f>HYPERLINK("http://dx.doi.org/10.1016/j.protis.2017.07.006","http://dx.doi.org/10.1016/j.protis.2017.07.006")</f>
        <v>http://dx.doi.org/10.1016/j.protis.2017.07.006</v>
      </c>
      <c r="BG988" t="s">
        <v>74</v>
      </c>
      <c r="BH988" t="s">
        <v>74</v>
      </c>
      <c r="BI988">
        <v>21</v>
      </c>
      <c r="BJ988" t="s">
        <v>3806</v>
      </c>
      <c r="BK988" t="s">
        <v>101</v>
      </c>
      <c r="BL988" t="s">
        <v>3806</v>
      </c>
      <c r="BM988" t="s">
        <v>19095</v>
      </c>
      <c r="BN988">
        <v>28961456</v>
      </c>
      <c r="BO988" t="s">
        <v>4418</v>
      </c>
      <c r="BP988" t="s">
        <v>74</v>
      </c>
      <c r="BQ988" t="s">
        <v>74</v>
      </c>
      <c r="BR988" t="s">
        <v>105</v>
      </c>
      <c r="BS988" t="s">
        <v>19096</v>
      </c>
      <c r="BT988" t="str">
        <f>HYPERLINK("https%3A%2F%2Fwww.webofscience.com%2Fwos%2Fwoscc%2Ffull-record%2FWOS:000414076200004","View Full Record in Web of Science")</f>
        <v>View Full Record in Web of Science</v>
      </c>
    </row>
    <row r="989" spans="1:72" x14ac:dyDescent="0.15">
      <c r="A989" t="s">
        <v>72</v>
      </c>
      <c r="B989" t="s">
        <v>19097</v>
      </c>
      <c r="C989" t="s">
        <v>74</v>
      </c>
      <c r="D989" t="s">
        <v>74</v>
      </c>
      <c r="E989" t="s">
        <v>74</v>
      </c>
      <c r="F989" t="s">
        <v>19098</v>
      </c>
      <c r="G989" t="s">
        <v>74</v>
      </c>
      <c r="H989" t="s">
        <v>74</v>
      </c>
      <c r="I989" t="s">
        <v>19099</v>
      </c>
      <c r="J989" t="s">
        <v>5685</v>
      </c>
      <c r="K989" t="s">
        <v>74</v>
      </c>
      <c r="L989" t="s">
        <v>74</v>
      </c>
      <c r="M989" t="s">
        <v>78</v>
      </c>
      <c r="N989" t="s">
        <v>79</v>
      </c>
      <c r="O989" t="s">
        <v>74</v>
      </c>
      <c r="P989" t="s">
        <v>74</v>
      </c>
      <c r="Q989" t="s">
        <v>74</v>
      </c>
      <c r="R989" t="s">
        <v>74</v>
      </c>
      <c r="S989" t="s">
        <v>74</v>
      </c>
      <c r="T989" t="s">
        <v>19100</v>
      </c>
      <c r="U989" t="s">
        <v>19101</v>
      </c>
      <c r="V989" t="s">
        <v>19102</v>
      </c>
      <c r="W989" t="s">
        <v>19103</v>
      </c>
      <c r="X989" t="s">
        <v>19104</v>
      </c>
      <c r="Y989" t="s">
        <v>19105</v>
      </c>
      <c r="Z989" t="s">
        <v>19106</v>
      </c>
      <c r="AA989" t="s">
        <v>19107</v>
      </c>
      <c r="AB989" t="s">
        <v>19108</v>
      </c>
      <c r="AC989" t="s">
        <v>19109</v>
      </c>
      <c r="AD989" t="s">
        <v>19110</v>
      </c>
      <c r="AE989" t="s">
        <v>19111</v>
      </c>
      <c r="AF989" t="s">
        <v>74</v>
      </c>
      <c r="AG989">
        <v>63</v>
      </c>
      <c r="AH989">
        <v>31</v>
      </c>
      <c r="AI989">
        <v>31</v>
      </c>
      <c r="AJ989">
        <v>5</v>
      </c>
      <c r="AK989">
        <v>31</v>
      </c>
      <c r="AL989" t="s">
        <v>3149</v>
      </c>
      <c r="AM989" t="s">
        <v>1797</v>
      </c>
      <c r="AN989" t="s">
        <v>3150</v>
      </c>
      <c r="AO989" t="s">
        <v>5697</v>
      </c>
      <c r="AP989" t="s">
        <v>5698</v>
      </c>
      <c r="AQ989" t="s">
        <v>74</v>
      </c>
      <c r="AR989" t="s">
        <v>5699</v>
      </c>
      <c r="AS989" t="s">
        <v>5700</v>
      </c>
      <c r="AT989" t="s">
        <v>16784</v>
      </c>
      <c r="AU989">
        <v>2017</v>
      </c>
      <c r="AV989">
        <v>88</v>
      </c>
      <c r="AW989">
        <v>3</v>
      </c>
      <c r="AX989" t="s">
        <v>74</v>
      </c>
      <c r="AY989" t="s">
        <v>74</v>
      </c>
      <c r="AZ989" t="s">
        <v>74</v>
      </c>
      <c r="BA989" t="s">
        <v>74</v>
      </c>
      <c r="BB989">
        <v>458</v>
      </c>
      <c r="BC989">
        <v>471</v>
      </c>
      <c r="BD989" t="s">
        <v>74</v>
      </c>
      <c r="BE989" t="s">
        <v>19112</v>
      </c>
      <c r="BF989" t="str">
        <f>HYPERLINK("http://dx.doi.org/10.1017/qua.2017.72","http://dx.doi.org/10.1017/qua.2017.72")</f>
        <v>http://dx.doi.org/10.1017/qua.2017.72</v>
      </c>
      <c r="BG989" t="s">
        <v>74</v>
      </c>
      <c r="BH989" t="s">
        <v>74</v>
      </c>
      <c r="BI989">
        <v>14</v>
      </c>
      <c r="BJ989" t="s">
        <v>233</v>
      </c>
      <c r="BK989" t="s">
        <v>101</v>
      </c>
      <c r="BL989" t="s">
        <v>234</v>
      </c>
      <c r="BM989" t="s">
        <v>19113</v>
      </c>
      <c r="BN989" t="s">
        <v>74</v>
      </c>
      <c r="BO989" t="s">
        <v>19114</v>
      </c>
      <c r="BP989" t="s">
        <v>74</v>
      </c>
      <c r="BQ989" t="s">
        <v>74</v>
      </c>
      <c r="BR989" t="s">
        <v>105</v>
      </c>
      <c r="BS989" t="s">
        <v>19115</v>
      </c>
      <c r="BT989" t="str">
        <f>HYPERLINK("https%3A%2F%2Fwww.webofscience.com%2Fwos%2Fwoscc%2Ffull-record%2FWOS:000414467800007","View Full Record in Web of Science")</f>
        <v>View Full Record in Web of Science</v>
      </c>
    </row>
    <row r="990" spans="1:72" x14ac:dyDescent="0.15">
      <c r="A990" t="s">
        <v>72</v>
      </c>
      <c r="B990" t="s">
        <v>19116</v>
      </c>
      <c r="C990" t="s">
        <v>74</v>
      </c>
      <c r="D990" t="s">
        <v>74</v>
      </c>
      <c r="E990" t="s">
        <v>74</v>
      </c>
      <c r="F990" t="s">
        <v>19117</v>
      </c>
      <c r="G990" t="s">
        <v>74</v>
      </c>
      <c r="H990" t="s">
        <v>74</v>
      </c>
      <c r="I990" t="s">
        <v>19118</v>
      </c>
      <c r="J990" t="s">
        <v>19119</v>
      </c>
      <c r="K990" t="s">
        <v>74</v>
      </c>
      <c r="L990" t="s">
        <v>74</v>
      </c>
      <c r="M990" t="s">
        <v>78</v>
      </c>
      <c r="N990" t="s">
        <v>79</v>
      </c>
      <c r="O990" t="s">
        <v>74</v>
      </c>
      <c r="P990" t="s">
        <v>74</v>
      </c>
      <c r="Q990" t="s">
        <v>74</v>
      </c>
      <c r="R990" t="s">
        <v>74</v>
      </c>
      <c r="S990" t="s">
        <v>74</v>
      </c>
      <c r="T990" t="s">
        <v>74</v>
      </c>
      <c r="U990" t="s">
        <v>19120</v>
      </c>
      <c r="V990" t="s">
        <v>19121</v>
      </c>
      <c r="W990" t="s">
        <v>19122</v>
      </c>
      <c r="X990" t="s">
        <v>19123</v>
      </c>
      <c r="Y990" t="s">
        <v>19124</v>
      </c>
      <c r="Z990" t="s">
        <v>19125</v>
      </c>
      <c r="AA990" t="s">
        <v>19126</v>
      </c>
      <c r="AB990" t="s">
        <v>19127</v>
      </c>
      <c r="AC990" t="s">
        <v>19128</v>
      </c>
      <c r="AD990" t="s">
        <v>19129</v>
      </c>
      <c r="AE990" t="s">
        <v>19130</v>
      </c>
      <c r="AF990" t="s">
        <v>74</v>
      </c>
      <c r="AG990">
        <v>63</v>
      </c>
      <c r="AH990">
        <v>67</v>
      </c>
      <c r="AI990">
        <v>76</v>
      </c>
      <c r="AJ990">
        <v>2</v>
      </c>
      <c r="AK990">
        <v>20</v>
      </c>
      <c r="AL990" t="s">
        <v>16679</v>
      </c>
      <c r="AM990" t="s">
        <v>272</v>
      </c>
      <c r="AN990" t="s">
        <v>16680</v>
      </c>
      <c r="AO990" t="s">
        <v>19131</v>
      </c>
      <c r="AP990" t="s">
        <v>74</v>
      </c>
      <c r="AQ990" t="s">
        <v>74</v>
      </c>
      <c r="AR990" t="s">
        <v>19132</v>
      </c>
      <c r="AS990" t="s">
        <v>19133</v>
      </c>
      <c r="AT990" t="s">
        <v>16784</v>
      </c>
      <c r="AU990">
        <v>2017</v>
      </c>
      <c r="AV990">
        <v>3</v>
      </c>
      <c r="AW990">
        <v>11</v>
      </c>
      <c r="AX990" t="s">
        <v>74</v>
      </c>
      <c r="AY990" t="s">
        <v>74</v>
      </c>
      <c r="AZ990" t="s">
        <v>74</v>
      </c>
      <c r="BA990" t="s">
        <v>74</v>
      </c>
      <c r="BB990" t="s">
        <v>74</v>
      </c>
      <c r="BC990" t="s">
        <v>74</v>
      </c>
      <c r="BD990" t="s">
        <v>19134</v>
      </c>
      <c r="BE990" t="s">
        <v>19135</v>
      </c>
      <c r="BF990" t="str">
        <f>HYPERLINK("http://dx.doi.org/10.1126/sciadv.1701681","http://dx.doi.org/10.1126/sciadv.1701681")</f>
        <v>http://dx.doi.org/10.1126/sciadv.1701681</v>
      </c>
      <c r="BG990" t="s">
        <v>74</v>
      </c>
      <c r="BH990" t="s">
        <v>74</v>
      </c>
      <c r="BI990">
        <v>7</v>
      </c>
      <c r="BJ990" t="s">
        <v>129</v>
      </c>
      <c r="BK990" t="s">
        <v>101</v>
      </c>
      <c r="BL990" t="s">
        <v>130</v>
      </c>
      <c r="BM990" t="s">
        <v>19136</v>
      </c>
      <c r="BN990">
        <v>29109976</v>
      </c>
      <c r="BO990" t="s">
        <v>494</v>
      </c>
      <c r="BP990" t="s">
        <v>74</v>
      </c>
      <c r="BQ990" t="s">
        <v>74</v>
      </c>
      <c r="BR990" t="s">
        <v>105</v>
      </c>
      <c r="BS990" t="s">
        <v>19137</v>
      </c>
      <c r="BT990" t="str">
        <f>HYPERLINK("https%3A%2F%2Fwww.webofscience.com%2Fwos%2Fwoscc%2Ffull-record%2FWOS:000418002000034","View Full Record in Web of Science")</f>
        <v>View Full Record in Web of Science</v>
      </c>
    </row>
    <row r="991" spans="1:72" x14ac:dyDescent="0.15">
      <c r="A991" t="s">
        <v>72</v>
      </c>
      <c r="B991" t="s">
        <v>19138</v>
      </c>
      <c r="C991" t="s">
        <v>74</v>
      </c>
      <c r="D991" t="s">
        <v>74</v>
      </c>
      <c r="E991" t="s">
        <v>74</v>
      </c>
      <c r="F991" t="s">
        <v>19139</v>
      </c>
      <c r="G991" t="s">
        <v>74</v>
      </c>
      <c r="H991" t="s">
        <v>74</v>
      </c>
      <c r="I991" t="s">
        <v>19140</v>
      </c>
      <c r="J991" t="s">
        <v>19119</v>
      </c>
      <c r="K991" t="s">
        <v>74</v>
      </c>
      <c r="L991" t="s">
        <v>74</v>
      </c>
      <c r="M991" t="s">
        <v>78</v>
      </c>
      <c r="N991" t="s">
        <v>79</v>
      </c>
      <c r="O991" t="s">
        <v>74</v>
      </c>
      <c r="P991" t="s">
        <v>74</v>
      </c>
      <c r="Q991" t="s">
        <v>74</v>
      </c>
      <c r="R991" t="s">
        <v>74</v>
      </c>
      <c r="S991" t="s">
        <v>74</v>
      </c>
      <c r="T991" t="s">
        <v>74</v>
      </c>
      <c r="U991" t="s">
        <v>19141</v>
      </c>
      <c r="V991" t="s">
        <v>19142</v>
      </c>
      <c r="W991" t="s">
        <v>19143</v>
      </c>
      <c r="X991" t="s">
        <v>19144</v>
      </c>
      <c r="Y991" t="s">
        <v>19145</v>
      </c>
      <c r="Z991" t="s">
        <v>19146</v>
      </c>
      <c r="AA991" t="s">
        <v>19147</v>
      </c>
      <c r="AB991" t="s">
        <v>19148</v>
      </c>
      <c r="AC991" t="s">
        <v>19149</v>
      </c>
      <c r="AD991" t="s">
        <v>19150</v>
      </c>
      <c r="AE991" t="s">
        <v>19151</v>
      </c>
      <c r="AF991" t="s">
        <v>74</v>
      </c>
      <c r="AG991">
        <v>506</v>
      </c>
      <c r="AH991">
        <v>373</v>
      </c>
      <c r="AI991">
        <v>415</v>
      </c>
      <c r="AJ991">
        <v>24</v>
      </c>
      <c r="AK991">
        <v>230</v>
      </c>
      <c r="AL991" t="s">
        <v>16679</v>
      </c>
      <c r="AM991" t="s">
        <v>272</v>
      </c>
      <c r="AN991" t="s">
        <v>16680</v>
      </c>
      <c r="AO991" t="s">
        <v>19131</v>
      </c>
      <c r="AP991" t="s">
        <v>74</v>
      </c>
      <c r="AQ991" t="s">
        <v>74</v>
      </c>
      <c r="AR991" t="s">
        <v>19132</v>
      </c>
      <c r="AS991" t="s">
        <v>19133</v>
      </c>
      <c r="AT991" t="s">
        <v>16784</v>
      </c>
      <c r="AU991">
        <v>2017</v>
      </c>
      <c r="AV991">
        <v>3</v>
      </c>
      <c r="AW991">
        <v>11</v>
      </c>
      <c r="AX991" t="s">
        <v>74</v>
      </c>
      <c r="AY991" t="s">
        <v>74</v>
      </c>
      <c r="AZ991" t="s">
        <v>74</v>
      </c>
      <c r="BA991" t="s">
        <v>74</v>
      </c>
      <c r="BB991" t="s">
        <v>74</v>
      </c>
      <c r="BC991" t="s">
        <v>74</v>
      </c>
      <c r="BD991" t="s">
        <v>19152</v>
      </c>
      <c r="BE991" t="s">
        <v>19153</v>
      </c>
      <c r="BF991" t="str">
        <f>HYPERLINK("http://dx.doi.org/10.1126/sciadv.1600983","http://dx.doi.org/10.1126/sciadv.1600983")</f>
        <v>http://dx.doi.org/10.1126/sciadv.1600983</v>
      </c>
      <c r="BG991" t="s">
        <v>74</v>
      </c>
      <c r="BH991" t="s">
        <v>74</v>
      </c>
      <c r="BI991">
        <v>43</v>
      </c>
      <c r="BJ991" t="s">
        <v>129</v>
      </c>
      <c r="BK991" t="s">
        <v>101</v>
      </c>
      <c r="BL991" t="s">
        <v>130</v>
      </c>
      <c r="BM991" t="s">
        <v>19136</v>
      </c>
      <c r="BN991">
        <v>29134193</v>
      </c>
      <c r="BO991" t="s">
        <v>703</v>
      </c>
      <c r="BP991" t="s">
        <v>4700</v>
      </c>
      <c r="BQ991" t="s">
        <v>4701</v>
      </c>
      <c r="BR991" t="s">
        <v>105</v>
      </c>
      <c r="BS991" t="s">
        <v>19154</v>
      </c>
      <c r="BT991" t="str">
        <f>HYPERLINK("https%3A%2F%2Fwww.webofscience.com%2Fwos%2Fwoscc%2Ffull-record%2FWOS:000418002000002","View Full Record in Web of Science")</f>
        <v>View Full Record in Web of Science</v>
      </c>
    </row>
    <row r="992" spans="1:72" x14ac:dyDescent="0.15">
      <c r="A992" t="s">
        <v>72</v>
      </c>
      <c r="B992" t="s">
        <v>19155</v>
      </c>
      <c r="C992" t="s">
        <v>74</v>
      </c>
      <c r="D992" t="s">
        <v>74</v>
      </c>
      <c r="E992" t="s">
        <v>74</v>
      </c>
      <c r="F992" t="s">
        <v>19156</v>
      </c>
      <c r="G992" t="s">
        <v>74</v>
      </c>
      <c r="H992" t="s">
        <v>74</v>
      </c>
      <c r="I992" t="s">
        <v>19157</v>
      </c>
      <c r="J992" t="s">
        <v>19158</v>
      </c>
      <c r="K992" t="s">
        <v>74</v>
      </c>
      <c r="L992" t="s">
        <v>74</v>
      </c>
      <c r="M992" t="s">
        <v>78</v>
      </c>
      <c r="N992" t="s">
        <v>79</v>
      </c>
      <c r="O992" t="s">
        <v>74</v>
      </c>
      <c r="P992" t="s">
        <v>74</v>
      </c>
      <c r="Q992" t="s">
        <v>74</v>
      </c>
      <c r="R992" t="s">
        <v>74</v>
      </c>
      <c r="S992" t="s">
        <v>74</v>
      </c>
      <c r="T992" t="s">
        <v>19159</v>
      </c>
      <c r="U992" t="s">
        <v>19160</v>
      </c>
      <c r="V992" t="s">
        <v>19161</v>
      </c>
      <c r="W992" t="s">
        <v>19162</v>
      </c>
      <c r="X992" t="s">
        <v>19163</v>
      </c>
      <c r="Y992" t="s">
        <v>19164</v>
      </c>
      <c r="Z992" t="s">
        <v>19165</v>
      </c>
      <c r="AA992" t="s">
        <v>19166</v>
      </c>
      <c r="AB992" t="s">
        <v>19167</v>
      </c>
      <c r="AC992" t="s">
        <v>19168</v>
      </c>
      <c r="AD992" t="s">
        <v>19169</v>
      </c>
      <c r="AE992" t="s">
        <v>19170</v>
      </c>
      <c r="AF992" t="s">
        <v>74</v>
      </c>
      <c r="AG992">
        <v>152</v>
      </c>
      <c r="AH992">
        <v>70</v>
      </c>
      <c r="AI992">
        <v>70</v>
      </c>
      <c r="AJ992">
        <v>0</v>
      </c>
      <c r="AK992">
        <v>54</v>
      </c>
      <c r="AL992" t="s">
        <v>1973</v>
      </c>
      <c r="AM992" t="s">
        <v>4347</v>
      </c>
      <c r="AN992" t="s">
        <v>4348</v>
      </c>
      <c r="AO992" t="s">
        <v>19171</v>
      </c>
      <c r="AP992" t="s">
        <v>19172</v>
      </c>
      <c r="AQ992" t="s">
        <v>74</v>
      </c>
      <c r="AR992" t="s">
        <v>19173</v>
      </c>
      <c r="AS992" t="s">
        <v>19174</v>
      </c>
      <c r="AT992" t="s">
        <v>16784</v>
      </c>
      <c r="AU992">
        <v>2017</v>
      </c>
      <c r="AV992">
        <v>292</v>
      </c>
      <c r="AW992">
        <v>11</v>
      </c>
      <c r="AX992" t="s">
        <v>74</v>
      </c>
      <c r="AY992" t="s">
        <v>74</v>
      </c>
      <c r="AZ992" t="s">
        <v>74</v>
      </c>
      <c r="BA992" t="s">
        <v>74</v>
      </c>
      <c r="BB992" t="s">
        <v>74</v>
      </c>
      <c r="BC992" t="s">
        <v>74</v>
      </c>
      <c r="BD992">
        <v>169</v>
      </c>
      <c r="BE992" t="s">
        <v>19175</v>
      </c>
      <c r="BF992" t="str">
        <f>HYPERLINK("http://dx.doi.org/10.1007/s11207-017-1186-0","http://dx.doi.org/10.1007/s11207-017-1186-0")</f>
        <v>http://dx.doi.org/10.1007/s11207-017-1186-0</v>
      </c>
      <c r="BG992" t="s">
        <v>74</v>
      </c>
      <c r="BH992" t="s">
        <v>74</v>
      </c>
      <c r="BI992">
        <v>56</v>
      </c>
      <c r="BJ992" t="s">
        <v>787</v>
      </c>
      <c r="BK992" t="s">
        <v>101</v>
      </c>
      <c r="BL992" t="s">
        <v>787</v>
      </c>
      <c r="BM992" t="s">
        <v>19176</v>
      </c>
      <c r="BN992" t="s">
        <v>74</v>
      </c>
      <c r="BO992" t="s">
        <v>432</v>
      </c>
      <c r="BP992" t="s">
        <v>74</v>
      </c>
      <c r="BQ992" t="s">
        <v>74</v>
      </c>
      <c r="BR992" t="s">
        <v>105</v>
      </c>
      <c r="BS992" t="s">
        <v>19177</v>
      </c>
      <c r="BT992" t="str">
        <f>HYPERLINK("https%3A%2F%2Fwww.webofscience.com%2Fwos%2Fwoscc%2Ffull-record%2FWOS:000414232800002","View Full Record in Web of Science")</f>
        <v>View Full Record in Web of Science</v>
      </c>
    </row>
    <row r="993" spans="1:72" x14ac:dyDescent="0.15">
      <c r="A993" t="s">
        <v>72</v>
      </c>
      <c r="B993" t="s">
        <v>19178</v>
      </c>
      <c r="C993" t="s">
        <v>74</v>
      </c>
      <c r="D993" t="s">
        <v>74</v>
      </c>
      <c r="E993" t="s">
        <v>74</v>
      </c>
      <c r="F993" t="s">
        <v>19179</v>
      </c>
      <c r="G993" t="s">
        <v>74</v>
      </c>
      <c r="H993" t="s">
        <v>74</v>
      </c>
      <c r="I993" t="s">
        <v>19180</v>
      </c>
      <c r="J993" t="s">
        <v>19158</v>
      </c>
      <c r="K993" t="s">
        <v>74</v>
      </c>
      <c r="L993" t="s">
        <v>74</v>
      </c>
      <c r="M993" t="s">
        <v>78</v>
      </c>
      <c r="N993" t="s">
        <v>79</v>
      </c>
      <c r="O993" t="s">
        <v>74</v>
      </c>
      <c r="P993" t="s">
        <v>74</v>
      </c>
      <c r="Q993" t="s">
        <v>74</v>
      </c>
      <c r="R993" t="s">
        <v>74</v>
      </c>
      <c r="S993" t="s">
        <v>74</v>
      </c>
      <c r="T993" t="s">
        <v>19181</v>
      </c>
      <c r="U993" t="s">
        <v>74</v>
      </c>
      <c r="V993" t="s">
        <v>19182</v>
      </c>
      <c r="W993" t="s">
        <v>19183</v>
      </c>
      <c r="X993" t="s">
        <v>18172</v>
      </c>
      <c r="Y993" t="s">
        <v>19184</v>
      </c>
      <c r="Z993" t="s">
        <v>19185</v>
      </c>
      <c r="AA993" t="s">
        <v>18175</v>
      </c>
      <c r="AB993" t="s">
        <v>19186</v>
      </c>
      <c r="AC993" t="s">
        <v>19187</v>
      </c>
      <c r="AD993" t="s">
        <v>19188</v>
      </c>
      <c r="AE993" t="s">
        <v>19189</v>
      </c>
      <c r="AF993" t="s">
        <v>74</v>
      </c>
      <c r="AG993">
        <v>23</v>
      </c>
      <c r="AH993">
        <v>74</v>
      </c>
      <c r="AI993">
        <v>74</v>
      </c>
      <c r="AJ993">
        <v>0</v>
      </c>
      <c r="AK993">
        <v>4</v>
      </c>
      <c r="AL993" t="s">
        <v>1973</v>
      </c>
      <c r="AM993" t="s">
        <v>4347</v>
      </c>
      <c r="AN993" t="s">
        <v>4348</v>
      </c>
      <c r="AO993" t="s">
        <v>19171</v>
      </c>
      <c r="AP993" t="s">
        <v>19172</v>
      </c>
      <c r="AQ993" t="s">
        <v>74</v>
      </c>
      <c r="AR993" t="s">
        <v>19173</v>
      </c>
      <c r="AS993" t="s">
        <v>19174</v>
      </c>
      <c r="AT993" t="s">
        <v>16784</v>
      </c>
      <c r="AU993">
        <v>2017</v>
      </c>
      <c r="AV993">
        <v>292</v>
      </c>
      <c r="AW993">
        <v>11</v>
      </c>
      <c r="AX993" t="s">
        <v>74</v>
      </c>
      <c r="AY993" t="s">
        <v>74</v>
      </c>
      <c r="AZ993" t="s">
        <v>74</v>
      </c>
      <c r="BA993" t="s">
        <v>74</v>
      </c>
      <c r="BB993" t="s">
        <v>74</v>
      </c>
      <c r="BC993" t="s">
        <v>74</v>
      </c>
      <c r="BD993">
        <v>176</v>
      </c>
      <c r="BE993" t="s">
        <v>19190</v>
      </c>
      <c r="BF993" t="str">
        <f>HYPERLINK("http://dx.doi.org/10.1007/s11207-017-1202-4","http://dx.doi.org/10.1007/s11207-017-1202-4")</f>
        <v>http://dx.doi.org/10.1007/s11207-017-1202-4</v>
      </c>
      <c r="BG993" t="s">
        <v>74</v>
      </c>
      <c r="BH993" t="s">
        <v>74</v>
      </c>
      <c r="BI993">
        <v>7</v>
      </c>
      <c r="BJ993" t="s">
        <v>787</v>
      </c>
      <c r="BK993" t="s">
        <v>101</v>
      </c>
      <c r="BL993" t="s">
        <v>787</v>
      </c>
      <c r="BM993" t="s">
        <v>19191</v>
      </c>
      <c r="BN993" t="s">
        <v>74</v>
      </c>
      <c r="BO993" t="s">
        <v>542</v>
      </c>
      <c r="BP993" t="s">
        <v>74</v>
      </c>
      <c r="BQ993" t="s">
        <v>74</v>
      </c>
      <c r="BR993" t="s">
        <v>105</v>
      </c>
      <c r="BS993" t="s">
        <v>19192</v>
      </c>
      <c r="BT993" t="str">
        <f>HYPERLINK("https%3A%2F%2Fwww.webofscience.com%2Fwos%2Fwoscc%2Ffull-record%2FWOS:000416308900005","View Full Record in Web of Science")</f>
        <v>View Full Record in Web of Science</v>
      </c>
    </row>
    <row r="994" spans="1:72" x14ac:dyDescent="0.15">
      <c r="A994" t="s">
        <v>72</v>
      </c>
      <c r="B994" t="s">
        <v>19193</v>
      </c>
      <c r="C994" t="s">
        <v>74</v>
      </c>
      <c r="D994" t="s">
        <v>74</v>
      </c>
      <c r="E994" t="s">
        <v>74</v>
      </c>
      <c r="F994" t="s">
        <v>19194</v>
      </c>
      <c r="G994" t="s">
        <v>74</v>
      </c>
      <c r="H994" t="s">
        <v>74</v>
      </c>
      <c r="I994" t="s">
        <v>19195</v>
      </c>
      <c r="J994" t="s">
        <v>1126</v>
      </c>
      <c r="K994" t="s">
        <v>74</v>
      </c>
      <c r="L994" t="s">
        <v>74</v>
      </c>
      <c r="M994" t="s">
        <v>78</v>
      </c>
      <c r="N994" t="s">
        <v>79</v>
      </c>
      <c r="O994" t="s">
        <v>74</v>
      </c>
      <c r="P994" t="s">
        <v>74</v>
      </c>
      <c r="Q994" t="s">
        <v>74</v>
      </c>
      <c r="R994" t="s">
        <v>74</v>
      </c>
      <c r="S994" t="s">
        <v>74</v>
      </c>
      <c r="T994" t="s">
        <v>19196</v>
      </c>
      <c r="U994" t="s">
        <v>19197</v>
      </c>
      <c r="V994" t="s">
        <v>19198</v>
      </c>
      <c r="W994" t="s">
        <v>19199</v>
      </c>
      <c r="X994" t="s">
        <v>19200</v>
      </c>
      <c r="Y994" t="s">
        <v>19201</v>
      </c>
      <c r="Z994" t="s">
        <v>19202</v>
      </c>
      <c r="AA994" t="s">
        <v>19203</v>
      </c>
      <c r="AB994" t="s">
        <v>74</v>
      </c>
      <c r="AC994" t="s">
        <v>19204</v>
      </c>
      <c r="AD994" t="s">
        <v>19205</v>
      </c>
      <c r="AE994" t="s">
        <v>19206</v>
      </c>
      <c r="AF994" t="s">
        <v>74</v>
      </c>
      <c r="AG994">
        <v>134</v>
      </c>
      <c r="AH994">
        <v>5</v>
      </c>
      <c r="AI994">
        <v>5</v>
      </c>
      <c r="AJ994">
        <v>0</v>
      </c>
      <c r="AK994">
        <v>38</v>
      </c>
      <c r="AL994" t="s">
        <v>1139</v>
      </c>
      <c r="AM994" t="s">
        <v>1140</v>
      </c>
      <c r="AN994" t="s">
        <v>1141</v>
      </c>
      <c r="AO994" t="s">
        <v>1142</v>
      </c>
      <c r="AP994" t="s">
        <v>1143</v>
      </c>
      <c r="AQ994" t="s">
        <v>74</v>
      </c>
      <c r="AR994" t="s">
        <v>1144</v>
      </c>
      <c r="AS994" t="s">
        <v>1145</v>
      </c>
      <c r="AT994" t="s">
        <v>18183</v>
      </c>
      <c r="AU994">
        <v>2017</v>
      </c>
      <c r="AV994">
        <v>216</v>
      </c>
      <c r="AW994" t="s">
        <v>74</v>
      </c>
      <c r="AX994" t="s">
        <v>74</v>
      </c>
      <c r="AY994" t="s">
        <v>74</v>
      </c>
      <c r="AZ994" t="s">
        <v>1146</v>
      </c>
      <c r="BA994" t="s">
        <v>74</v>
      </c>
      <c r="BB994">
        <v>96</v>
      </c>
      <c r="BC994">
        <v>114</v>
      </c>
      <c r="BD994" t="s">
        <v>74</v>
      </c>
      <c r="BE994" t="s">
        <v>19207</v>
      </c>
      <c r="BF994" t="str">
        <f>HYPERLINK("http://dx.doi.org/10.1016/j.gca.2017.05.024","http://dx.doi.org/10.1016/j.gca.2017.05.024")</f>
        <v>http://dx.doi.org/10.1016/j.gca.2017.05.024</v>
      </c>
      <c r="BG994" t="s">
        <v>74</v>
      </c>
      <c r="BH994" t="s">
        <v>74</v>
      </c>
      <c r="BI994">
        <v>19</v>
      </c>
      <c r="BJ994" t="s">
        <v>1148</v>
      </c>
      <c r="BK994" t="s">
        <v>101</v>
      </c>
      <c r="BL994" t="s">
        <v>1148</v>
      </c>
      <c r="BM994" t="s">
        <v>19208</v>
      </c>
      <c r="BN994" t="s">
        <v>74</v>
      </c>
      <c r="BO994" t="s">
        <v>1150</v>
      </c>
      <c r="BP994" t="s">
        <v>74</v>
      </c>
      <c r="BQ994" t="s">
        <v>74</v>
      </c>
      <c r="BR994" t="s">
        <v>105</v>
      </c>
      <c r="BS994" t="s">
        <v>19209</v>
      </c>
      <c r="BT994" t="str">
        <f>HYPERLINK("https%3A%2F%2Fwww.webofscience.com%2Fwos%2Fwoscc%2Ffull-record%2FWOS:000411870500007","View Full Record in Web of Science")</f>
        <v>View Full Record in Web of Science</v>
      </c>
    </row>
    <row r="995" spans="1:72" x14ac:dyDescent="0.15">
      <c r="A995" t="s">
        <v>72</v>
      </c>
      <c r="B995" t="s">
        <v>19210</v>
      </c>
      <c r="C995" t="s">
        <v>74</v>
      </c>
      <c r="D995" t="s">
        <v>74</v>
      </c>
      <c r="E995" t="s">
        <v>74</v>
      </c>
      <c r="F995" t="s">
        <v>19211</v>
      </c>
      <c r="G995" t="s">
        <v>74</v>
      </c>
      <c r="H995" t="s">
        <v>74</v>
      </c>
      <c r="I995" t="s">
        <v>19212</v>
      </c>
      <c r="J995" t="s">
        <v>1126</v>
      </c>
      <c r="K995" t="s">
        <v>74</v>
      </c>
      <c r="L995" t="s">
        <v>74</v>
      </c>
      <c r="M995" t="s">
        <v>78</v>
      </c>
      <c r="N995" t="s">
        <v>79</v>
      </c>
      <c r="O995" t="s">
        <v>74</v>
      </c>
      <c r="P995" t="s">
        <v>74</v>
      </c>
      <c r="Q995" t="s">
        <v>74</v>
      </c>
      <c r="R995" t="s">
        <v>74</v>
      </c>
      <c r="S995" t="s">
        <v>74</v>
      </c>
      <c r="T995" t="s">
        <v>19213</v>
      </c>
      <c r="U995" t="s">
        <v>19214</v>
      </c>
      <c r="V995" t="s">
        <v>19215</v>
      </c>
      <c r="W995" t="s">
        <v>19216</v>
      </c>
      <c r="X995" t="s">
        <v>19217</v>
      </c>
      <c r="Y995" t="s">
        <v>19218</v>
      </c>
      <c r="Z995" t="s">
        <v>19219</v>
      </c>
      <c r="AA995" t="s">
        <v>19220</v>
      </c>
      <c r="AB995" t="s">
        <v>19221</v>
      </c>
      <c r="AC995" t="s">
        <v>19222</v>
      </c>
      <c r="AD995" t="s">
        <v>19223</v>
      </c>
      <c r="AE995" t="s">
        <v>19224</v>
      </c>
      <c r="AF995" t="s">
        <v>74</v>
      </c>
      <c r="AG995">
        <v>85</v>
      </c>
      <c r="AH995">
        <v>29</v>
      </c>
      <c r="AI995">
        <v>30</v>
      </c>
      <c r="AJ995">
        <v>0</v>
      </c>
      <c r="AK995">
        <v>16</v>
      </c>
      <c r="AL995" t="s">
        <v>1139</v>
      </c>
      <c r="AM995" t="s">
        <v>1140</v>
      </c>
      <c r="AN995" t="s">
        <v>1141</v>
      </c>
      <c r="AO995" t="s">
        <v>1142</v>
      </c>
      <c r="AP995" t="s">
        <v>1143</v>
      </c>
      <c r="AQ995" t="s">
        <v>74</v>
      </c>
      <c r="AR995" t="s">
        <v>1144</v>
      </c>
      <c r="AS995" t="s">
        <v>1145</v>
      </c>
      <c r="AT995" t="s">
        <v>18183</v>
      </c>
      <c r="AU995">
        <v>2017</v>
      </c>
      <c r="AV995">
        <v>216</v>
      </c>
      <c r="AW995" t="s">
        <v>74</v>
      </c>
      <c r="AX995" t="s">
        <v>74</v>
      </c>
      <c r="AY995" t="s">
        <v>74</v>
      </c>
      <c r="AZ995" t="s">
        <v>1146</v>
      </c>
      <c r="BA995" t="s">
        <v>74</v>
      </c>
      <c r="BB995">
        <v>115</v>
      </c>
      <c r="BC995">
        <v>140</v>
      </c>
      <c r="BD995" t="s">
        <v>74</v>
      </c>
      <c r="BE995" t="s">
        <v>19225</v>
      </c>
      <c r="BF995" t="str">
        <f>HYPERLINK("http://dx.doi.org/10.1016/j.gca.2017.06.042","http://dx.doi.org/10.1016/j.gca.2017.06.042")</f>
        <v>http://dx.doi.org/10.1016/j.gca.2017.06.042</v>
      </c>
      <c r="BG995" t="s">
        <v>74</v>
      </c>
      <c r="BH995" t="s">
        <v>74</v>
      </c>
      <c r="BI995">
        <v>26</v>
      </c>
      <c r="BJ995" t="s">
        <v>1148</v>
      </c>
      <c r="BK995" t="s">
        <v>101</v>
      </c>
      <c r="BL995" t="s">
        <v>1148</v>
      </c>
      <c r="BM995" t="s">
        <v>19208</v>
      </c>
      <c r="BN995" t="s">
        <v>74</v>
      </c>
      <c r="BO995" t="s">
        <v>1150</v>
      </c>
      <c r="BP995" t="s">
        <v>74</v>
      </c>
      <c r="BQ995" t="s">
        <v>74</v>
      </c>
      <c r="BR995" t="s">
        <v>105</v>
      </c>
      <c r="BS995" t="s">
        <v>19226</v>
      </c>
      <c r="BT995" t="str">
        <f>HYPERLINK("https%3A%2F%2Fwww.webofscience.com%2Fwos%2Fwoscc%2Ffull-record%2FWOS:000411870500008","View Full Record in Web of Science")</f>
        <v>View Full Record in Web of Science</v>
      </c>
    </row>
    <row r="996" spans="1:72" x14ac:dyDescent="0.15">
      <c r="A996" t="s">
        <v>72</v>
      </c>
      <c r="B996" t="s">
        <v>19227</v>
      </c>
      <c r="C996" t="s">
        <v>74</v>
      </c>
      <c r="D996" t="s">
        <v>74</v>
      </c>
      <c r="E996" t="s">
        <v>74</v>
      </c>
      <c r="F996" t="s">
        <v>19228</v>
      </c>
      <c r="G996" t="s">
        <v>74</v>
      </c>
      <c r="H996" t="s">
        <v>74</v>
      </c>
      <c r="I996" t="s">
        <v>19229</v>
      </c>
      <c r="J996" t="s">
        <v>15990</v>
      </c>
      <c r="K996" t="s">
        <v>74</v>
      </c>
      <c r="L996" t="s">
        <v>74</v>
      </c>
      <c r="M996" t="s">
        <v>78</v>
      </c>
      <c r="N996" t="s">
        <v>289</v>
      </c>
      <c r="O996" t="s">
        <v>74</v>
      </c>
      <c r="P996" t="s">
        <v>74</v>
      </c>
      <c r="Q996" t="s">
        <v>74</v>
      </c>
      <c r="R996" t="s">
        <v>74</v>
      </c>
      <c r="S996" t="s">
        <v>74</v>
      </c>
      <c r="T996" t="s">
        <v>74</v>
      </c>
      <c r="U996" t="s">
        <v>19230</v>
      </c>
      <c r="V996" t="s">
        <v>19231</v>
      </c>
      <c r="W996" t="s">
        <v>19232</v>
      </c>
      <c r="X996" t="s">
        <v>19233</v>
      </c>
      <c r="Y996" t="s">
        <v>19234</v>
      </c>
      <c r="Z996" t="s">
        <v>19235</v>
      </c>
      <c r="AA996" t="s">
        <v>19236</v>
      </c>
      <c r="AB996" t="s">
        <v>19237</v>
      </c>
      <c r="AC996" t="s">
        <v>19238</v>
      </c>
      <c r="AD996" t="s">
        <v>19239</v>
      </c>
      <c r="AE996" t="s">
        <v>19240</v>
      </c>
      <c r="AF996" t="s">
        <v>74</v>
      </c>
      <c r="AG996">
        <v>91</v>
      </c>
      <c r="AH996">
        <v>1</v>
      </c>
      <c r="AI996">
        <v>1</v>
      </c>
      <c r="AJ996">
        <v>0</v>
      </c>
      <c r="AK996">
        <v>30</v>
      </c>
      <c r="AL996" t="s">
        <v>9836</v>
      </c>
      <c r="AM996" t="s">
        <v>1797</v>
      </c>
      <c r="AN996" t="s">
        <v>9837</v>
      </c>
      <c r="AO996" t="s">
        <v>16003</v>
      </c>
      <c r="AP996" t="s">
        <v>16004</v>
      </c>
      <c r="AQ996" t="s">
        <v>74</v>
      </c>
      <c r="AR996" t="s">
        <v>16005</v>
      </c>
      <c r="AS996" t="s">
        <v>16006</v>
      </c>
      <c r="AT996" t="s">
        <v>18183</v>
      </c>
      <c r="AU996">
        <v>2017</v>
      </c>
      <c r="AV996">
        <v>196</v>
      </c>
      <c r="AW996" t="s">
        <v>74</v>
      </c>
      <c r="AX996" t="s">
        <v>74</v>
      </c>
      <c r="AY996" t="s">
        <v>74</v>
      </c>
      <c r="AZ996" t="s">
        <v>74</v>
      </c>
      <c r="BA996" t="s">
        <v>74</v>
      </c>
      <c r="BB996">
        <v>1</v>
      </c>
      <c r="BC996">
        <v>7</v>
      </c>
      <c r="BD996" t="s">
        <v>74</v>
      </c>
      <c r="BE996" t="s">
        <v>19241</v>
      </c>
      <c r="BF996" t="str">
        <f>HYPERLINK("http://dx.doi.org/10.1016/j.atmosres.2017.05.012","http://dx.doi.org/10.1016/j.atmosres.2017.05.012")</f>
        <v>http://dx.doi.org/10.1016/j.atmosres.2017.05.012</v>
      </c>
      <c r="BG996" t="s">
        <v>74</v>
      </c>
      <c r="BH996" t="s">
        <v>74</v>
      </c>
      <c r="BI996">
        <v>7</v>
      </c>
      <c r="BJ996" t="s">
        <v>430</v>
      </c>
      <c r="BK996" t="s">
        <v>101</v>
      </c>
      <c r="BL996" t="s">
        <v>430</v>
      </c>
      <c r="BM996" t="s">
        <v>18413</v>
      </c>
      <c r="BN996" t="s">
        <v>74</v>
      </c>
      <c r="BO996" t="s">
        <v>74</v>
      </c>
      <c r="BP996" t="s">
        <v>74</v>
      </c>
      <c r="BQ996" t="s">
        <v>74</v>
      </c>
      <c r="BR996" t="s">
        <v>105</v>
      </c>
      <c r="BS996" t="s">
        <v>19242</v>
      </c>
      <c r="BT996" t="str">
        <f>HYPERLINK("https%3A%2F%2Fwww.webofscience.com%2Fwos%2Fwoscc%2Ffull-record%2FWOS:000409290200001","View Full Record in Web of Science")</f>
        <v>View Full Record in Web of Science</v>
      </c>
    </row>
    <row r="997" spans="1:72" x14ac:dyDescent="0.15">
      <c r="A997" t="s">
        <v>72</v>
      </c>
      <c r="B997" t="s">
        <v>19243</v>
      </c>
      <c r="C997" t="s">
        <v>74</v>
      </c>
      <c r="D997" t="s">
        <v>74</v>
      </c>
      <c r="E997" t="s">
        <v>74</v>
      </c>
      <c r="F997" t="s">
        <v>19244</v>
      </c>
      <c r="G997" t="s">
        <v>74</v>
      </c>
      <c r="H997" t="s">
        <v>74</v>
      </c>
      <c r="I997" t="s">
        <v>19245</v>
      </c>
      <c r="J997" t="s">
        <v>19246</v>
      </c>
      <c r="K997" t="s">
        <v>74</v>
      </c>
      <c r="L997" t="s">
        <v>74</v>
      </c>
      <c r="M997" t="s">
        <v>78</v>
      </c>
      <c r="N997" t="s">
        <v>79</v>
      </c>
      <c r="O997" t="s">
        <v>74</v>
      </c>
      <c r="P997" t="s">
        <v>74</v>
      </c>
      <c r="Q997" t="s">
        <v>74</v>
      </c>
      <c r="R997" t="s">
        <v>74</v>
      </c>
      <c r="S997" t="s">
        <v>74</v>
      </c>
      <c r="T997" t="s">
        <v>19247</v>
      </c>
      <c r="U997" t="s">
        <v>74</v>
      </c>
      <c r="V997" t="s">
        <v>19248</v>
      </c>
      <c r="W997" t="s">
        <v>19249</v>
      </c>
      <c r="X997" t="s">
        <v>16840</v>
      </c>
      <c r="Y997" t="s">
        <v>19250</v>
      </c>
      <c r="Z997" t="s">
        <v>19251</v>
      </c>
      <c r="AA997" t="s">
        <v>74</v>
      </c>
      <c r="AB997" t="s">
        <v>19252</v>
      </c>
      <c r="AC997" t="s">
        <v>19253</v>
      </c>
      <c r="AD997" t="s">
        <v>19254</v>
      </c>
      <c r="AE997" t="s">
        <v>19255</v>
      </c>
      <c r="AF997" t="s">
        <v>74</v>
      </c>
      <c r="AG997">
        <v>14</v>
      </c>
      <c r="AH997">
        <v>0</v>
      </c>
      <c r="AI997">
        <v>2</v>
      </c>
      <c r="AJ997">
        <v>0</v>
      </c>
      <c r="AK997">
        <v>29</v>
      </c>
      <c r="AL997" t="s">
        <v>1186</v>
      </c>
      <c r="AM997" t="s">
        <v>808</v>
      </c>
      <c r="AN997" t="s">
        <v>1187</v>
      </c>
      <c r="AO997" t="s">
        <v>19256</v>
      </c>
      <c r="AP997" t="s">
        <v>19257</v>
      </c>
      <c r="AQ997" t="s">
        <v>74</v>
      </c>
      <c r="AR997" t="s">
        <v>19258</v>
      </c>
      <c r="AS997" t="s">
        <v>19259</v>
      </c>
      <c r="AT997" t="s">
        <v>16784</v>
      </c>
      <c r="AU997">
        <v>2017</v>
      </c>
      <c r="AV997">
        <v>76</v>
      </c>
      <c r="AW997" t="s">
        <v>74</v>
      </c>
      <c r="AX997" t="s">
        <v>74</v>
      </c>
      <c r="AY997" t="s">
        <v>74</v>
      </c>
      <c r="AZ997" t="s">
        <v>74</v>
      </c>
      <c r="BA997" t="s">
        <v>74</v>
      </c>
      <c r="BB997">
        <v>92</v>
      </c>
      <c r="BC997">
        <v>97</v>
      </c>
      <c r="BD997" t="s">
        <v>74</v>
      </c>
      <c r="BE997" t="s">
        <v>19260</v>
      </c>
      <c r="BF997" t="str">
        <f>HYPERLINK("http://dx.doi.org/10.1016/j.future.2017.05.031","http://dx.doi.org/10.1016/j.future.2017.05.031")</f>
        <v>http://dx.doi.org/10.1016/j.future.2017.05.031</v>
      </c>
      <c r="BG997" t="s">
        <v>74</v>
      </c>
      <c r="BH997" t="s">
        <v>74</v>
      </c>
      <c r="BI997">
        <v>6</v>
      </c>
      <c r="BJ997" t="s">
        <v>19261</v>
      </c>
      <c r="BK997" t="s">
        <v>101</v>
      </c>
      <c r="BL997" t="s">
        <v>9988</v>
      </c>
      <c r="BM997" t="s">
        <v>19262</v>
      </c>
      <c r="BN997" t="s">
        <v>74</v>
      </c>
      <c r="BO997" t="s">
        <v>74</v>
      </c>
      <c r="BP997" t="s">
        <v>74</v>
      </c>
      <c r="BQ997" t="s">
        <v>74</v>
      </c>
      <c r="BR997" t="s">
        <v>105</v>
      </c>
      <c r="BS997" t="s">
        <v>19263</v>
      </c>
      <c r="BT997" t="str">
        <f>HYPERLINK("https%3A%2F%2Fwww.webofscience.com%2Fwos%2Fwoscc%2Ffull-record%2FWOS:000407983100007","View Full Record in Web of Science")</f>
        <v>View Full Record in Web of Science</v>
      </c>
    </row>
    <row r="998" spans="1:72" x14ac:dyDescent="0.15">
      <c r="A998" t="s">
        <v>72</v>
      </c>
      <c r="B998" t="s">
        <v>19264</v>
      </c>
      <c r="C998" t="s">
        <v>74</v>
      </c>
      <c r="D998" t="s">
        <v>74</v>
      </c>
      <c r="E998" t="s">
        <v>74</v>
      </c>
      <c r="F998" t="s">
        <v>19265</v>
      </c>
      <c r="G998" t="s">
        <v>74</v>
      </c>
      <c r="H998" t="s">
        <v>74</v>
      </c>
      <c r="I998" t="s">
        <v>19266</v>
      </c>
      <c r="J998" t="s">
        <v>1664</v>
      </c>
      <c r="K998" t="s">
        <v>74</v>
      </c>
      <c r="L998" t="s">
        <v>74</v>
      </c>
      <c r="M998" t="s">
        <v>78</v>
      </c>
      <c r="N998" t="s">
        <v>79</v>
      </c>
      <c r="O998" t="s">
        <v>74</v>
      </c>
      <c r="P998" t="s">
        <v>74</v>
      </c>
      <c r="Q998" t="s">
        <v>74</v>
      </c>
      <c r="R998" t="s">
        <v>74</v>
      </c>
      <c r="S998" t="s">
        <v>74</v>
      </c>
      <c r="T998" t="s">
        <v>19267</v>
      </c>
      <c r="U998" t="s">
        <v>19268</v>
      </c>
      <c r="V998" t="s">
        <v>19269</v>
      </c>
      <c r="W998" t="s">
        <v>19270</v>
      </c>
      <c r="X998" t="s">
        <v>19271</v>
      </c>
      <c r="Y998" t="s">
        <v>19272</v>
      </c>
      <c r="Z998" t="s">
        <v>19273</v>
      </c>
      <c r="AA998" t="s">
        <v>19274</v>
      </c>
      <c r="AB998" t="s">
        <v>74</v>
      </c>
      <c r="AC998" t="s">
        <v>19275</v>
      </c>
      <c r="AD998" t="s">
        <v>19276</v>
      </c>
      <c r="AE998" t="s">
        <v>19277</v>
      </c>
      <c r="AF998" t="s">
        <v>74</v>
      </c>
      <c r="AG998">
        <v>91</v>
      </c>
      <c r="AH998">
        <v>18</v>
      </c>
      <c r="AI998">
        <v>18</v>
      </c>
      <c r="AJ998">
        <v>0</v>
      </c>
      <c r="AK998">
        <v>25</v>
      </c>
      <c r="AL998" t="s">
        <v>807</v>
      </c>
      <c r="AM998" t="s">
        <v>808</v>
      </c>
      <c r="AN998" t="s">
        <v>809</v>
      </c>
      <c r="AO998" t="s">
        <v>1677</v>
      </c>
      <c r="AP998" t="s">
        <v>1678</v>
      </c>
      <c r="AQ998" t="s">
        <v>74</v>
      </c>
      <c r="AR998" t="s">
        <v>1664</v>
      </c>
      <c r="AS998" t="s">
        <v>1679</v>
      </c>
      <c r="AT998" t="s">
        <v>19278</v>
      </c>
      <c r="AU998">
        <v>2017</v>
      </c>
      <c r="AV998">
        <v>718</v>
      </c>
      <c r="AW998" t="s">
        <v>74</v>
      </c>
      <c r="AX998" t="s">
        <v>74</v>
      </c>
      <c r="AY998" t="s">
        <v>74</v>
      </c>
      <c r="AZ998" t="s">
        <v>1146</v>
      </c>
      <c r="BA998" t="s">
        <v>74</v>
      </c>
      <c r="BB998">
        <v>25</v>
      </c>
      <c r="BC998">
        <v>44</v>
      </c>
      <c r="BD998" t="s">
        <v>74</v>
      </c>
      <c r="BE998" t="s">
        <v>19279</v>
      </c>
      <c r="BF998" t="str">
        <f>HYPERLINK("http://dx.doi.org/10.1016/j.tecto.2017.07.002","http://dx.doi.org/10.1016/j.tecto.2017.07.002")</f>
        <v>http://dx.doi.org/10.1016/j.tecto.2017.07.002</v>
      </c>
      <c r="BG998" t="s">
        <v>74</v>
      </c>
      <c r="BH998" t="s">
        <v>74</v>
      </c>
      <c r="BI998">
        <v>20</v>
      </c>
      <c r="BJ998" t="s">
        <v>1148</v>
      </c>
      <c r="BK998" t="s">
        <v>101</v>
      </c>
      <c r="BL998" t="s">
        <v>1148</v>
      </c>
      <c r="BM998" t="s">
        <v>19280</v>
      </c>
      <c r="BN998" t="s">
        <v>74</v>
      </c>
      <c r="BO998" t="s">
        <v>19281</v>
      </c>
      <c r="BP998" t="s">
        <v>74</v>
      </c>
      <c r="BQ998" t="s">
        <v>74</v>
      </c>
      <c r="BR998" t="s">
        <v>105</v>
      </c>
      <c r="BS998" t="s">
        <v>19282</v>
      </c>
      <c r="BT998" t="str">
        <f>HYPERLINK("https%3A%2F%2Fwww.webofscience.com%2Fwos%2Fwoscc%2Ffull-record%2FWOS:000414885800003","View Full Record in Web of Science")</f>
        <v>View Full Record in Web of Science</v>
      </c>
    </row>
    <row r="999" spans="1:72" x14ac:dyDescent="0.15">
      <c r="A999" t="s">
        <v>72</v>
      </c>
      <c r="B999" t="s">
        <v>19283</v>
      </c>
      <c r="C999" t="s">
        <v>74</v>
      </c>
      <c r="D999" t="s">
        <v>74</v>
      </c>
      <c r="E999" t="s">
        <v>74</v>
      </c>
      <c r="F999" t="s">
        <v>19284</v>
      </c>
      <c r="G999" t="s">
        <v>74</v>
      </c>
      <c r="H999" t="s">
        <v>74</v>
      </c>
      <c r="I999" t="s">
        <v>19285</v>
      </c>
      <c r="J999" t="s">
        <v>259</v>
      </c>
      <c r="K999" t="s">
        <v>74</v>
      </c>
      <c r="L999" t="s">
        <v>74</v>
      </c>
      <c r="M999" t="s">
        <v>78</v>
      </c>
      <c r="N999" t="s">
        <v>79</v>
      </c>
      <c r="O999" t="s">
        <v>74</v>
      </c>
      <c r="P999" t="s">
        <v>74</v>
      </c>
      <c r="Q999" t="s">
        <v>74</v>
      </c>
      <c r="R999" t="s">
        <v>74</v>
      </c>
      <c r="S999" t="s">
        <v>74</v>
      </c>
      <c r="T999" t="s">
        <v>74</v>
      </c>
      <c r="U999" t="s">
        <v>19286</v>
      </c>
      <c r="V999" t="s">
        <v>19287</v>
      </c>
      <c r="W999" t="s">
        <v>19288</v>
      </c>
      <c r="X999" t="s">
        <v>19289</v>
      </c>
      <c r="Y999" t="s">
        <v>19290</v>
      </c>
      <c r="Z999" t="s">
        <v>19291</v>
      </c>
      <c r="AA999" t="s">
        <v>19292</v>
      </c>
      <c r="AB999" t="s">
        <v>19293</v>
      </c>
      <c r="AC999" t="s">
        <v>19294</v>
      </c>
      <c r="AD999" t="s">
        <v>19295</v>
      </c>
      <c r="AE999" t="s">
        <v>19296</v>
      </c>
      <c r="AF999" t="s">
        <v>74</v>
      </c>
      <c r="AG999">
        <v>29</v>
      </c>
      <c r="AH999">
        <v>39</v>
      </c>
      <c r="AI999">
        <v>39</v>
      </c>
      <c r="AJ999">
        <v>1</v>
      </c>
      <c r="AK999">
        <v>18</v>
      </c>
      <c r="AL999" t="s">
        <v>271</v>
      </c>
      <c r="AM999" t="s">
        <v>272</v>
      </c>
      <c r="AN999" t="s">
        <v>273</v>
      </c>
      <c r="AO999" t="s">
        <v>274</v>
      </c>
      <c r="AP999" t="s">
        <v>275</v>
      </c>
      <c r="AQ999" t="s">
        <v>74</v>
      </c>
      <c r="AR999" t="s">
        <v>276</v>
      </c>
      <c r="AS999" t="s">
        <v>277</v>
      </c>
      <c r="AT999" t="s">
        <v>19297</v>
      </c>
      <c r="AU999">
        <v>2017</v>
      </c>
      <c r="AV999">
        <v>44</v>
      </c>
      <c r="AW999">
        <v>20</v>
      </c>
      <c r="AX999" t="s">
        <v>74</v>
      </c>
      <c r="AY999" t="s">
        <v>74</v>
      </c>
      <c r="AZ999" t="s">
        <v>74</v>
      </c>
      <c r="BA999" t="s">
        <v>74</v>
      </c>
      <c r="BB999">
        <v>10454</v>
      </c>
      <c r="BC999">
        <v>10461</v>
      </c>
      <c r="BD999" t="s">
        <v>74</v>
      </c>
      <c r="BE999" t="s">
        <v>19298</v>
      </c>
      <c r="BF999" t="str">
        <f>HYPERLINK("http://dx.doi.org/10.1002/2017GL075017","http://dx.doi.org/10.1002/2017GL075017")</f>
        <v>http://dx.doi.org/10.1002/2017GL075017</v>
      </c>
      <c r="BG999" t="s">
        <v>74</v>
      </c>
      <c r="BH999" t="s">
        <v>74</v>
      </c>
      <c r="BI999">
        <v>8</v>
      </c>
      <c r="BJ999" t="s">
        <v>280</v>
      </c>
      <c r="BK999" t="s">
        <v>101</v>
      </c>
      <c r="BL999" t="s">
        <v>281</v>
      </c>
      <c r="BM999" t="s">
        <v>19299</v>
      </c>
      <c r="BN999" t="s">
        <v>74</v>
      </c>
      <c r="BO999" t="s">
        <v>306</v>
      </c>
      <c r="BP999" t="s">
        <v>74</v>
      </c>
      <c r="BQ999" t="s">
        <v>74</v>
      </c>
      <c r="BR999" t="s">
        <v>105</v>
      </c>
      <c r="BS999" t="s">
        <v>19300</v>
      </c>
      <c r="BT999" t="str">
        <f>HYPERLINK("https%3A%2F%2Fwww.webofscience.com%2Fwos%2Fwoscc%2Ffull-record%2FWOS:000416761600044","View Full Record in Web of Science")</f>
        <v>View Full Record in Web of Science</v>
      </c>
    </row>
    <row r="1000" spans="1:72" x14ac:dyDescent="0.15">
      <c r="A1000" t="s">
        <v>72</v>
      </c>
      <c r="B1000" t="s">
        <v>19301</v>
      </c>
      <c r="C1000" t="s">
        <v>74</v>
      </c>
      <c r="D1000" t="s">
        <v>74</v>
      </c>
      <c r="E1000" t="s">
        <v>74</v>
      </c>
      <c r="F1000" t="s">
        <v>19302</v>
      </c>
      <c r="G1000" t="s">
        <v>74</v>
      </c>
      <c r="H1000" t="s">
        <v>74</v>
      </c>
      <c r="I1000" t="s">
        <v>19303</v>
      </c>
      <c r="J1000" t="s">
        <v>259</v>
      </c>
      <c r="K1000" t="s">
        <v>74</v>
      </c>
      <c r="L1000" t="s">
        <v>74</v>
      </c>
      <c r="M1000" t="s">
        <v>78</v>
      </c>
      <c r="N1000" t="s">
        <v>79</v>
      </c>
      <c r="O1000" t="s">
        <v>74</v>
      </c>
      <c r="P1000" t="s">
        <v>74</v>
      </c>
      <c r="Q1000" t="s">
        <v>74</v>
      </c>
      <c r="R1000" t="s">
        <v>74</v>
      </c>
      <c r="S1000" t="s">
        <v>74</v>
      </c>
      <c r="T1000" t="s">
        <v>74</v>
      </c>
      <c r="U1000" t="s">
        <v>19304</v>
      </c>
      <c r="V1000" t="s">
        <v>19305</v>
      </c>
      <c r="W1000" t="s">
        <v>19306</v>
      </c>
      <c r="X1000" t="s">
        <v>19307</v>
      </c>
      <c r="Y1000" t="s">
        <v>19308</v>
      </c>
      <c r="Z1000" t="s">
        <v>19309</v>
      </c>
      <c r="AA1000" t="s">
        <v>19310</v>
      </c>
      <c r="AB1000" t="s">
        <v>19311</v>
      </c>
      <c r="AC1000" t="s">
        <v>19312</v>
      </c>
      <c r="AD1000" t="s">
        <v>19313</v>
      </c>
      <c r="AE1000" t="s">
        <v>19314</v>
      </c>
      <c r="AF1000" t="s">
        <v>74</v>
      </c>
      <c r="AG1000">
        <v>29</v>
      </c>
      <c r="AH1000">
        <v>33</v>
      </c>
      <c r="AI1000">
        <v>37</v>
      </c>
      <c r="AJ1000">
        <v>1</v>
      </c>
      <c r="AK1000">
        <v>10</v>
      </c>
      <c r="AL1000" t="s">
        <v>271</v>
      </c>
      <c r="AM1000" t="s">
        <v>272</v>
      </c>
      <c r="AN1000" t="s">
        <v>273</v>
      </c>
      <c r="AO1000" t="s">
        <v>274</v>
      </c>
      <c r="AP1000" t="s">
        <v>275</v>
      </c>
      <c r="AQ1000" t="s">
        <v>74</v>
      </c>
      <c r="AR1000" t="s">
        <v>276</v>
      </c>
      <c r="AS1000" t="s">
        <v>277</v>
      </c>
      <c r="AT1000" t="s">
        <v>19297</v>
      </c>
      <c r="AU1000">
        <v>2017</v>
      </c>
      <c r="AV1000">
        <v>44</v>
      </c>
      <c r="AW1000">
        <v>20</v>
      </c>
      <c r="AX1000" t="s">
        <v>74</v>
      </c>
      <c r="AY1000" t="s">
        <v>74</v>
      </c>
      <c r="AZ1000" t="s">
        <v>74</v>
      </c>
      <c r="BA1000" t="s">
        <v>74</v>
      </c>
      <c r="BB1000">
        <v>10462</v>
      </c>
      <c r="BC1000">
        <v>10469</v>
      </c>
      <c r="BD1000" t="s">
        <v>74</v>
      </c>
      <c r="BE1000" t="s">
        <v>19315</v>
      </c>
      <c r="BF1000" t="str">
        <f>HYPERLINK("http://dx.doi.org/10.1002/2017GL075434","http://dx.doi.org/10.1002/2017GL075434")</f>
        <v>http://dx.doi.org/10.1002/2017GL075434</v>
      </c>
      <c r="BG1000" t="s">
        <v>74</v>
      </c>
      <c r="BH1000" t="s">
        <v>74</v>
      </c>
      <c r="BI1000">
        <v>8</v>
      </c>
      <c r="BJ1000" t="s">
        <v>280</v>
      </c>
      <c r="BK1000" t="s">
        <v>101</v>
      </c>
      <c r="BL1000" t="s">
        <v>281</v>
      </c>
      <c r="BM1000" t="s">
        <v>19299</v>
      </c>
      <c r="BN1000" t="s">
        <v>74</v>
      </c>
      <c r="BO1000" t="s">
        <v>19316</v>
      </c>
      <c r="BP1000" t="s">
        <v>74</v>
      </c>
      <c r="BQ1000" t="s">
        <v>74</v>
      </c>
      <c r="BR1000" t="s">
        <v>105</v>
      </c>
      <c r="BS1000" t="s">
        <v>19317</v>
      </c>
      <c r="BT1000" t="str">
        <f>HYPERLINK("https%3A%2F%2Fwww.webofscience.com%2Fwos%2Fwoscc%2Ffull-record%2FWOS:000416761600045","View Full Record in Web of Science")</f>
        <v>View Full Record in Web of Science</v>
      </c>
    </row>
    <row r="1001" spans="1:72" x14ac:dyDescent="0.15">
      <c r="A1001" t="s">
        <v>72</v>
      </c>
      <c r="B1001" t="s">
        <v>19318</v>
      </c>
      <c r="C1001" t="s">
        <v>74</v>
      </c>
      <c r="D1001" t="s">
        <v>74</v>
      </c>
      <c r="E1001" t="s">
        <v>74</v>
      </c>
      <c r="F1001" t="s">
        <v>19319</v>
      </c>
      <c r="G1001" t="s">
        <v>74</v>
      </c>
      <c r="H1001" t="s">
        <v>74</v>
      </c>
      <c r="I1001" t="s">
        <v>19320</v>
      </c>
      <c r="J1001" t="s">
        <v>259</v>
      </c>
      <c r="K1001" t="s">
        <v>74</v>
      </c>
      <c r="L1001" t="s">
        <v>74</v>
      </c>
      <c r="M1001" t="s">
        <v>78</v>
      </c>
      <c r="N1001" t="s">
        <v>79</v>
      </c>
      <c r="O1001" t="s">
        <v>74</v>
      </c>
      <c r="P1001" t="s">
        <v>74</v>
      </c>
      <c r="Q1001" t="s">
        <v>74</v>
      </c>
      <c r="R1001" t="s">
        <v>74</v>
      </c>
      <c r="S1001" t="s">
        <v>74</v>
      </c>
      <c r="T1001" t="s">
        <v>74</v>
      </c>
      <c r="U1001" t="s">
        <v>19321</v>
      </c>
      <c r="V1001" t="s">
        <v>19322</v>
      </c>
      <c r="W1001" t="s">
        <v>19323</v>
      </c>
      <c r="X1001" t="s">
        <v>19324</v>
      </c>
      <c r="Y1001" t="s">
        <v>19325</v>
      </c>
      <c r="Z1001" t="s">
        <v>19326</v>
      </c>
      <c r="AA1001" t="s">
        <v>19327</v>
      </c>
      <c r="AB1001" t="s">
        <v>19328</v>
      </c>
      <c r="AC1001" t="s">
        <v>19329</v>
      </c>
      <c r="AD1001" t="s">
        <v>19330</v>
      </c>
      <c r="AE1001" t="s">
        <v>19331</v>
      </c>
      <c r="AF1001" t="s">
        <v>74</v>
      </c>
      <c r="AG1001">
        <v>34</v>
      </c>
      <c r="AH1001">
        <v>12</v>
      </c>
      <c r="AI1001">
        <v>13</v>
      </c>
      <c r="AJ1001">
        <v>0</v>
      </c>
      <c r="AK1001">
        <v>4</v>
      </c>
      <c r="AL1001" t="s">
        <v>271</v>
      </c>
      <c r="AM1001" t="s">
        <v>272</v>
      </c>
      <c r="AN1001" t="s">
        <v>273</v>
      </c>
      <c r="AO1001" t="s">
        <v>274</v>
      </c>
      <c r="AP1001" t="s">
        <v>275</v>
      </c>
      <c r="AQ1001" t="s">
        <v>74</v>
      </c>
      <c r="AR1001" t="s">
        <v>276</v>
      </c>
      <c r="AS1001" t="s">
        <v>277</v>
      </c>
      <c r="AT1001" t="s">
        <v>19297</v>
      </c>
      <c r="AU1001">
        <v>2017</v>
      </c>
      <c r="AV1001">
        <v>44</v>
      </c>
      <c r="AW1001">
        <v>20</v>
      </c>
      <c r="AX1001" t="s">
        <v>74</v>
      </c>
      <c r="AY1001" t="s">
        <v>74</v>
      </c>
      <c r="AZ1001" t="s">
        <v>74</v>
      </c>
      <c r="BA1001" t="s">
        <v>74</v>
      </c>
      <c r="BB1001">
        <v>10486</v>
      </c>
      <c r="BC1001">
        <v>10494</v>
      </c>
      <c r="BD1001" t="s">
        <v>74</v>
      </c>
      <c r="BE1001" t="s">
        <v>19332</v>
      </c>
      <c r="BF1001" t="str">
        <f>HYPERLINK("http://dx.doi.org/10.1002/2017GL073535","http://dx.doi.org/10.1002/2017GL073535")</f>
        <v>http://dx.doi.org/10.1002/2017GL073535</v>
      </c>
      <c r="BG1001" t="s">
        <v>74</v>
      </c>
      <c r="BH1001" t="s">
        <v>74</v>
      </c>
      <c r="BI1001">
        <v>9</v>
      </c>
      <c r="BJ1001" t="s">
        <v>280</v>
      </c>
      <c r="BK1001" t="s">
        <v>101</v>
      </c>
      <c r="BL1001" t="s">
        <v>281</v>
      </c>
      <c r="BM1001" t="s">
        <v>19299</v>
      </c>
      <c r="BN1001" t="s">
        <v>74</v>
      </c>
      <c r="BO1001" t="s">
        <v>1751</v>
      </c>
      <c r="BP1001" t="s">
        <v>74</v>
      </c>
      <c r="BQ1001" t="s">
        <v>74</v>
      </c>
      <c r="BR1001" t="s">
        <v>105</v>
      </c>
      <c r="BS1001" t="s">
        <v>19333</v>
      </c>
      <c r="BT1001" t="str">
        <f>HYPERLINK("https%3A%2F%2Fwww.webofscience.com%2Fwos%2Fwoscc%2Ffull-record%2FWOS:000416761600048","View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2024-07-28T15:23:52Z</dcterms:created>
  <dcterms:modified xsi:type="dcterms:W3CDTF">2024-07-28T15:23:52Z</dcterms:modified>
</cp:coreProperties>
</file>